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78EEB1D0-0AAE-2643-A109-C9CB5367B959}"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T22"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T424" i="1"/>
  <c r="BT425" i="1"/>
  <c r="BT426" i="1"/>
  <c r="BT427" i="1"/>
  <c r="BF428" i="1"/>
  <c r="BT428" i="1"/>
  <c r="BF429" i="1"/>
  <c r="BT429" i="1"/>
  <c r="BF430" i="1"/>
  <c r="BT430" i="1"/>
  <c r="BF431" i="1"/>
  <c r="BT431" i="1"/>
  <c r="BF432" i="1"/>
  <c r="BT432" i="1"/>
  <c r="BF433" i="1"/>
  <c r="BT433" i="1"/>
  <c r="BF434" i="1"/>
  <c r="BT434" i="1"/>
  <c r="BF435" i="1"/>
  <c r="BT435" i="1"/>
  <c r="BF436" i="1"/>
  <c r="BT436"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T562"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T656" i="1"/>
  <c r="BF657" i="1"/>
  <c r="BT657" i="1"/>
  <c r="BF658" i="1"/>
  <c r="BT658" i="1"/>
  <c r="BT659" i="1"/>
  <c r="BF660" i="1"/>
  <c r="BT660" i="1"/>
  <c r="BF661" i="1"/>
  <c r="BT661" i="1"/>
  <c r="BF662" i="1"/>
  <c r="BT662" i="1"/>
  <c r="BF663" i="1"/>
  <c r="BT663" i="1"/>
  <c r="BF664" i="1"/>
  <c r="BT664" i="1"/>
  <c r="BF665" i="1"/>
  <c r="BT665" i="1"/>
  <c r="BT666" i="1"/>
  <c r="BT667" i="1"/>
  <c r="BT668" i="1"/>
  <c r="BT669" i="1"/>
  <c r="BT670" i="1"/>
  <c r="BT671" i="1"/>
  <c r="BT672"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<sst xmlns="http://schemas.openxmlformats.org/spreadsheetml/2006/main" count="59380" uniqueCount="18640">
  <si>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</si>
  <si>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</si>
  <si>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</si>
  <si>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</si>
  <si>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</si>
  <si>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</si>
  <si>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</si>
  <si>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</si>
  <si>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</si>
  <si>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</si>
  <si>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</si>
  <si>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</si>
  <si>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</si>
  <si>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</si>
  <si>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</si>
  <si>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</si>
  <si>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</si>
  <si>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</si>
  <si>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</si>
  <si>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</si>
  <si>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</si>
  <si>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</si>
  <si>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</si>
  <si>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</si>
  <si>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</si>
  <si>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</si>
  <si>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</si>
  <si>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</si>
  <si>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</si>
  <si>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</si>
  <si>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</si>
  <si>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</si>
  <si>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</si>
  <si>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</si>
  <si>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</si>
  <si>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</si>
  <si>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</si>
  <si>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</si>
  <si>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</si>
  <si>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</si>
  <si>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</si>
  <si>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</si>
  <si>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</si>
  <si>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</si>
  <si>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</si>
  <si>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</si>
  <si>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</si>
  <si>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</si>
  <si>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</si>
  <si>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</si>
  <si>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</si>
  <si>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</si>
  <si>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</si>
  <si>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</si>
  <si>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</si>
  <si>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</si>
  <si>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</si>
  <si>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</si>
  <si>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</si>
  <si>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</si>
  <si>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</si>
  <si>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</si>
  <si>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</si>
  <si>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</si>
  <si>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</si>
  <si>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</si>
  <si>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</si>
  <si>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</si>
  <si>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</si>
  <si>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</si>
  <si>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</si>
  <si>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</si>
  <si>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</si>
  <si>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Iñiguez, C; Heinrich, S; Harms, L; Gordillo, FJL</t>
  </si>
  <si>
    <t/>
  </si>
  <si>
    <t>Iniguez, Concepcion; Heinrich, Sandra; Harms, Lars; Gordillo, Francisco J. L.</t>
  </si>
  <si>
    <t>Increased temperature and CO2 alleviate photoinhibition in Desmarestia anceps: from transcriptomics to carbon utilization</t>
  </si>
  <si>
    <t>JOURNAL OF EXPERIMENTAL BOTANY</t>
  </si>
  <si>
    <t>English</t>
  </si>
  <si>
    <t>Article</t>
  </si>
  <si>
    <t>Antarctica; carbon-concentrating mechanisms; carbon dioxide; global change; macroalgae; ocean acidification; photosynthesis; seaweeds; transcriptome; warming</t>
  </si>
  <si>
    <t>L-SACCHARINA PHAEOPHYTA; KING GEORGE ISLAND; RNA-SEQ DATA; INORGANIC CARBON; ELEVATED CO2; OCEAN ACIDIFICATION; CLIMATE-CHANGE; HIGH-LIGHT; CONCENTRATING MECHANISMS; MARINE-PHYTOPLANKTON</t>
  </si>
  <si>
    <t>Ocean acidification and warming are affecting polar regions with particular intensity. Rocky shores of the Antarctic Peninsula are dominated by canopy-forming Desmarestiales. This study investigates the physiological and transcriptomic responses of the endemic macroalga Desmarestia anceps to a combination of different levels of temperature (2 and 7 degrees C), dissolved CO2 (380 and 1000 ppm), and irradiance (65 and 145 mu mol photons m(-2) s(-1)). Growth and photosynthesis increased at high CO2 conditions, and strongly decreased at 2 degrees C plus high irradiance, in comparison to the other treatments. Photoinhibition at 2 degrees C plus high irradiance was evidenced by the photochemical performance and intensive release of dissolved organic carbon. The highest number of differentially regulated transcripts was observed in thalli exposed to 2 degrees C plus high irradiance. Algal C-13 isotopic discrimination values suggested an absence of down-regulation of carbon-concentrating mechanisms at high CO2. CO2 enrichment induced few transcriptomic changes. There was high and constitutive gene expression of many photochemical and inorganic carbon utilization components, which might be related to the strong adaptation of D. anceps to the Antarctic environment. These results suggest that increased temperature and CO2 will allow D. anceps to maintain its productivity while tolerating higher irradiances than at present conditions.</t>
  </si>
  <si>
    <t>[Iniguez, Concepcion; Gordillo, Francisco J. L.] Univ Malaga, Dept Ecol, Fac Sci, Blvd Louis Pasteur S-N, Malaga 29010, Spain; [Heinrich, Sandra] Univ Hamburg, Ohnhorst Str 18, D-26609 Hamburg, Germany; [Heinrich, Sandra; Harms, Lars] Alfred Wegener Inst, Helmholtz Ctr Marine &amp; Polar Res, Handelshafen 12, D-27570 Bremerhaven, Germany</t>
  </si>
  <si>
    <t>Universidad de Malaga; University of Hamburg; Helmholtz Association; Alfred Wegener Institute, Helmholtz Centre for Polar &amp; Marine Research</t>
  </si>
  <si>
    <t>Iñiguez, C (corresponding author), Univ Malaga, Dept Ecol, Fac Sci, Blvd Louis Pasteur S-N, Malaga 29010, Spain.</t>
  </si>
  <si>
    <t>iniguez@uma.es</t>
  </si>
  <si>
    <t>Gordillo, Francisco/H-8524-2015; Iñiguez, Concepción/R-1252-2016</t>
  </si>
  <si>
    <t>Gordillo, Francisco/0000-0003-1302-7213; Iñiguez, Concepción/0000-0002-6452-8280</t>
  </si>
  <si>
    <t>Spanish Ministry of Economy [CGL2015-67014R]; Deutsche Forschungsgemeinschaft (DFG) [HE 6734/1-1]; FPU grant from the Spanish Ministry for Education</t>
  </si>
  <si>
    <t>Spanish Ministry of Economy(Spanish Government); Deutsche Forschungsgemeinschaft (DFG)(German Research Foundation (DFG)); FPU grant from the Spanish Ministry for Education(German Research Foundation (DFG))</t>
  </si>
  <si>
    <t>This study was financed by the project CGL2015-67014R from the Spanish Ministry of Economy. This work was also partly funded by the Deutsche Forschungsgemeinschaft (DFG) in the framework of the priority programme Antarctic Research with comparative investigations in Arctic ice areas' by a grant (HE 6734/1-1). CI was supported by a FPU grant from the Spanish Ministry for Education. We thank Claudia Daniel and Andreas Wagner for technical assistance.</t>
  </si>
  <si>
    <t>OXFORD UNIV PRESS</t>
  </si>
  <si>
    <t>OXFORD</t>
  </si>
  <si>
    <t>GREAT CLARENDON ST, OXFORD OX2 6DP, ENGLAND</t>
  </si>
  <si>
    <t>0022-0957</t>
  </si>
  <si>
    <t>1460-2431</t>
  </si>
  <si>
    <t>J EXP BOT</t>
  </si>
  <si>
    <t>J. Exp. Bot.</t>
  </si>
  <si>
    <t>JUN 1</t>
  </si>
  <si>
    <t>SI</t>
  </si>
  <si>
    <t>10.1093/jxb/erx164</t>
  </si>
  <si>
    <t>Plant Sciences</t>
  </si>
  <si>
    <t>Science Citation Index Expanded (SCI-EXPANDED)</t>
  </si>
  <si>
    <t>FG4NZ</t>
  </si>
  <si>
    <t>hybrid, Green Published</t>
  </si>
  <si>
    <t>2024-04-21</t>
  </si>
  <si>
    <t>WOS:000410239600024</t>
  </si>
  <si>
    <t>Thomson, J; Girton, J</t>
  </si>
  <si>
    <t>Thomson, Jim; Girton, James</t>
  </si>
  <si>
    <t>Sustained Measurements of Southern Ocean Air-Sea Coupling from a Wave Glider Autonomous Surface Vehicle</t>
  </si>
  <si>
    <t>OCEANOGRAPHY</t>
  </si>
  <si>
    <t>RECENT CLIMATE-CHANGE; WIND STRESS; CIRCULATION</t>
  </si>
  <si>
    <t>The four-month mission of a Wave Glider in the Southern Ocean has demonstrated the capability for an autonomous surface vehicle to make sustained measurements of air-sea interactions in remote regions. Several new sensor payloads were integrated for this mission, including a three-axis sonic anemometer for turbulent wind stress estimation and a high-resolution atmospheric pressure gage. The mission focused on Drake Passage, where strong gradients are common along the Antarctic Circumpolar Current (ACC) fronts. Using satellite data products, pilots ashore were able to remotely navigate the Wave Glider across the ACC Polar Front and measure changes in air-sea coupling. The resulting data set combines the persistence of a mooring with the adaptability of a ship-based survey.</t>
  </si>
  <si>
    <t>[Thomson, Jim; Girton, James] Univ Washington, Appl Phys Lab, Seattle, WA 98195 USA</t>
  </si>
  <si>
    <t>University of Washington; University of Washington Seattle</t>
  </si>
  <si>
    <t>Thomson, J (corresponding author), Univ Washington, Appl Phys Lab, Seattle, WA 98195 USA.</t>
  </si>
  <si>
    <t>jthomson@apl.washington.edu; girton@apl.washington.edu</t>
  </si>
  <si>
    <t>Thomson, Jim/C-7610-2012</t>
  </si>
  <si>
    <t>Thomson, Jim/0000-0002-8929-0088</t>
  </si>
  <si>
    <t>National Science Foundation [OCE1558448]; Division Of Ocean Sciences; Directorate For Geosciences [1558448] Funding Source: National Science Foundation</t>
  </si>
  <si>
    <t>National Science Foundation(National Science Foundation (NSF)); Division Of Ocean Sciences; Directorate For Geosciences(National Science Foundation (NSF)NSF - Directorate for Geosciences (GEO))</t>
  </si>
  <si>
    <t>Field engineers Alex de Klerk, Avery Snyder, and Joe Talbert helped with integration and testing of Wave Glider sensors, as well as deployment, operation, and recovery. The captain, crew, and marine technicians onboard ARSV Laurence M. Gould provided excellent support in deployment and recovery of the Wave Glider. Funding support was provided by the National Science Foundation (OCE1558448).</t>
  </si>
  <si>
    <t>OCEANOGRAPHY SOC</t>
  </si>
  <si>
    <t>ROCKVILLE</t>
  </si>
  <si>
    <t>P.O. BOX 1931, ROCKVILLE, MD USA</t>
  </si>
  <si>
    <t>1042-8275</t>
  </si>
  <si>
    <t>Oceanography</t>
  </si>
  <si>
    <t>JUN</t>
  </si>
  <si>
    <t>10.5670/oceanog.2017.228</t>
  </si>
  <si>
    <t>FG5GH</t>
  </si>
  <si>
    <t>gold</t>
  </si>
  <si>
    <t>WOS:000410333500021</t>
  </si>
  <si>
    <t>Câmara, PEAS; Silva, BG; Carvalho-Silva, M; Henriques, D</t>
  </si>
  <si>
    <t>Camara, Paulo E. A. S.; Costa Silva, Barbara Guedes; Carvalho-Silva, Micheline; Henriques, Diego Knop</t>
  </si>
  <si>
    <t>THE MOSS FLORA OF OSTROV GEOLOGOV (GEOLOGISTS ISLAND), MAXWELL BAY, KING GEORGE ISLAND, ANTARCTICA</t>
  </si>
  <si>
    <t>BOLETIN DE LA SOCIEDAD ARGENTINA DE BOTANICA</t>
  </si>
  <si>
    <t>Antarctica; Bryophyta; Fildes Peninsula; moss</t>
  </si>
  <si>
    <t>Located of the east coast of Fildes Peninsula, South of Ardley Island, at King George Island, Ostrov Geologov (Geologist Islands) is a small island with 0.25 miles long. It only had one plant record published so far. We have conducted extensive fieldwork on the site and provide here a comprehensive checklist and a key for the moss species occurring on the island. Despite its small size, theislandcontains about 35% of all theFildes Peninsula moss flora, six new records were found. The pristine state of the island due to its relative isolation, presence of avian nesting sites and a relatively rich moss flora are strong arguments in favor of protection status for the island.</t>
  </si>
  <si>
    <t>[Camara, Paulo E. A. S.; Costa Silva, Barbara Guedes; Carvalho-Silva, Micheline; Henriques, Diego Knop] Univ Brasilia, Dept Bot, Brasilia, DF, Brazil; [Carvalho-Silva, Micheline] Univ Fed Vales Jequitinhonha &amp; Mucuri, Campus Unai, Unai, MG, Brazil</t>
  </si>
  <si>
    <t>Universidade de Brasilia; Universidade Federal dos Vales do Jequitinhonha e Mucuri (UFVJM)</t>
  </si>
  <si>
    <t>Câmara, PEAS (corresponding author), Univ Brasilia, Dept Bot, Brasilia, DF, Brazil.</t>
  </si>
  <si>
    <t>pcamara@unb.br</t>
  </si>
  <si>
    <t>Camara, Paulo/GPP-2054-2022</t>
  </si>
  <si>
    <t>Camara, Paulo/0000-0002-3944-996X; Silva, Micheline/0000-0002-2389-3804</t>
  </si>
  <si>
    <t>Brazilian Antarctic Program (PROANTAR); Ministry of Ciencia Tecnologia e Inovacao; CNPq; PROANTAR; CNPq [64/2013]</t>
  </si>
  <si>
    <t>Brazilian Antarctic Program (PROANTAR); Ministry of Ciencia Tecnologia e Inovacao; CNPq(Conselho Nacional de Desenvolvimento Cientifico e Tecnologico (CNPQ)); PROANTAR; CNPq(Conselho Nacional de Desenvolvimento Cientifico e Tecnologico (CNPQ))</t>
  </si>
  <si>
    <t>We are very grateful to the Brazilian Antarctic Program (PROANTAR), the Ministry of Ciencia Tecnologia e Inovacao and CNPq for providing funds. The Brazilian Navy and Air Force for providing important logistic support and Special thanks to INACH (Instituto Antarctico Chileno), and Great Wall station for all logistic support during the last field season. This study was funded by PROANTAR, CNPq call 64/2013. We also thank Dr. Melinda Waterman for her valuable support.</t>
  </si>
  <si>
    <t>SOC ARGENTINA BOTANICA</t>
  </si>
  <si>
    <t>CORDOBA</t>
  </si>
  <si>
    <t>INST MULTIDISCIPLINARIO BIOLOGIA VEGETAL, CASILLA DE CORREO 495, CORDOBA, 5000, ARGENTINA</t>
  </si>
  <si>
    <t>1851-2372</t>
  </si>
  <si>
    <t>B SOC ARGENT BOT</t>
  </si>
  <si>
    <t>Bol. Soc. Argent. Bot.</t>
  </si>
  <si>
    <t>10.31055/1851.2372.v52.n2.17439</t>
  </si>
  <si>
    <t>FF8SL</t>
  </si>
  <si>
    <t>WOS:000409288000004</t>
  </si>
  <si>
    <t>Nakada, M; Okuno, J</t>
  </si>
  <si>
    <t>Nakada, Masao; Okuno, Jun'ichi</t>
  </si>
  <si>
    <t>Secular variations in zonal harmonics of Earth's geopotential and their implications for mantle viscosity and Antarctic melting history due to the last deglaciation</t>
  </si>
  <si>
    <t>GEOPHYSICAL JOURNAL INTERNATIONAL</t>
  </si>
  <si>
    <t>Earth rotation variations; Time variable gravity; Rheology: mantle</t>
  </si>
  <si>
    <t>GLACIAL ISOSTATIC-ADJUSTMENT; SEA-LEVEL RECORD; LATE PLEISTOCENE; ROTATION; INFERENCE; MAXIMUM; MODEL; CONVECTION; INVERSION; RHEOLOGY</t>
  </si>
  <si>
    <t>Secular variations in zonal harmonics of Earth's geopotential based on the satellite laser ranging observations, (J) over dot(n), contain important information about the Earth's deformation due to the glacial isostatic adjustment (GIA) and recent melting of glaciers and the Greenland and Antarctic ice sheets. Here, we examine the GIA-induced (J) over dot(n), (J) over dot(n)(GIA) (2 &lt;= n &lt;= 6), derived from the available geopotential zonal secular rate and recent melting taken from the IPCC 2013 Report (AR5) to explore the possibility of additional information on the depth-dependent lower-mantle viscosity and GIA ice model inferred from the analyses of the (J) over dot(2)(GIA) and relative sea level changes. The sensitivities of the (J) over dot(n)(GIA) to lower-mantle viscosity and GIA ice model with a global averaged eustatic sea level (ESL) of similar to 130 m indicate that the secular rates for n = 3 and 4 are mainly caused by the viscous response of the lower mantle to the melting of the Antarctic ice sheet regardless of GIA ice models adopted in this study. Also, the analyses of the (J) over dot(n)(GIA) based on the available geopotential zonal secular rates indicate that permissible lower-mantle viscosity structure satisfying even zonal secular rates of n = 2, 4 and 6 is obtained for the GIA ice model with an Antarctic ESL component of similar to 20 or similar to 30 m, but there is no viscosity solution satisfying (J) over dot(3)(GIA) and (J) over dot(5)(GIA) values. Moreover, the inference model for the lower-mantle viscosity and GIA ice model from each odd zonal secular rate is distinctly different from that satisfying GIA-induced even zonal secular rate. The discrepancy between the inference models for the even and odd zonal secular rates may partly be attributed to uncertainties of the geopotential zonal secular rates for n &gt; 2 and particularly those for odd zonal secular rates due to weakness in the orbital geometry. If this problem is overcome at least for the secular rates of n &lt; 5, then the analyses of the (J) over dot(n)(GIA) would make it possible to put more convincing constraints on the lower-mantle viscosity structure and GIA ice model, particularly for the controversial Antarctic melting history in GIA community.</t>
  </si>
  <si>
    <t>[Nakada, Masao] Kyushu Univ, Dept Earth &amp; Planetary Sci, Fac Sci, Fukuoka 8190395, Japan; [Okuno, Jun'ichi] Natl Inst Polar Res, Tachikawa, Tokyo 1908518, Japan</t>
  </si>
  <si>
    <t>Kyushu University; Research Organization of Information &amp; Systems (ROIS); National Institute of Polar Research (NIPR) - Japan</t>
  </si>
  <si>
    <t>Nakada, M (corresponding author), Kyushu Univ, Dept Earth &amp; Planetary Sci, Fac Sci, Fukuoka 8190395, Japan.</t>
  </si>
  <si>
    <t>mnakada@geo.kyushu-u.ac.jp</t>
  </si>
  <si>
    <t>Japanese Ministry of Education, Science and Culture [16K05543]; Grants-in-Aid for Scientific Research [16K05543, 16K01229] Funding Source: KAKEN</t>
  </si>
  <si>
    <t>Japanese Ministry of Education, Science and Culture(Ministry of Education, Culture, Sports, Science and Technology, Japan (MEXT)); Grants-in-Aid for Scientific Research(Ministry of Education, Culture, Sports, Science and Technology, Japan (MEXT)Japan Society for the Promotion of ScienceGrants-in-Aid for Scientific Research (KAKENHI))</t>
  </si>
  <si>
    <t>We thank two anonymous reviewers and the editor (L.L.A. Vermeersen) for their constructive comments. This work was partly supported by the Japanese Ministry of Education, Science and Culture (grand-in-aid for scientific research no. 16K05543).</t>
  </si>
  <si>
    <t>0956-540X</t>
  </si>
  <si>
    <t>1365-246X</t>
  </si>
  <si>
    <t>GEOPHYS J INT</t>
  </si>
  <si>
    <t>Geophys. J. Int.</t>
  </si>
  <si>
    <t>10.1093/gji/ggx116</t>
  </si>
  <si>
    <t>Geochemistry &amp; Geophysics</t>
  </si>
  <si>
    <t>FE7FZ</t>
  </si>
  <si>
    <t>WOS:000408374300023</t>
  </si>
  <si>
    <t>Ogunjobi, O; Sivakumar, V; Stephenson, JAE; Mtumela, Z</t>
  </si>
  <si>
    <t>Ogunjobi, Olakunle; Sivakumar, Venkataraman; Stephenson, Judy Ann Elizabeth; Mtumela, Zolile</t>
  </si>
  <si>
    <t>PMSE long term observations using SuperDARN SANAE HF radar measurements</t>
  </si>
  <si>
    <t>TERRESTRIAL ATMOSPHERIC AND OCEANIC SCIENCES</t>
  </si>
  <si>
    <t>SuperDARN SANAE radar; PMSE; Mesosphere</t>
  </si>
  <si>
    <t>MESOSPHERE SUMMER ECHOES; LOWER THERMOSPHERE; NETWORK SUPERDARN; POKER-FLAT; REGION; ANTARCTICA; ALASKA; WINDS; MF</t>
  </si>
  <si>
    <t>It is known that the presence of nanometre-scale ice particles and neutral air turbulence in the Polar summer mesosphere modify the D-region plasma, resulting in strong backscatter. These strong backscatters are referred to as Polar Mesosphere Summer Echoes (PMSE). Although studies on PMSE have been ongoing for over three decades, aspects revealed by various instruments are still the subject of discussion. As a sequel to the paper by Ogunjobi et al. (2015), we report on the long term trends and variations in PMSE occurrence probability from Super Dual Auroral Radar Network (SuperDARN) high frequency (HF) radar measurements over the South African National Antarctic Expedition IV (SANAE IV). In this current paper, a simple multiple-filter technique is employed to obtain the occurrence probability rate for SuperDARN-PMSE during the summer periods for the years 1998 - 2007. The SuperDARN-PMSE occurrence probability rate in relation to geomagnetic activity is examined. The mesospheric neutral winds and temperature trends during these periods, are further studied and presented in this paper. Both the monthly and diurnal variations in occurrence are consistent with previous reports, confirming the presence of PMSE from SuperDARN SANAE IV radar measurements and the influence of pole to pole mesospheric transport circulation. The special mesospheric mean flow observed prior to the year 2002 is ascribed to the influence of solar activity. The SuperDARN-PMSE occurrence probability peaks with lowered geomagnetic activity. These present results support the hypothesis that the particle precipitation also plays an important role in SuperDARN-PMSE occurrence.</t>
  </si>
  <si>
    <t>[Ogunjobi, Olakunle] North West Univ, Sch Phys &amp; Chem Sci, Ctr Space Res, Potchefstroom, South Africa; [Ogunjobi, Olakunle; Sivakumar, Venkataraman; Stephenson, Judy Ann Elizabeth; Mtumela, Zolile] Univ KwaZulu Natal, Sch Chem &amp; Phys, Durban, South Africa</t>
  </si>
  <si>
    <t>North West University - South Africa; University of Kwazulu Natal</t>
  </si>
  <si>
    <t>Ogunjobi, O (corresponding author), North West Univ, Sch Phys &amp; Chem Sci, Ctr Space Res, Potchefstroom, South Africa.;Ogunjobi, O (corresponding author), Univ KwaZulu Natal, Sch Chem &amp; Phys, Durban, South Africa.</t>
  </si>
  <si>
    <t>olakunle.ukzn@gmail.com</t>
  </si>
  <si>
    <t>Sivakumar, V/B-4570-2009; Stephenson, Judy/G-6066-2017</t>
  </si>
  <si>
    <t>Sivakumar, V/0000-0003-2462-681X; Mtumela, Zolile/0000-0002-0669-0327; Ogunjobi, Olakunle/0000-0002-0065-0594; Stephenson, Judy/0000-0002-3840-7979</t>
  </si>
  <si>
    <t>South Africa National Antarctic Program (SANAP); North-West University; SANAP; SANSA; HF radar group; University of KwaZulu-Natal</t>
  </si>
  <si>
    <t>The authors express thanks for the support of South Africa National Antarctic Program (SANAP) and logistics of South Africa National Space Agency (SANSA) in providing SANAE IV riometer data. SANAP, SANSA and HF radar group, University of KwaZulu-Natal, support the SANAE IV HF radar. The SuperDARN radar wind data were provided by the British Antarctic Survey at http://psddb.nerc-bas.ac.uk. Research is funded by the North-West University Research Fellow grant.</t>
  </si>
  <si>
    <t>CHINESE GEOSCIENCE UNION</t>
  </si>
  <si>
    <t>TAIPEI</t>
  </si>
  <si>
    <t>PO BOX 23-59, TAIPEI 10764, TAIWAN</t>
  </si>
  <si>
    <t>1017-0839</t>
  </si>
  <si>
    <t>2311-7680</t>
  </si>
  <si>
    <t>TERR ATMOS OCEAN SCI</t>
  </si>
  <si>
    <t>Terr. Atmos. Ocean. Sci.</t>
  </si>
  <si>
    <t>10.3319/TAO.2016.09.19.01</t>
  </si>
  <si>
    <t>Geosciences, Multidisciplinary; Meteorology &amp; Atmospheric Sciences; Oceanography</t>
  </si>
  <si>
    <t>Geology; Meteorology &amp; Atmospheric Sciences; Oceanography</t>
  </si>
  <si>
    <t>FC8PF</t>
  </si>
  <si>
    <t>Green Submitted, gold</t>
  </si>
  <si>
    <t>WOS:000407102500017</t>
  </si>
  <si>
    <t>Turner, KE; Smith, IJ; Tison, JL; Verbeke, V; McGuinness, M; Ingham, M; Vennell, R; Trodahl, J</t>
  </si>
  <si>
    <t>Turner, Kate E.; Smith, Inga J.; Tison, Jean-Louis; Verbeke, Veronique; McGuinness, Mark; Ingham, Malcolm; Vennell, Ross; Trodahl, Joe</t>
  </si>
  <si>
    <t>Sea ice growth rates from tide-driven visible banding</t>
  </si>
  <si>
    <t>JOURNAL OF GEOPHYSICAL RESEARCH-OCEANS</t>
  </si>
  <si>
    <t>THERMAL-CONDUCTIVITY; MCMURDO SOUND; PLATELET ICE; TEMPERATURE</t>
  </si>
  <si>
    <t>In this paper, periodic tide-current-driven banding in a sea-ice core is demonstrated as a measure of the growth rate of first-year sea ice at congelation-ice depths. The study was performed on a core from the eastern McMurdo Sound, exploiting the well-characterized tidal pattern at the site. It points the way to a technique for determining early-season ice growth rates from late-season cores, in areas where under ice currents are known to be tidally dominated and the ice is landfast, thus providing data for a time of year when thin ice prevents direct thickness (and therefore growth rate) measurements. The measured results were compared to the growth-versus-depth predicted by a thermodynamic model. Plain Language Summary It is currently very difficult to measure sea-ice growth rates, due to the danger of traveling on thin ice early in the growing season. This paper introduces the use of tidal patterns to determine sea-ice growth rates at the end of the growing season, when ice cores can be taken. The technique utilizes the visible light and dark bands that are often present in sea ice near land, and are driven by changes in the tidal current beneath the ice. As well as being important for climate research, this method could contribute to the understanding biological ecosystems within the ice, by providing a method to date depths in an ice core where particular organisms are observed or samples taken.</t>
  </si>
  <si>
    <t>[Turner, Kate E.; Ingham, Malcolm; Trodahl, Joe] Victoria Univ Wellington, Sch Chem &amp; Phys Sci, Wellington, New Zealand; [Smith, Inga J.] Univ Otago, Dept Phys, Dunedin, New Zealand; [Tison, Jean-Louis; Verbeke, Veronique] Univ Libre Bruxelles, Lab Glaciol DGES, Brussels, Belgium; [Verbeke, Veronique] Brussels Environm, Qual Environm &amp; Nat Management Div, Brussels, Belgium; [McGuinness, Mark] Victoria Univ Wellington, Sch Math &amp; Stat, Wellington, New Zealand; [Vennell, Ross] Univ Otago, Dept Marine Sci, Dunedin, New Zealand; [Trodahl, Joe] Victoria Univ Wellington, MacDiarmid Inst Adv Mat &amp; Nanotechnol, Wellington, New Zealand</t>
  </si>
  <si>
    <t>Victoria University Wellington; University of Otago; Universite Libre de Bruxelles; Victoria University Wellington; University of Otago; Victoria University Wellington</t>
  </si>
  <si>
    <t>Turner, KE (corresponding author), Victoria Univ Wellington, Sch Chem &amp; Phys Sci, Wellington, New Zealand.</t>
  </si>
  <si>
    <t>turner.kate@outlook.com</t>
  </si>
  <si>
    <t>; Vennell, Ross/A-7425-2010</t>
  </si>
  <si>
    <t>McGuinness, Mark/0000-0003-1860-6177; Trodahl, Joe/0000-0003-4966-5348; Turner, Kate/0000-0001-6704-7856; Vennell, Ross/0000-0001-6961-9977; Ingham, Malcolm/0000-0003-3128-7131</t>
  </si>
  <si>
    <t>New Zealand Foundation for Research, Science and Technology; Antarctica New Zealand Sir Robin Irvine Post-Graduate Scholarship; Blair Trust scholarship; University of Otago [106920, 111030]; Belgian Science Foundation (FNRS); Belgian Antarctic Program (BELSPO); Belgian Antarctic Program (Science Policy Office)</t>
  </si>
  <si>
    <t>New Zealand Foundation for Research, Science and Technology(New Zealand Foundation for Research, Science and Technology); Antarctica New Zealand Sir Robin Irvine Post-Graduate Scholarship; Blair Trust scholarship; University of Otago; Belgian Science Foundation (FNRS)(Fonds de la Recherche Scientifique - FNRS); Belgian Antarctic Program (BELSPO); Belgian Antarctic Program (Science Policy Office)</t>
  </si>
  <si>
    <t>The sea-ice cores used in this research were obtained under Event K131 supported by the then New Zealand Foundation for Research, Science and Technology under the Public Good Science Fund, with logistical support from Antarctica New Zealand. The authors are very grateful for Tim Haskell's 1999 sea ice science- and fieldwork-coordination, support, and guidance. I.J.S. was supported for the 1999 fieldwork through an Antarctica New Zealand Sir Robin Irvine Post-Graduate Scholarship and a Blair Trust scholarship, and she acknowledges subsequent financial support from University of Otago Research grants 106920 and 111030 and the support of Pat Langhorne that enabled her participation in this paper. J.-L.T. was supported through the Belgian Science Foundation (FNRS) and through the Belgian Antarctic Program (BELSPO, Science Policy Office). Jono Everts is thanked for his assistance in thermodynamic data analysis. The image file for the core photograph used in the analysis, and the resultant banding depths and growth rates can be found in the supporting information. The full set of core images can also be found at http://dev.ulb.ac.be/glaciol/MCMimages.zip.</t>
  </si>
  <si>
    <t>AMER GEOPHYSICAL UNION</t>
  </si>
  <si>
    <t>WASHINGTON</t>
  </si>
  <si>
    <t>2000 FLORIDA AVE NW, WASHINGTON, DC 20009 USA</t>
  </si>
  <si>
    <t>2169-9275</t>
  </si>
  <si>
    <t>2169-9291</t>
  </si>
  <si>
    <t>J GEOPHYS RES-OCEANS</t>
  </si>
  <si>
    <t>J. Geophys. Res.-Oceans</t>
  </si>
  <si>
    <t>10.1002/2016JC012524</t>
  </si>
  <si>
    <t>FC8JY</t>
  </si>
  <si>
    <t>Green Published</t>
  </si>
  <si>
    <t>WOS:000407088800011</t>
  </si>
  <si>
    <t>Oziel, L; Neukermans, G; Ardyna, M; Lancelot, C; Tison, JL; Wassmann, P; Sirven, J; Ruiz-Pino, D; Gascard, JC</t>
  </si>
  <si>
    <t>Oziel, L.; Neukermans, G.; Ardyna, M.; Lancelot, C.; Tison, J-L.; Wassmann, P.; Sirven, J.; Ruiz-Pino, D.; Gascard, J-C.</t>
  </si>
  <si>
    <t>Role for Atlantic inflows and sea ice loss on shifting phytoplankton blooms in the Barents Sea</t>
  </si>
  <si>
    <t>EMILIANIA-HUXLEYI; CHLOROPHYLL-A; OCEAN COLOR; POLAR FRONT; COCCOLITHOPHORE BLOOMS; VARIABILITY; IMPACT; TEMPERATURE; CLIMATE; SUMMER</t>
  </si>
  <si>
    <t>Phytoplankton blooms in the Barents Sea are highly sensitive to seasonal and interannual changes in sea ice extent, water mass distribution, and oceanic fronts. With the ongoing increase of Atlantic Water inflows, we expect an impact on these blooms. Here, we use a state-of-the-art collection of in situ hydrogeochemical data for the period 1998-2014, which includes ocean color satellite-derived proxies for the biomass of calcifying and noncalcifying phytoplankton. Over the last 17 years, sea ice extent anomalies were evidenced having direct consequences for the spatial extent of spring blooms in the Barents Sea. In years of minimal sea ice extent, two spatially distinct blooms were clearly observed: one along the ice edge and another in ice-free water. These blooms are thought to be triggered by different stratification mechanisms: heating of the surface layers in ice-free waters and melting of the sea ice along the ice edge. In years of maximal sea ice extent, no such spatial delimitation was observed. The spring bloom generally ended in June when nutrients in the surface layer were depleted. This was followed by a stratified and oligotrophic summer period. A coccolithophore bloom generally developed in August, but was confined only to Atlantic Waters. In these same waters, a late summer bloom of noncalcifying algae was observed in September, triggered by enhanced mixing, which replenishes surface waters with nutrients. Altogether, the 17 year time-series revealed a northward and eastward shift of the spring and summer phytoplankton blooms.</t>
  </si>
  <si>
    <t>[Oziel, L.; Sirven, J.; Ruiz-Pino, D.; Gascard, J-C.] Univ Paris 06, IPSL, LOCEAN Lab, Sorbonne Univ UPMC Univ Paris CNRS IRD MNHN 06, Paris, France; [Oziel, L.; Neukermans, G.] Laval Univ Canada, Takuvik Joint Int Lab, Laval, PQ, Canada; [Oziel, L.; Neukermans, G.] CNRS, Paris, France; [Oziel, L.; Neukermans, G.] Univ Laval, Dept Biol &amp; Quebec Ocean, UMI3376, Quebec City, PQ, Canada; [Neukermans, G.; Ardyna, M.] Sorbonne Univ, UPMC Univ Paris 06, INSU CNRS, Lab Oceanog Villefranche, Villefranche Sur Mer, France; [Lancelot, C.] Univ Libre Bruxelles, Lab Ecol Syst Aquat, Brussels, Belgium; [Tison, J-L.] Univ Libre Bruxelles, Lab Glaciol, DGES, Brussels, Belgium; [Wassmann, P.] UiT Arctic Univ Norway, Inst Arctic &amp; Marine Biol, Fac Biosci Fisheries &amp; Econ, Tromso, Norway</t>
  </si>
  <si>
    <t>Sorbonne Universite; Museum National d'Histoire Naturelle (MNHN); Universite Paris Cite; Laval University; Centre National de la Recherche Scientifique (CNRS); Laval University; Centre National de la Recherche Scientifique (CNRS); CNRS - National Institute for Earth Sciences &amp; Astronomy (INSU); Sorbonne Universite; Universite Libre de Bruxelles; Universite Libre de Bruxelles; UiT The Arctic University of Tromso</t>
  </si>
  <si>
    <t>Oziel, L (corresponding author), Univ Paris 06, IPSL, LOCEAN Lab, Sorbonne Univ UPMC Univ Paris CNRS IRD MNHN 06, Paris, France.;Oziel, L (corresponding author), Laval Univ Canada, Takuvik Joint Int Lab, Laval, PQ, Canada.;Oziel, L (corresponding author), CNRS, Paris, France.;Oziel, L (corresponding author), Univ Laval, Dept Biol &amp; Quebec Ocean, UMI3376, Quebec City, PQ, Canada.</t>
  </si>
  <si>
    <t>laurent.oziel@takuvik.ulaval.ca</t>
  </si>
  <si>
    <t>Neukermans, Griet/S-6313-2017; Ardyna, Mathieu/N-2027-2018</t>
  </si>
  <si>
    <t>Neukermans, Griet/0000-0002-8258-3590; Ardyna, Mathieu/0000-0002-4703-6655; Wassmann, Paul/0000-0002-6643-2792; Oziel, Laurent/0000-0001-7939-4011</t>
  </si>
  <si>
    <t>ACCESS project [265863]; EU project ACCESS; Banting postdoctoral fellowship of the Canadian Government</t>
  </si>
  <si>
    <t>ACCESS project; EU project ACCESS; Banting postdoctoral fellowship of the Canadian Government</t>
  </si>
  <si>
    <t>The research was supported by the CCESS project (grant agreement 265863) in response to the Ocean of Tomorrow call of the European Commission 7th Framework Programme. The EU project ACCESS coordinated by the University Pierre et Marie Curie in Paris, France, provided funding for the lead author's 3 year PhD based at LOCEAN laboratory. The authors want to thank the joint contribution of the UMI Takuvik research programs and the Canada Excellence Research Chair in Remote Sensing of Canada's New Arctic Frontier. Griet Neukermans holds a Banting postdoctoral fellowship of the Canadian Government. This is also a contribution of the ARCTic marine ecosystem research network, ARCTOS (www.arctosresearch.net) and the research project Arctic Seasonal Ice Zone Ecology (Arctic SIZE). The authors want to thanks Michel Crepon for his constructive advices and Debra Christiansen-Stowe for reviewing the English. The Hydrographic data were provided by the ICES Data Centre (www.ices.dk) and the Arctic and Antarctic Research Institute, Russia. The authors are particularly grateful for the Chl a and nutrients database shared by the IMR, Norway and for the SINMOD model that was provided by Dag Slagstad from SINTEF fisheries in Trondheim, Norway. The ERA-Interim data were obtained from the European Centre for Medium-Range Weather Forecasts data server. Ice concentration were obtained from SSMI satellite, NSIDC, USA [NSIDC-0051]. GlobColour data (http://globcolour.info) used in this study was been developed, validated, and distributed by ACRI-ST, France.</t>
  </si>
  <si>
    <t>10.1002/2016JC012582</t>
  </si>
  <si>
    <t>WOS:000407088800038</t>
  </si>
  <si>
    <t>Hodson, AJ; Nowak, A; Cook, J; Sabacka, M; Wharfe, ES; Pearce, DA; Convey, P; Vieira, G</t>
  </si>
  <si>
    <t>Hodson, A. J.; Nowak, A.; Cook, J.; Sabacka, M.; Wharfe, E. S.; Pearce, D. A.; Convey, P.; Vieira, G.</t>
  </si>
  <si>
    <t>Microbes influence the biogeochemical and optical properties of maritime Antarctic snow</t>
  </si>
  <si>
    <t>JOURNAL OF GEOPHYSICAL RESEARCH-BIOGEOSCIENCES</t>
  </si>
  <si>
    <t>SOUTH SHETLAND ISLANDS; LIVINGSTON ISLAND; JANTHINOBACTERIUM-LIVIDUM; PENINSULA; ALGAE; COLD; COMMUNITIES; CALIFORNIA; SEQUENCE; GLACIER</t>
  </si>
  <si>
    <t>Snowmelt in the Antarctic Peninsula region has increased significantly in recent decades, leading to greater liquid water availability across a more expansive area. As a consequence, changes in the biological activity within wet Antarctic snow require consideration if we are to better understand terrestrial carbon cycling on Earth's coldest continent. This paper therefore examines the relationship between microbial communities and the chemical and physical environment of wet snow habitats on Livingston Island of the maritime Antarctic. In so doing, we reveal a strong reduction in bacterial diversity and autotrophic biomass within a short (&lt;1 km) distance from the coast. Coastal snowpacks, fertilized by greater amounts of nutrients from rock debris and marine fauna, develop obvious, pigmented snow algal communities that control the absorption of visible light to a far greater extent than with the inland glacial snowpacks. Absorption by carotenoid pigments is most influential at the surface, while chlorophyll is most influential beneath it. The coastal snowpacks also indicate higher concentrations of dissolved inorganic carbon and CO2 in interstitial air, as well as a close relationship between chlorophyll and dissolved organic carbon (DOC). As a consequence, the DOC resource available in coastal snow can support a more diverse bacterial community that includes microorganisms from a range of nearby terrestrial and marine habitats. Therefore, since further expansion of the melt zone will influence glacial snowpacks more than coastal ones, care must be taken when considering the types of communities that may be expected to evolve there.</t>
  </si>
  <si>
    <t>[Hodson, A. J.; Nowak, A.; Cook, J.; Wharfe, E. S.] Univ Sheffield, Dept Geog, Sheffield, S Yorkshire, England; [Hodson, A. J.] Univ Ctr Svalbard, Arctic Geol, Longyearbyen, Norway; [Sabacka, M.] Univ Bristol, Sch Geog Sci, Bristol, Avon, England; [Pearce, D. A.] Univ Northumbria, Fac Hlth &amp; Life Sci, Newcastle Upon Tyne, Tyne &amp; Wear, England; [Convey, P.] British Antarctic Survey, Cambridge, England; [Vieira, G.] Univ Lisbon, Ctr Geog Studies, IGOT, Lisbon, Portugal</t>
  </si>
  <si>
    <t>University of Sheffield; University Centre Svalbard (UNIS); University of Bristol; Northumbria University; UK Research &amp; Innovation (UKRI); Natural Environment Research Council (NERC); NERC British Antarctic Survey; Universidade de Lisboa</t>
  </si>
  <si>
    <t>Hodson, AJ (corresponding author), Univ Sheffield, Dept Geog, Sheffield, S Yorkshire, England.;Hodson, AJ (corresponding author), Univ Ctr Svalbard, Arctic Geol, Longyearbyen, Norway.</t>
  </si>
  <si>
    <t>a.j.hodson@sheffield.ac.uk</t>
  </si>
  <si>
    <t>Convey, Peter/AAV-5728-2020; Vieira, Goncalo/G-5958-2010; Sabacka, Marie/I-6378-2012</t>
  </si>
  <si>
    <t>Convey, Peter/0000-0001-8497-9903; Vieira, Goncalo/0000-0001-7611-3464; Sabacka, Marie/0000-0002-0876-2718; Cook, Joseph/0000-0002-9270-363X; Nowak, Aga/0000-0002-7130-1383; Hodson, Andrew/0000-0002-1255-7987; Pearce, David/0000-0001-5292-4596</t>
  </si>
  <si>
    <t>Natural Environment Research Council [NE/H014446/1, NE/M021025/1]; Fundacao para a Ciencia e a Tecnologia [PTDC/AAG-GLO/3908/2012]; Natural Environment Research Council [NE/M021025/1, NE/H014446/1, NE/H014802/2, bas0100036, NE/H014802/1] Funding Source: researchfish; Fundação para a Ciência e a Tecnologia [PTDC/AAG-GLO/3908/2012] Funding Source: FCT; NERC [NE/H014802/2, NE/M021025/1, NE/H014802/1, bas0100036, NE/H014446/1] Funding Source: UKRI</t>
  </si>
  <si>
    <t>Natural Environment Research Council(UK Research &amp; Innovation (UKRI)Natural Environment Research Council (NERC)); Fundacao para a Ciencia e a Tecnologia(Fundacao para a Ciencia e a Tecnologia (FCT)); Natural Environment Research Council(UK Research &amp; Innovation (UKRI)Natural Environment Research Council (NERC)); Fundação para a Ciência e a Tecnologia(Fundacao para a Ciencia e a Tecnologia (FCT)); NERC(UK Research &amp; Innovation (UKRI)Natural Environment Research Council (NERC))</t>
  </si>
  <si>
    <t>The authors acknowledge Natural Environment Research Council grants NE/H014446/1 (to Hodson, Sabacka, Pearce, and Convey) and NE/M021025/1 (to Hodson and Cook), as well as Fundacao para a Ciencia e a Tecnologia grant PTDC/AAG-GLO/3908/2012 (to Vieira). The Portuguese Polar Program and Bulgarian Antarctic Institute provided logistical support for the fieldwork. The authors cite no conflict of interest. Data supporting our conclusions can be found within this manuscript, its supporting information, and, for the nucleotide sequences, with GenBank (https://www.ncbi.nlm.nih.gov/genbank/) under accession numbers SAMN06368443 to SAMN06368447.</t>
  </si>
  <si>
    <t>2169-8953</t>
  </si>
  <si>
    <t>2169-8961</t>
  </si>
  <si>
    <t>J GEOPHYS RES-BIOGEO</t>
  </si>
  <si>
    <t>J. Geophys. Res.-Biogeosci.</t>
  </si>
  <si>
    <t>10.1002/2016JG003694</t>
  </si>
  <si>
    <t>Environmental Sciences; Geosciences, Multidisciplinary</t>
  </si>
  <si>
    <t>Environmental Sciences &amp; Ecology; Geology</t>
  </si>
  <si>
    <t>FC0IC</t>
  </si>
  <si>
    <t>Green Accepted, Green Published, hybrid</t>
  </si>
  <si>
    <t>WOS:000406520900010</t>
  </si>
  <si>
    <t>Jiang, GM; Li, SS; Wang, ZY</t>
  </si>
  <si>
    <t>Jiang, Geng-Ming; Li, Shanshan; Wang, Zhong-Yi</t>
  </si>
  <si>
    <t>Intercalibration of IRAS/FY-3B Infrared Channels With IASI/Metop-A 1C Data</t>
  </si>
  <si>
    <t>IEEE JOURNAL OF SELECTED TOPICS IN APPLIED EARTH OBSERVATIONS AND REMOTE SENSING</t>
  </si>
  <si>
    <t>Hyperspectral convolution (HSC) method; infrared atmospheric sounder (IRAS)/FengYun 3B (FY-3B); infrared atmospheric sounding interferometer (IASI)/Metop-A; infrared channels; intercalibration</t>
  </si>
  <si>
    <t>CALIBRATION; SATELLITES</t>
  </si>
  <si>
    <t>This paper addresses the intercalibration of the infrared channels 1-19 of Infrared Atmospheric Sounder (IRAS) on FengYun 3B (FY-3B) against the hyperspectral channels of the infrared atmospheric sounding interferometer (IASI) aboard Metop-A. Matching measurements were collected over the Arctic area (60 degrees N-90 degrees N) and Antarctic area (60 degrees S-90 degrees S) with collocation, absolute observation time difference of less than 20 min (|Delta time| &lt; 20 min), and | cos theta(1)/cos theta(2) - 1| &lt; 0.02, where theta(1) and theta 2 are, respectively, the viewing zenith angles of IRAS/FY3B and IASI/Metop-A measurements. The results show that the measurements in channels 1-12, 14, and 15 are linearly related to the convolved IASI/Metop-A measurements, and no obvious impact of direct solar illumination on these channels is observed. Although the measurements in channels 13, and 16-18 are also linearly related to the convolved IASI/Metop-A measurements, they are strongly influenced by direct solar illumination: The measurements with satellites illuminated by the Sun and with satellites in the Earth shadow are distributed on different lines. The measurements in channels 18 and 19 present certain nonlinear characteristics. Against the convolved IASI/Metop-A measurements, the measurements in IRAS/FY-3B channels 1-12, 14-17, and 19 were averagely 1.0-2.0 K underestimated, whereas the measurements in IRAS/FY-3B channels 13 and 18 were 2.0-4.0 K overestimated. Linear/nonlinear regressions were conducted on the matching measurements and intercalibration coefficients were obtained. Corrections of the measurements in IRAS/FY-3B channels 1-19 with the intercalibration indicate that the calibration of IASI/Metop-A hyperspectral channels was successfully transferred to IRAS/FY-3B channels 1-19.</t>
  </si>
  <si>
    <t>[Jiang, Geng-Ming; Li, Shanshan; Wang, Zhong-Yi] Fudan Univ, Key Lab Informat Sci Electromagnet Waves, Minist Educ, Shanghai 200433, Peoples R China</t>
  </si>
  <si>
    <t>Fudan University</t>
  </si>
  <si>
    <t>Jiang, GM (corresponding author), Fudan Univ, Key Lab Informat Sci Electromagnet Waves, Minist Educ, Shanghai 200433, Peoples R China.</t>
  </si>
  <si>
    <t>jianggm@fudan.edu.cn; 16210720107@fudan.edu.cn; 13210720085@fudan.edu.cn</t>
  </si>
  <si>
    <t>Shan-Shan, Li/Q-9503-2017</t>
  </si>
  <si>
    <t>National Natural Science Foundation of China [41271012, 61331020]</t>
  </si>
  <si>
    <t>National Natural Science Foundation of China(National Natural Science Foundation of China (NSFC))</t>
  </si>
  <si>
    <t>This work was supported by the National Natural Science Foundation of China under Grant 41271012 and Grant 61331020.</t>
  </si>
  <si>
    <t>IEEE-INST ELECTRICAL ELECTRONICS ENGINEERS INC</t>
  </si>
  <si>
    <t>PISCATAWAY</t>
  </si>
  <si>
    <t>445 HOES LANE, PISCATAWAY, NJ 08855-4141 USA</t>
  </si>
  <si>
    <t>1939-1404</t>
  </si>
  <si>
    <t>2151-1535</t>
  </si>
  <si>
    <t>IEEE J-STARS</t>
  </si>
  <si>
    <t>IEEE J. Sel. Top. Appl. Earth Observ. Remote Sens.</t>
  </si>
  <si>
    <t>10.1109/JSTARS.2017.2672723</t>
  </si>
  <si>
    <t>Engineering, Electrical &amp; Electronic; Geography, Physical; Remote Sensing; Imaging Science &amp; Photographic Technology</t>
  </si>
  <si>
    <t>Engineering; Physical Geography; Remote Sensing; Imaging Science &amp; Photographic Technology</t>
  </si>
  <si>
    <t>FB8WE</t>
  </si>
  <si>
    <t>WOS:000406419400009</t>
  </si>
  <si>
    <t>Perkins, NR; Foster, SD; Hill, NA; Marzloff, MP; Barrett, NS</t>
  </si>
  <si>
    <t>Perkins, Nicholas R.; Foster, Scott D.; Hill, Nicole A.; Marzloff, Martin P.; Barrett, Neville S.</t>
  </si>
  <si>
    <t>Temporal and spatial variability in the cover of deep reef species: Implications for monitoring</t>
  </si>
  <si>
    <t>ECOLOGICAL INDICATORS</t>
  </si>
  <si>
    <t>AUV; Benthic monitoring; Ecological monitoring; Imagery; Survey design; Sampling design</t>
  </si>
  <si>
    <t>CLIMATE-CHANGE; RANGE SHIFTS; MARINE; DESIGNS; TRENDS</t>
  </si>
  <si>
    <t>Imagery collected from Autonomous Underwater Vehicles (AUVs) provides a novel means of monitoring changes in benthic ecosystems over large spatial scales and depth ranges. However, for many benthic ecosystems there is little baseline data to quantify temporal and spatial variance for key indicator species. This information is crucial for isolating background noise from long-term signals. Here we quantify components of variance for five key deep-water sessile invertebrate species across four long-term benthic monitoring sites in a region undergoing strong climate-driven changes. We use linear mixed models to estimate the contribution of sources of spatial and temporal variance in species covers from empirical data. We then combine this information with projected long-term climate-driven changes in the cover of these groups and test the power of various survey designs to detect change through time. Large short-term temporal and spatial variability in the cover of a gorgonian octocoral results in high components of variance that limit the detectability of the projected long-term trend for this species. Conversely, for three of the sponge species high power is achievable with revisits to the four original sites every two years until 2060. By including more sites in the revisit design, high power can be achieved with less frequent revisits. For the fifth species, we find high power is unachievable due to the small trend predicted. Overall, we highlight how examination of components of variance in a system can aid in the selection of suitable indicators and the establishment of effective monitoring programs. (C) 2017 Elsevier Ltd. All rights reserved.</t>
  </si>
  <si>
    <t>[Perkins, Nicholas R.; Hill, Nicole A.; Marzloff, Martin P.; Barrett, Neville S.] Univ Tasmania, Inst Marine &amp; Antarctic Studies, Private Bag 49, Hobart, Tas 7001, Australia; [Foster, Scott D.] Commonwealth Ind &amp; Sci Res Org, Hobart, Tas, Australia</t>
  </si>
  <si>
    <t>University of Tasmania</t>
  </si>
  <si>
    <t>Perkins, NR (corresponding author), Univ Tasmania, Inst Marine &amp; Antarctic Studies, Private Bag 49, Hobart, Tas 7001, Australia.</t>
  </si>
  <si>
    <t>Nicholas.Perkins@utas.edu.au</t>
  </si>
  <si>
    <t>Hill, Nicole A/J-7856-2014; Marzloff, Martin/AAY-3833-2020; Barrett, Neville/J-7593-2014; Foster, Scott/E-9311-2010</t>
  </si>
  <si>
    <t>Marzloff, Martin/0000-0002-8152-4273; Barrett, Neville/0000-0002-6167-1356; Perkins, Nicholas/0000-0002-1328-2321; Foster, Scott/0000-0002-6719-8002</t>
  </si>
  <si>
    <t>Australian Government's National Environmental Science Programme; Australian Research Council [F5110200029]</t>
  </si>
  <si>
    <t>Australian Government's National Environmental Science Programme(Australian Government); Australian Research Council(Australian Research Council)</t>
  </si>
  <si>
    <t>This work was undertaken for the Marine Biodiversity Hub, a collaborative partnership supported through funding from the Australian Government's National Environmental Science Programme. We thank Prof Stefan Williams and his IMOS AUV facility team, and collaborating research agencies in eastern Australia (NSW Marine Parks Authority and IMAS, University of Tasmania) for supporting the collection and collation of deep reef imagery in the region and making it available for this study. We also thank Justin Hulls, Lainey James and the numerous technical staff that have assisted in the field programs, and post-processing of the acquired imagery to allow the analysis presented here. MPM's work on climate-driven redistribution of reef habitat-formers in SE Australia was funded by a 2011 SuperScience Fellowship from the Australian Research Council (project F5110200029).</t>
  </si>
  <si>
    <t>ELSEVIER</t>
  </si>
  <si>
    <t>AMSTERDAM</t>
  </si>
  <si>
    <t>RADARWEG 29, 1043 NX AMSTERDAM, NETHERLANDS</t>
  </si>
  <si>
    <t>1470-160X</t>
  </si>
  <si>
    <t>1872-7034</t>
  </si>
  <si>
    <t>ECOL INDIC</t>
  </si>
  <si>
    <t>Ecol. Indic.</t>
  </si>
  <si>
    <t>10.1016/j.ecolind.2017.02.030</t>
  </si>
  <si>
    <t>Biodiversity Conservation; Environmental Sciences</t>
  </si>
  <si>
    <t>Biodiversity &amp; Conservation; Environmental Sciences &amp; Ecology</t>
  </si>
  <si>
    <t>FB9BY</t>
  </si>
  <si>
    <t>WOS:000406435800035</t>
  </si>
  <si>
    <t>Galindo, JLG; García, BF; Torres, A; Galindo, JCG; Romagni, JG; Macías, FA</t>
  </si>
  <si>
    <t>Galindo, Jose L. G.; Garcia, Benito F.; Torres, Ascension; Galindo, Juan C. G.; Romagni, Joanne G.; Macias, Francisco A.</t>
  </si>
  <si>
    <t>The joint action in the bioactivity studies of Antarctic lichen Umbilicaria antarctica: Synergic-biodirected isolation in a preliminary holistic ecological study</t>
  </si>
  <si>
    <t>PHYTOCHEMISTRY LETTERS</t>
  </si>
  <si>
    <t>Article; Proceedings Paper</t>
  </si>
  <si>
    <t>International Symposium on Chromatography of Natural Products (ISCNP)</t>
  </si>
  <si>
    <t>Lublin, POLAND</t>
  </si>
  <si>
    <t>Allelopathy; Antarctica; Polyols; Phenolic compounds; Coleoptile bioassay; Additive interactions</t>
  </si>
  <si>
    <t>COLEOPTILE; GROWTH</t>
  </si>
  <si>
    <t>Antarctica is one of the world's most inaccessible regions. This area is also unique in that it has a terrestrial biota dominated by non-vascular plants, of which lichens and mosses are typically the dominant life-forms. A phytochemical study of Antarctic lichen (Umbilicaria antarctica) collected from maritime Antarctica has been carried out. The hexane, acetone and butanol extracts have been subjected to a preliminary general bioactivity test using wheat etiolated coleoptiles. A chromatographic study of the acetone extract was performed and seven known compounds were isolated. The general bioactivity of the compounds on etiolated wheat coleoptile has been assessed and joint action studies on mixtures of the compounds were carried out - a methodology that may be the way to a holistic approach in the ecological studies of lichens. The results corroborated the activity exhibited by the original fractions, which in turn support the use of this bioassay to determine joint interactions responsible for the bioactivity shown by U. antarctica. (C) 2016 Phytochemical Society of Europe. Published by Elsevier Ltd. All rights reserved.</t>
  </si>
  <si>
    <t>[Galindo, Jose L. G.; Garcia, Benito F.; Torres, Ascension; Galindo, Juan C. G.; Macias, Francisco A.] Univ Cadiz, Inst Biomol, INBIO, Allelopathy Grp,Dept Organ Chem,Sch Sci, C Republ Saharaui 7, Cadiz 11510, Spain; [Romagni, Joanne G.] De Paul Univ, Dept Biol, 1 E Jackson Blvd, Chicago, IL 60604 USA</t>
  </si>
  <si>
    <t>Universidad de Cadiz; DePaul University</t>
  </si>
  <si>
    <t>Macías, FA (corresponding author), Univ Cadiz, Inst Biomol, INBIO, Allelopathy Grp,Dept Organ Chem,Sch Sci, C Republ Saharaui 7, Cadiz 11510, Spain.</t>
  </si>
  <si>
    <t>famacias@uca.es</t>
  </si>
  <si>
    <t>Macías, Francisco A/W-2568-2018</t>
  </si>
  <si>
    <t>Macías, Francisco A/0000-0001-8862-2864; FERNANDEZ, BENITO/0000-0003-2202-6239; Garcia Galindo, Juan Carlos/0000-0001-9653-379X</t>
  </si>
  <si>
    <t>Ministerio de Economia y Competitividad Spain [AGL2013-42238-R]; Ministerio de Educacion y Ciencia Spain [CGL2004-21560-E, CGL2005-25090-E/ANT]</t>
  </si>
  <si>
    <t>Ministerio de Economia y Competitividad Spain(Spanish Government); Ministerio de Educacion y Ciencia Spain(Spanish Government)</t>
  </si>
  <si>
    <t>This research was supported by the Ministerio de Economia y Competitividad (Project AGL2013-42238-R), Spain. We also acknowledge the Ministerio de Educacion y Ciencia (Project CGL2004-21560-E) and (Project CGL2005-25090-E/ANT), Spain.</t>
  </si>
  <si>
    <t>1874-3900</t>
  </si>
  <si>
    <t>1876-7486</t>
  </si>
  <si>
    <t>PHYTOCHEM LETT</t>
  </si>
  <si>
    <t>Phytochem. Lett.</t>
  </si>
  <si>
    <t>10.1016/j.phytol.2016.12.026</t>
  </si>
  <si>
    <t>Plant Sciences; Chemistry, Medicinal</t>
  </si>
  <si>
    <t>Science Citation Index Expanded (SCI-EXPANDED); Conference Proceedings Citation Index - Science (CPCI-S)</t>
  </si>
  <si>
    <t>Plant Sciences; Pharmacology &amp; Pharmacy</t>
  </si>
  <si>
    <t>FA5FF</t>
  </si>
  <si>
    <t>WOS:000405467600079</t>
  </si>
  <si>
    <t>Weinstein, BG; Double, M; Gales, N; Johnston, DW; Friedlaender, AS</t>
  </si>
  <si>
    <t>Weinstein, Ben G.; Double, Michael; Gales, Nick; Johnston, David W.; Friedlaender, Ari S.</t>
  </si>
  <si>
    <t>Identifying overlap between humpback whale foraging grounds and the Antarctic krill fishery</t>
  </si>
  <si>
    <t>BIOLOGICAL CONSERVATION</t>
  </si>
  <si>
    <t>Cetaceans; Bayesian movement models; Gerlache Strait; CCAMLR; Fisheries management</t>
  </si>
  <si>
    <t>MEGAPTERA-NOVAEANGLIAE; SEA-ICE; PENINSULA; ABUNDANCE; RESPONSES; ECOSYSTEM; PATTERNS; BEHAVIOR; WATERS; WEST</t>
  </si>
  <si>
    <t>The Antarctic krill fishery is the largest in the southern ocean, but currently operates without fine-scale information on whale movement and behavior. Using a multi-year dataset of satellite-tagged whales, as well as information on krill catch levels, we analyzed the spatial distribution of whales and fisheries effort within the small-scale management units defined by the Convention for the Conservation of Antarctic Marine Living Resources (CCAMLR). Using a Bayesian movement model to partition whale movement into traveling and area restricted search states, we found that both whale behavior and krill catch effort were spatially clustered, with distinct hotspots of the whale activity in the Gerlache and southern Branfield Straits. These areas align with increases in krill fishing effort, and present potential areas of current and future conflict. We recommend that the Antarctic West and Bransfield Strait West management units merit particular attention when setting fine-scale catch limits and, more broadly, consideration as critical areas for krill predator foraging.</t>
  </si>
  <si>
    <t>[Weinstein, Ben G.; Friedlaender, Ari S.] Oregon State Univ, Marine Mammal Inst, Dept Fisheries &amp; Wildlife, 2030 Marine Sci Dr, Newport, OR 97365 USA; [Double, Michael; Gales, Nick] Australian Antarctic Div, 203 Channel Highway, Kingston, Tas 7050, Australia; [Johnston, David W.] Duke Univ, Marine Lab, 135 Duke Marine Lab Rd, Beaufort, NC 28516 USA</t>
  </si>
  <si>
    <t>Oregon State University; Australian Antarctic Division; Duke University</t>
  </si>
  <si>
    <t>Weinstein, BG (corresponding author), Oregon State Univ, Marine Mammal Inst, Dept Fisheries &amp; Wildlife, 2030 Marine Sci Dr, Newport, OR 97365 USA.</t>
  </si>
  <si>
    <t>weinsteb@oregonstate.edu</t>
  </si>
  <si>
    <t>Johnston, David/AAJ-5013-2020</t>
  </si>
  <si>
    <t>Johnston, David/0000-0003-2424-036X</t>
  </si>
  <si>
    <t>Antarctic Wildlife Research Fund; International Whaling Commission; Southern Ocean Research Partnership; National Science Foundation [ANT 0823101, 1250208, 1440435]</t>
  </si>
  <si>
    <t>Antarctic Wildlife Research Fund; International Whaling Commission; Southern Ocean Research Partnership; National Science Foundation(National Science Foundation (NSF))</t>
  </si>
  <si>
    <t>This research was supported by research grants from the Antarctic Wildlife Research Fund, International Whaling Commission, Southern Ocean Research Partnership and National Science Foundation ANT 0823101, 1250208, and 1440435. Research was conducted under NMFS Permits 14907, 14809, and 14856, ACA Permits 2009-013 and 2015-011, Duke University IACUC A049-122-02 and Oregon State University ACUP 4513. We would like to thank the crews of the R/V Point Sur and ARSV Laurence M Gould for their support, and numerous colleagues for their constructive comments and feedback during the development of this project including Rodolfo Werner, Doug Nowacek, Andy Read, and Caroline Casey. We are grateful for the field contributions of John Durban, Bob Pitman, Reny Tyson, Matthew Bowers, Ladd Irvine, Heather Foley, Erin Pickett, and numerous marine technicians. We would also like to thank members of CCAMLR for providing data from the krill fishery, especially David Ramm and Rodolfo Werner for their support of this research.</t>
  </si>
  <si>
    <t>ELSEVIER SCI LTD</t>
  </si>
  <si>
    <t>THE BOULEVARD, LANGFORD LANE, KIDLINGTON, OXFORD OX5 1GB, OXON, ENGLAND</t>
  </si>
  <si>
    <t>0006-3207</t>
  </si>
  <si>
    <t>1873-2917</t>
  </si>
  <si>
    <t>BIOL CONSERV</t>
  </si>
  <si>
    <t>Biol. Conserv.</t>
  </si>
  <si>
    <t>A</t>
  </si>
  <si>
    <t>10.1016/j.biocon.2017.04.014</t>
  </si>
  <si>
    <t>Biodiversity Conservation; Ecology; Environmental Sciences</t>
  </si>
  <si>
    <t>FB1CP</t>
  </si>
  <si>
    <t>hybrid</t>
  </si>
  <si>
    <t>WOS:000405881600021</t>
  </si>
  <si>
    <t>Naqvi, SUEK; Qin, YA; Tahir, A; Stougaard, P</t>
  </si>
  <si>
    <t>Naqvi, Syeda Um-e-Kalsoom; Qin, Yanan; Tahir, Arifa; Stougaard, Peter</t>
  </si>
  <si>
    <t>Pararhizobium antarcticum sp nov., isolated from Antarctic water samples</t>
  </si>
  <si>
    <t>INTERNATIONAL JOURNAL OF SYSTEMATIC AND EVOLUTIONARY MICROBIOLOGY</t>
  </si>
  <si>
    <t>Rhizobium; Antarctica</t>
  </si>
  <si>
    <t>EMENDED DESCRIPTION; FATTY-ACIDS; RHIZOBIUM; BRADYRHIZOBIUM; AGROBACTERIUM; COMBINATIONS; STANDARD; BACTERIA</t>
  </si>
  <si>
    <t>Two bacterial strains were isolated from sediments and microbial mats of Kingfisher Pond, Antarctica and characterized in a taxonomic study using a polyphasic approach. Cells were strictly aerobic, Gram-stain-negative, rod-shaped, motile (+50 flagellum-specific genes present in the genome sequence; motility observed under microscope) and formed creamy white, half-transparent colonies. Growth occurred at 4 to 28 degrees C with an optimum at 20 degrees C, with 0-5.0% (w/v) NaCl (optimum at 0-1.0 %) and at pH 4.0-11.0 (optimum pH 7.0-9.0). The major fatty acid was C-18 (:) (1)omega 7c. The respiratory quinone was ubiquinone 10 (Q-10). The DNA G+C content was 60.7 mol %. The polar lipids were phosphatidylglycerol, phosphatidylethanolamine and phosphatidylmethanolamine in addition to three unidentified lipids, one unknown glycolipid and five unidentified phospholipids. Comparative analysis of 16S rRNA gene sequences showed highest sequence similarity (98.1 %) to Pararhizobium giardinii H152(T), Pararhizobium herbae CCBAU 83011(T), and 'Pararhizobium polonicum' F5.1. In silico average nucleotide identity (ANI) and genome-to-genome distance calculator (GGDC) showed 81.1% identity (ANI) and 22.6% identity (GGDC) to the closest relative, 'P. polonicum' F5.1. On the basis of phenotypic, phylogenetic, genomic and chemotaxonomic data, the two strains represent a novel species of the genus Pararhizobium, for which the name Pararhizobium antarcticum sp. nov. is proposed. The type strain is NAQVI 59(T) (=DSM 103442(T) = LMG 29675(T)).</t>
  </si>
  <si>
    <t>[Naqvi, Syeda Um-e-Kalsoom; Qin, Yanan; Stougaard, Peter] Univ Copenhagen, Dept Plant &amp; Environm Sci, Thorvaldsensvej 40, DK-1871 Frederiksberg, Denmark; [Naqvi, Syeda Um-e-Kalsoom; Tahir, Arifa] Lahore Coll Women Univ, Dept Environm Sci, Lahore, Pakistan</t>
  </si>
  <si>
    <t>University of Copenhagen</t>
  </si>
  <si>
    <t>Stougaard, P (corresponding author), Univ Copenhagen, Dept Plant &amp; Environm Sci, Thorvaldsensvej 40, DK-1871 Frederiksberg, Denmark.</t>
  </si>
  <si>
    <t>psg@plen.ku.dk</t>
  </si>
  <si>
    <t>Tahir, Arifa/AAV-4020-2020; Stougaard, Peter/G-9978-2014</t>
  </si>
  <si>
    <t>Tahir, Arifa/0000-0003-2450-1654; Stougaard, Peter/0000-0002-2796-7137</t>
  </si>
  <si>
    <t>Higher Education Commission (HEC) of Pakistan under IRSIP [1-8/HEC/HRD/20143432]; Novo Nordisk Fonden [NNF12OC0000797] Funding Source: researchfish</t>
  </si>
  <si>
    <t>Higher Education Commission (HEC) of Pakistan under IRSIP; Novo Nordisk Fonden(Novo Nordisk Foundation)</t>
  </si>
  <si>
    <t>This work was supported by a grant from the Higher Education Commission (HEC) of Pakistan under IRSIP grant no. 1-8/HEC/HRD/20143432, to Ph.D Scholar S.U.</t>
  </si>
  <si>
    <t>MICROBIOLOGY SOC</t>
  </si>
  <si>
    <t>LONDON</t>
  </si>
  <si>
    <t>CHARLES DARWIN HOUSE, 12 ROGER ST, LONDON WC1N 2JU, ERKS, ENGLAND</t>
  </si>
  <si>
    <t>1466-5026</t>
  </si>
  <si>
    <t>1466-5034</t>
  </si>
  <si>
    <t>INT J SYST EVOL MICR</t>
  </si>
  <si>
    <t>Int. J. Syst. Evol. Microbiol.</t>
  </si>
  <si>
    <t>10.1099/ijsem.0.001828</t>
  </si>
  <si>
    <t>Microbiology</t>
  </si>
  <si>
    <t>FA5SL</t>
  </si>
  <si>
    <t>Bronze</t>
  </si>
  <si>
    <t>WOS:000405503800005</t>
  </si>
  <si>
    <t>Morozov, EG; Tarakanov, RY; Demidova, TA; Makarenko, NI</t>
  </si>
  <si>
    <t>Morozov, E. G.; Tarakanov, R. Yu.; Demidova, T. A.; Makarenko, N. I.</t>
  </si>
  <si>
    <t>Flows of Bottom Water in Fractures of the North Mid-Atlantic Ridge</t>
  </si>
  <si>
    <t>DOKLADY EARTH SCIENCES</t>
  </si>
  <si>
    <t>ZONE; TRANSPORT</t>
  </si>
  <si>
    <t>It has been shown that the total transport of Antarctic Bottom Water (AABW) in the northern fractures (Kane, Cabo Verde, Marathon) are one order of magnitude smaller than in the southern fractures (Vema, Doldrums, Vernadsky). The estimates of AABW transport through this group of fractures based on measurements in 2014 were approximately 0.28 Sv, which is about 25% of the transport through the Vema Fracture Zone. However, the coldest water flows through the Vema Fracture Zone.</t>
  </si>
  <si>
    <t>[Morozov, E. G.; Tarakanov, R. Yu.; Demidova, T. A.] Russian Acad Sci, Shirshov Inst Oceanol, Moscow, Russia; [Makarenko, N. I.] Russian Acad Sci, Lavrentev Inst Hydrodynam, Siberian Branch, Novosibirsk, Russia</t>
  </si>
  <si>
    <t>Russian Academy of Sciences; Shirshov Institute of Oceanology; Lavrentyev Institute of Hydrodynamics; Russian Academy of Sciences</t>
  </si>
  <si>
    <t>Morozov, EG (corresponding author), Russian Acad Sci, Shirshov Inst Oceanol, Moscow, Russia.</t>
  </si>
  <si>
    <t>egmorozov@mail.ru</t>
  </si>
  <si>
    <t>Morozov, Eugene G/L-3023-2018; Tarakanov, Roman/R-3325-2016</t>
  </si>
  <si>
    <t>Tarakanov, Roman/0000-0002-8711-1859; Morozov, Eugene/0000-0002-0251-3454</t>
  </si>
  <si>
    <t>Russian Science Foundation [14-05-00095]</t>
  </si>
  <si>
    <t>Russian Science Foundation(Russian Science Foundation (RSF))</t>
  </si>
  <si>
    <t>This work was supported by the Russian Science Foundation, grant no. 14-05-00095.</t>
  </si>
  <si>
    <t>MAIK NAUKA/INTERPERIODICA/SPRINGER</t>
  </si>
  <si>
    <t>NEW YORK</t>
  </si>
  <si>
    <t>233 SPRING ST, NEW YORK, NY 10013-1578 USA</t>
  </si>
  <si>
    <t>1028-334X</t>
  </si>
  <si>
    <t>1531-8354</t>
  </si>
  <si>
    <t>DOKL EARTH SCI</t>
  </si>
  <si>
    <t>Dokl. Earth Sci.</t>
  </si>
  <si>
    <t>10.1134/S1028334X17060058</t>
  </si>
  <si>
    <t>Geosciences, Multidisciplinary</t>
  </si>
  <si>
    <t>Geology</t>
  </si>
  <si>
    <t>FA8ON</t>
  </si>
  <si>
    <t>WOS:000405705400010</t>
  </si>
  <si>
    <t>Abelson, M; Erez, J</t>
  </si>
  <si>
    <t>Abelson, Meir; Erez, Jonathan</t>
  </si>
  <si>
    <t>The onset of modern-like Atlantic meridional overturning circulation at the Eocene-Oligocene transition: Evidence, causes, and possible implications for global cooling</t>
  </si>
  <si>
    <t>GEOCHEMISTRY GEOPHYSICS GEOSYSTEMS</t>
  </si>
  <si>
    <t>Eocene-Oligocene transition; AMOC; oxygen and carbon isotopes; antiestuarine circulation; Nordic seas; Atlantic Ocean</t>
  </si>
  <si>
    <t>ANTARCTIC CIRCUMPOLAR CURRENT; DEEP-WATER CIRCULATION; GREENLAND-SCOTLAND RIDGE; NORTH-ATLANTIC; DRAKE PASSAGE; SOUTHERN-OCEAN; THERMOHALINE CIRCULATION; ATMOSPHERIC CO2; SEDIMENT ACCUMULATION; BENTHIC FORAMINIFERA</t>
  </si>
  <si>
    <t>A compilation of benthic O-18 from the whole Atlantic and the Southern Ocean (Atlantic sector) shows two major jumps in the interbasinal gradient of O-18 (O-18) during the Eocene and the Oligocene: one at approximate to 40 Ma and the second concomitant with the isotopic event of the Eocene-Oligocene transition (EOT), approximate to 33.7 Ma ago. From previously published circulation models and proxies, we show that the first O-18 jump reflects the thermal isolation of Antarctica associated with the proto-Antarctic circumpolar current (ACC). The second marks the onset of interhemispheric northern-sourced circulation cell, similar to the modern Atlantic meridional overturning circulation (AMOC). The onset of AMOC-like circulation slightly preceded (100-300 kyr) the EOT, as we show by the high-resolution profiles of O-18 and C-13 previously published from DSDP/ODP sites in the Southern Ocean and South Atlantic. These events coincide with the onset of antiestuarine circulation between the Nordic seas and the North Atlantic which started around the EOT and may be connected to the deepening of the Greenland-Scotland Ridge. We suggest that while the shallow proto-ACC supplied the energy for deep ocean convection in the Southern Hemisphere, the onset of the interhemispheric northern circulation cell was due to the significant EOT intensification of deepwater formation in the North Atlantic driven by the Nordic antiestuarine circulation. This onset of the interhemispheric northern-sourced circulation cell could have prompted the EOT global cooling. Plain Language Summary The Eocene-Oligocene transition is the major abrupt climatic event during the Cenozoic, which marks the major step to the icehouse world. We show that this transition is a shift to a world with Atlantic meridional overturning circulation (AMOC) and slightly preceded this transition. Thus, possibly was a major factor in this climatic shift.</t>
  </si>
  <si>
    <t>[Abelson, Meir] Geol Survey Israel, Jerusalem, Israel; [Erez, Jonathan] Hebrew Univ Jerusalem, Inst Earth Sci, Givat Ram Campus, Jerusalem, Israel</t>
  </si>
  <si>
    <t>Geological Survey Israel; Hebrew University of Jerusalem</t>
  </si>
  <si>
    <t>Abelson, M (corresponding author), Geol Survey Israel, Jerusalem, Israel.</t>
  </si>
  <si>
    <t>meira@gsi.gov.il</t>
  </si>
  <si>
    <t>1525-2027</t>
  </si>
  <si>
    <t>GEOCHEM GEOPHY GEOSY</t>
  </si>
  <si>
    <t>Geochem. Geophys. Geosyst.</t>
  </si>
  <si>
    <t>10.1002/2017GC006826</t>
  </si>
  <si>
    <t>FA6WJ</t>
  </si>
  <si>
    <t>WOS:000405585000010</t>
  </si>
  <si>
    <t>Perotti, M; Andreucci, B; Talarico, F; Zattin, M; Langone, A</t>
  </si>
  <si>
    <t>Perotti, Matteo; Andreucci, Benedetta; Talarico, Franco; Zattin, Massimiliano; Langone, Antonio</t>
  </si>
  <si>
    <t>Multianalytical provenance analysis of Eastern Ross Sea LGM till sediments (Antarctica): Petrography, geochronology, and thermochronology detrital data</t>
  </si>
  <si>
    <t>MARIE-BYRD-LAND; PLEISTOCENE-HOLOCENE RETREAT; MIGMATITE-GRANITE COMPLEX; EDWARD-VII-PENINSULA; U-PB GEOCHRONOLOGY; ICE-SHEET SYSTEM; WEST ANTARCTICA; FOSDICK MOUNTAINS; PACIFIC MARGIN; GNEISS DOME</t>
  </si>
  <si>
    <t>In order to reveal provenance of detrital sediments supplied by West Antarctic Ice Sheet (WAIS), 19 glaciomarine cores of Last Glacial Maximum age were analyzed from Eastern Ross Sea and Sulzberger Bay. Analytical techniques included petrographic analysis of gravel-sized clasts, geochronology (zircon U-Pb: Zrn-UPb) and thermochronology (apatite fission track: AFT) of sand-sized fractions. Petrographic analysis revealed a similarity with the lithologies presently exposed in western Marie Byrd Land (MBL), with major roles played by low-grade metamorphic rocks and granitoids. Furthermore Zrn-UPb and AFT data allowed to identify the ages of formation and cooling of sedimentary source area, consisting of Cambrian-Precambrian basement (i.e., Swanson Formation in western MBL) which underwent at least two episodes of magma intrusion, migmatization and cooling during Devonian-Carboniferous and Cretaceous-Paleocene times. Scarcity of volcanic clasts in the region of Ross Sea along the front of West Antarctica Ice Streams in association with the occurrence of AFT Oligocene-Pliocene dates suggests a localized tectonic exhumation of portions of MBL, as already documented for the opposite side of West Antarctic Rift System in the Transantarctic Mountains. Furthermore, a Zrn-UPb and AFT population of Late Triassic-Jurassic age indicates the presence of unexposed rocks that formed or metamorphosed at that time in the sedimentary source area, which could be identified in McAyeal Ice Stream and Bindschadler Ice Stream catchment areas.</t>
  </si>
  <si>
    <t>[Perotti, Matteo; Talarico, Franco] Univ Siena, Dept Phys Sci Earth &amp; Environm, Siena, Italy; [Andreucci, Benedetta; Zattin, Massimiliano] Univ Padua, Dept Geosci, Padua, Italy; [Langone, Antonio] Consiglio Nazl Ricerche, Ist Geosci Georisorse, Unita Pavia, Pavia, Italy</t>
  </si>
  <si>
    <t>University of Siena; University of Padua; Consiglio Nazionale delle Ricerche (CNR); Istituto di Geoscienze e Georisorse (IGG-CNR); University of Pavia</t>
  </si>
  <si>
    <t>Perotti, M (corresponding author), Univ Siena, Dept Phys Sci Earth &amp; Environm, Siena, Italy.</t>
  </si>
  <si>
    <t>perotti2@student.unisi.it</t>
  </si>
  <si>
    <t>Zattin, Massimiliano/A-8943-2012; Langone, Antonio/HLQ-1346-2023</t>
  </si>
  <si>
    <t>Langone, Antonio/0000-0002-7346-2922; Zattin, Massimiliano/0000-0002-2265-3921</t>
  </si>
  <si>
    <t>[PNRA 2013/AZ2.08]; Office of Polar Programs (OPP); Directorate For Geosciences [1141906] Funding Source: National Science Foundation</t>
  </si>
  <si>
    <t>; Office of Polar Programs (OPP); Directorate For Geosciences(National Science Foundation (NSF)NSF - Directorate for Geosciences (GEO))</t>
  </si>
  <si>
    <t>This work was funded by PNRA 2013/AZ2.08 project. All data used to support this study are present in the paper, in references, and in the supporting information in form of tables. We thank the staff of the Marine Geology Antarctic Research Facility of Tallahassee, Florida (USA) for their support in the stage of core selection and logging and for providing the samples of this study. We also thank Anne Grunow at the Polar Rock Repository in the Byrd Polar Research Centre, Ohio State University, for providing useful samples of rocks from the study area. Mineral chemistry full data and Zrn-UPb data are available as supporting information. We are grateful to two anonymous reviewers for their precious comments and advices that helped improve the earlier version of this paper.</t>
  </si>
  <si>
    <t>10.1002/2016GC006728</t>
  </si>
  <si>
    <t>WOS:000405585000014</t>
  </si>
  <si>
    <t>Victor, NJ; Frank-Kamenetsky, AV; Manu, S; Panneerselvam, C</t>
  </si>
  <si>
    <t>Victor, N. Jeni; Frank-Kamenetsky, A. V.; Manu, S.; Panneerselvam, C.</t>
  </si>
  <si>
    <t>Variation of atmospheric electric field measured at Vostok, Antarctica, during St. Patrick's Day storms on 24th solar cycle</t>
  </si>
  <si>
    <t>JOURNAL OF GEOPHYSICAL RESEARCH-SPACE PHYSICS</t>
  </si>
  <si>
    <t>global electric circuit; potential gradient; geomagnetic storm; ionospheric potential; solar-terrestrial coupling</t>
  </si>
  <si>
    <t>INTERPLANETARY MAGNETIC-FIELD; IONOSPHERIC ELECTRODYNAMIC MODELS; GROUND-LEVEL; GEOMAGNETIC DISTURBANCES; GEOELECTRIC FIELD; POLAR; CONVECTION; WIND; TIME; PARAMETERS</t>
  </si>
  <si>
    <t>The influence of solar wind-magnetosphere interaction on the atmospheric electric field is investigated in connection with the two severe geomagnetic storms during 24th solar cycle. The observation was carried out at Vostok (78 degrees 27'S, 106 degrees 52'E), Antarctica, during 17-18 March 2013 and 17-18 March 2015. Two consecutive substorms were observed at Vostok during the main phase of geomagnetic storms, where the disturbed ionospheric current is antisunward in the morning sector (similar to 04:00-10:00 UT) and sunward in the noon-afternoon sector (similar to 11:00-16:00 UT). Interplanetary magnetic field (IMF) and solar wind interaction enhance the ionospheric potential, which in turn couple with Potential Gradient (PG) measured at ground level. Eventually, for the first time, the slope of similar to 1.0Vm(-1) per kV has been demonstrated between Vostok PG and overhead ionospheric potential (Weimer_05) during intense (Kp=8) geomagnetic perturbation. The linear relation between PG and overhead potential is highly significant on positive coupling, i.e., positive PG changes, whereas the offset of similar to 25V/m has been estimated with negative coupling. Ionospheric convection map from Super Dual Auroral Radar Network is more compatible with PG on positive coupling, and for negative changes of PG, radar observation is more consistent than the Weimer_05 model. Ionospheric electric potential from radar observation and empirical model is highly compromised when a polar cap is dominated by a single negative potential region associated with IMF B-y&lt;&lt;0. It is inferred that superposed overhead ionospheric potential on Vostok PG is highly effective when IMF maintained a steady flow, whereas it is less significance for rapid changes of solar wind-IMF parameters.</t>
  </si>
  <si>
    <t>[Victor, N. Jeni; Panneerselvam, C.] Indian Inst Geomagnetism, Equatorial Geophys Res Lab, Tirunelveli, India; [Frank-Kamenetsky, A. V.] Arctic &amp; Antarctic Res Inst, St Petersburg, Russia; [Manu, S.] Tata Inst Fundamental Res, Mumbai, Maharashtra, India; [Manu, S.] MES Degree Coll, Bengaluru, India</t>
  </si>
  <si>
    <t>Department of Science &amp; Technology (India); Indian Institute of Geomagnetism (IIG); Arctic &amp; Antarctic Research Institute; Tata Institute of Fundamental Research (TIFR)</t>
  </si>
  <si>
    <t>Victor, NJ (corresponding author), Indian Inst Geomagnetism, Equatorial Geophys Res Lab, Tirunelveli, India.</t>
  </si>
  <si>
    <t>jenivictor@gmail.com</t>
  </si>
  <si>
    <t>SHANMUGAM, MANU/I-7629-2015</t>
  </si>
  <si>
    <t>SHANMUGAM, MANU/0000-0003-3307-456X; Frank-Kamenetsky, Alexandr/0000-0002-6301-8924; VICTOR, JENI/0000-0003-2867-3656</t>
  </si>
  <si>
    <t>national scientific funding agency of Australia; national scientific funding agencies of Canada; national scientific funding agencies of China; national scientific funding agencies of France; national scientific funding agencies of Italy; national scientific funding agencies of Japan; national scientific funding agencies of South Africa; national scientific funding agencies of UK; national scientific funding agencies of USA</t>
  </si>
  <si>
    <t>The authors are grateful to D.S. Ramesh, Director, IIG, for giving permission to publish this work. The authors express their gratitude to the Department of Science and Technology (DST), India. We thank Kyoto WDC (http://wdc.kugi.kyoto-u.ac.jp/) for the SYM-H, AL, AU, and Kp data and Wind satellite team for the CME and IMF data (http://omniweb.gsfc.nasa.gov/). The electric field mills deployed at Vostok was developed under Australian Antarctic Science Advisory Committee Project 974. Llyod Symons, Australian Antarctic and data division, developed the electric field mill electronics and data collection software. The data for Vostok obtained from Arctic and Antarctic Research Institute (http://www.geophys.aari.ru/index.html). The results presented in this paper rely on the data collected at Vostok, Antarctica, and SuperDARN data. We thank the national scientific funding agencies of Australia, Canada, China, France, Italy, Japan, South Africa, UK, and USA that funded the radars of the SuperDARN network. We also thank Kleimenova and other referees for their constructive comments and revision of this manuscript.</t>
  </si>
  <si>
    <t>2169-9380</t>
  </si>
  <si>
    <t>2169-9402</t>
  </si>
  <si>
    <t>J GEOPHYS RES-SPACE</t>
  </si>
  <si>
    <t>J. Geophys. Res-Space Phys.</t>
  </si>
  <si>
    <t>10.1002/2017JA024022</t>
  </si>
  <si>
    <t>Astronomy &amp; Astrophysics</t>
  </si>
  <si>
    <t>FA6DZ</t>
  </si>
  <si>
    <t>WOS:000405534800029</t>
  </si>
  <si>
    <t>Gray, RL; Badman, SV; Woodfield, EE; Tao, C</t>
  </si>
  <si>
    <t>Gray, R. L.; Badman, S. V.; Woodfield, E. E.; Tao, C.</t>
  </si>
  <si>
    <t>Characterization of Jupiter's secondary auroral oval and its response to hot plasma injections</t>
  </si>
  <si>
    <t>Jupiter; aurora; plasma injections; HST; wave-particle interactions</t>
  </si>
  <si>
    <t>JOVIAN MAGNETOSPHERE; ENERGETIC PARTICLES; INNER MAGNETOSPHERE; RADIATION-BELT; JANUARY 2014; IO TORUS; ELECTRONS; INTERCHANGE; SCATTERING; SIGNATURES</t>
  </si>
  <si>
    <t>We present Jovian auroral observations from the 2014 January Hubble Space Telescope (HST) campaign and characterize the auroral second oval feature with particular attention to the response to hot plasma injections. The location of the second oval feature lies between the Ganymede and Europa moon footprint contours between 150 and 240 degrees system III longitude, corresponding to a source in the inner magnetosphere between 9 and 13 R-J. At the examined longitudes, this is in the same region of 11-16 R-J known as the pitch angle distribution boundary, beyond which electrons are thought to be scattered into a field-aligned configuration and cause auroral precipitation. The feature is enhanced in both brightness and longitudinal spread 1-3days after large hot plasma injections. The precipitating electrons have a higher-energy and lower flux than the electrons generating large injection signatures. We suggest that wave-particle interactions are responsible for the scattering of electrons in this region. We also suggest that the plasma injections can act as a temperature anisotropy and particle source to enhance electron scattering into the aurora and the brightness of the second oval feature. Changes to the magnetic field topology around an injection may also generate shear Alfven waves and therefore accelerate electrons parallel to the magnetic field resulting in precipitation.</t>
  </si>
  <si>
    <t>[Gray, R. L.; Badman, S. V.] Univ Lancaster, Dept Phys, Lancaster, England; [Woodfield, E. E.] British Antarctic Survey, Cambridge, England; [Tao, C.] Natl Inst Informat &amp; Commun Technol, Tokyo, Japan</t>
  </si>
  <si>
    <t>Lancaster University; UK Research &amp; Innovation (UKRI); Natural Environment Research Council (NERC); NERC British Antarctic Survey; National Institute of Information &amp; Communications Technology (NICT) - Japan</t>
  </si>
  <si>
    <t>Gray, RL (corresponding author), Univ Lancaster, Dept Phys, Lancaster, England.</t>
  </si>
  <si>
    <t>r.gray@lancaster.ac.uk</t>
  </si>
  <si>
    <t>Woodfield, Emma/B-5313-2014</t>
  </si>
  <si>
    <t>Woodfield, Emma/0000-0002-0531-8814; Badman, Sarah Victoria/0000-0002-2041-1507; Gray, Rebecca/0000-0001-5226-4428</t>
  </si>
  <si>
    <t>STFC [ST/M005534/1, ST/M00130X/1]; JSPS KAKENHI [15K17769]; International Space Science Institute (ISSI); Natural Environment Research Council [bas0100031] Funding Source: researchfish; Science and Technology Facilities Council [ST/M005534/1, 1481302, ST/M00130X/1] Funding Source: researchfish; NERC [bas0100031] Funding Source: UKRI; STFC [ST/M00130X/1, ST/M005534/1] Funding Source: UKRI; Grants-in-Aid for Scientific Research [15K17769] Funding Source: KAKEN</t>
  </si>
  <si>
    <t>STFC(UK Research &amp; Innovation (UKRI)Science &amp; Technology Facilities Council (STFC)); JSPS KAKENHI(Ministry of Education, Culture, Sports, Science and Technology, Japan (MEXT)Japan Society for the Promotion of ScienceGrants-in-Aid for Scientific Research (KAKENHI)); International Space Science Institute (ISSI);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 Grants-in-Aid for Scientific Research(Ministry of Education, Culture, Sports, Science and Technology, Japan (MEXT)Japan Society for the Promotion of ScienceGrants-in-Aid for Scientific Research (KAKENHI))</t>
  </si>
  <si>
    <t>R.L.G. was supported by a STFC studentship. S.V.B. was supported by an STFC fellowship(ST/M005534/1). E.E.W. is supported by an STFC grant (ST/M00130X/1). This work was partly supported by JSPS KAKENHI grant 15K17769. We acknowledge support from the International Space Science Institute (ISSI) since this work was discussed at a meeting of the ` Influence of Io on Jupiter's magnetosphere' team. This work is based on observations made with the NASA/ESA Hubble Space Telescope (observation ID: GO13035), obtained at the Space Telescope Science Institute (STScI), which is operated by AURA, Inc., for NASA. The Hubble observations are available from the STScI website.</t>
  </si>
  <si>
    <t>10.1002/2017JA024214</t>
  </si>
  <si>
    <t>Green Accepted, hybrid</t>
  </si>
  <si>
    <t>WOS:000405534800035</t>
  </si>
  <si>
    <t>Chu, XZ; Yu, ZB</t>
  </si>
  <si>
    <t>Chu, Xinzhao; Yu, Zhibin</t>
  </si>
  <si>
    <t>Formation mechanisms of neutral Fe layers in the thermosphere at Antarctica studied with a thermosphere-ionosphere Fe/Fe+ (TIFe) model</t>
  </si>
  <si>
    <t>Review</t>
  </si>
  <si>
    <t>thermospheric Fe layers; TIFe model; transport by electric field; transport by neutral winds; direct and dissociative recombination; aurora particle precipitation</t>
  </si>
  <si>
    <t>SPORADIC-E LAYERS; METALLIC-IONS; COSMIC DUST; DISSOCIATIVE RECOMBINATION; MIDLATITUDE INTERMEDIATE; CROSS-SECTIONS; CHEMISTRY; IRON; IONIZATION; TRANSPORT</t>
  </si>
  <si>
    <t>With a thermosphere-ionosphere Fe/Fe+ (TIFe) model developed from first principles at the University of Colorado, we present the first quantitative investigation of formation mechanisms of thermospheric Fe layers observed by lidar in Antarctica. These recently discovered neutral metal layers in the thermosphere between 100 and 200km provide unique tracers for studies of fundamental processes in the space-atmosphere interaction region. The TIFe model formulates and expands the TIFe theory originally proposed by Chu et al. that the thermospheric Fe layers are produced through the neutralization of converged Fe+ layers. Through testing mechanisms and reproducing the 28 May 2011 event at McMurdo, we conceive the lifecycle of meteoric metals via deposition, transport, chemistry, and wave dynamics for thermospheric Fe layers with gravity wave signatures. While the meteor injection of iron species is negligible above 120km, the polar electric field transports metallic ions Fe+ upward from their main deposition region into the E-F regions, providing the major source of Fe+ (and accordingly Fe) in the thermosphere. Atmospheric wave-induced vertical shears of vertical and horizontal winds converge Fe+ to form dense Fe+ layers. Direct electron-Fe+ recombination is the major channel to neutralize Fe+ layers to form Fe above similar to 120km. Fe layer shapes are determined by multiple factors of neutral winds, electric field, and aurora activity. Gravity-wave-induced vertical wind plays a key role in forming gravity-wave-shaped Fe layers. Aurora particle precipitation enhances Fe+ neutralization by increasing electron density while accelerating Fe loss via charge transfer with enhanced NO+ and O-2(+) densities. Plain Language Summary The discoveries of neutral metal layers reaching near 200km in the thermosphere have significant scientific merit because such discoveries challenge the current understandings of upper atmospheric composition, chemistry, dynamics, electrodynamics, and energetics. Furthermore, these neutral metal layers provide tracers for direct measurements of the neutral properties in the least understood but crucially important space-atmosphere interaction region in the altitude range of 100-200km. With a thermosphere-ionosphere Fe/Fe+ (TIFe) model developed from first principles at the University of Colorado, we present the first quantitative investigation of formation mechanisms of thermospheric Fe layers observed by lidar in Antarctica. The TIFe model formulates the TIFe theory depicting the lifecycle of meteoric metals via deposition, transport, chemistry, and wave dynamics. Antarctic lidar observations were successfully reproduced with the TIFe model simulations. These TIFe layers provide a unique natural laboratory for understanding the fundamental processes critical to advancing the research of space-atmosphere interactions.</t>
  </si>
  <si>
    <t>[Chu, Xinzhao; Yu, Zhibin] Univ Colorado, Cooperat Inst Res Environm Sci, Boulder, CO 80309 USA; [Chu, Xinzhao; Yu, Zhibin] Univ Colorado, Dept Aerosp Engn Sci, Boulder, CO 80309 USA</t>
  </si>
  <si>
    <t>University of Colorado System; University of Colorado Boulder; University of Colorado System; University of Colorado Boulder</t>
  </si>
  <si>
    <t>Chu, XZ (corresponding author), Univ Colorado, Cooperat Inst Res Environm Sci, Boulder, CO 80309 USA.;Chu, XZ (corresponding author), Univ Colorado, Dept Aerosp Engn Sci, Boulder, CO 80309 USA.</t>
  </si>
  <si>
    <t>xinzhao.chu@colorado.edu</t>
  </si>
  <si>
    <t>Yu, Zhibin/GZA-3374-2022; CHU, XINZHAO/I-5670-2015</t>
  </si>
  <si>
    <t>Yu, Zhibin/0000-0001-5128-809X; CHU, XINZHAO/0000-0001-6147-1963</t>
  </si>
  <si>
    <t>National Science Foundation (NSF) [ANT-0839091, PLR-1246405]; Office of Polar Programs (OPP); Directorate For Geosciences [1246405] Funding Source: National Science Foundation</t>
  </si>
  <si>
    <t>National Science Foundation (NSF)(National Science Foundation (NSF)); Office of Polar Programs (OPP); Directorate For Geosciences(National Science Foundation (NSF)NSF - Directorate for Geosciences (GEO))</t>
  </si>
  <si>
    <t>We gratefully acknowledge Arthur D. Richmond for invaluable guidance in formulating the TIFe theory and for numerous discussions on parameterizing the horizontal wind divergence. We appreciate John M.C. Plane, Wuhu Feng, and Juan Diego Carrillo-Sanchez for invaluable advice on Fe/Fe+ chemistry and cosmic dust ablation/sputtering and for providing many reaction rate coefficients. We are grateful to Jeffery M. Forbes and Rebecca L. Bishop for providing the Carter and Forbes model framework and for invaluable discussions on the model development; to Stanley C. Solomon, Hanli Liu, Daniel R. Weimer, and Ben Foster for providing the GLOW, TIME-GCM, and Weimer2005 models; and to Sharon L. Vadas and Cao Chen for discussions on setting up the gravity wave forward model. We are indebted to Timothy J. Fuller-Rowell, Delores J. Knipp, and Zhonghua Xu for invaluable discussions on ionospheric electrodynamics, DMSP observations, and geomagnetic storms. We are grateful to Zhonghua Xu for his advice in interpreting the SuperDARN data, to Liam M. Kilcommons for his help in producing Figure 12 with OMNI data, to Jian Zhao for finding a coding error in the electric field calculation, and to Jonathan S. Friedman and Muzhou Lu for English editing and scientific feedback. We sincerely acknowledge Vladimir Papitashvili and Julie Palais for their encouragement, guidance, and discussions in pursuing the TIFe subject. We appreciate the staff of the United States Antarctic Program, McMurdo Station, Antarctica New Zealand, and Scott Base for their superb support to the McMurdo lidar observations. We acknowledge the NASA Space Science Data facility for the OMNI data from the GSFC/SPDF OMNIWeb interface at (http://omniweb.gsfc.nasa.gov). We acknowledge the use of the Map Potential Plot tool hosted by the Virginia Tech SuperDARN group at their website (http://vt.superdarn.org/tikiindex.php?page=DaViT+Map+Potential+Plot). This project was supported by the National Science Foundation (NSF) grants ANT-0839091 and PLR-1246405.</t>
  </si>
  <si>
    <t>10.1002/2016JA023773</t>
  </si>
  <si>
    <t>WOS:000405534800062</t>
  </si>
  <si>
    <t>Yorio, P; Ibarra, C; Marinao, C</t>
  </si>
  <si>
    <t>Yorio, Pablo; Ibarra, Cynthia; Marinao, Cristian</t>
  </si>
  <si>
    <t>Induced Regurgitation Versus Stomach Sampling: Assessing Their Value for the Characterization of Imperial Cormorant (Phalacrocorax atriceps) Diet</t>
  </si>
  <si>
    <t>WATERBIRDS</t>
  </si>
  <si>
    <t>Argentina; diet methods; Golfo San Jorge; Imperial Cormorant; Phalacrocorax atriceps; seabirds</t>
  </si>
  <si>
    <t>ANTARCTIC SHAG; NELSON ISLAND; ARGENTINA; PATAGONIA; SEABIRDS; BRANSFIELDENSIS; PENGUINS; BEHAVIOR; FISH</t>
  </si>
  <si>
    <t>Several studies have applied induced regurgitations to characterize the diet of cormorants, but none have presented quantitative information indicating complete stomach contents were obtained. Our goal was to test the value of induced regurgitations for the assessment and monitoring of Imperial Cormorant (Phalacrocorax atriceps) diet. Stomach samples were obtained from male and female breeding adults bringing food back to the colony during the chick rearing stage (n = 22) at Isla Arce, Argentina. Samples were obtained through induced regurgitation, and immediately afterward each individual was flushed with sea water. The diet of the Imperial Cormorant consisted of at least 23 prey taxa, mostly fish complemented by crustaceans, cephalopods and polychaetes. However, only Argentine anchovy (Engraulis anchoita) and rockcods (Patagonotothen spp.) showed a significant contribution by mass (70.7% and 25.3%, respectively). Analysis of similarity indicated that prey composition between samples obtained by induced regurgitation and those obtained by combining regurgitation followed by stomach flushing were similar in both the numerical frequency of all prey taxa recorded and the contribution by mass of the main prey. Our results show that induced regurgitation provides complete stomach contents, and thus validates the use of this technique for quantifying Imperial Cormorant diet composition.</t>
  </si>
  <si>
    <t>[Yorio, Pablo; Marinao, Cristian] CCT CENPAT CONICET, Ctr Estudio Sistemas Marinos, Blvd Brown 2915, Puerto Madryn, Chubut, Argentina; [Yorio, Pablo] Wildlife Conservat Soc, Amenabar 1595,Piso 2,Oficina 19, Buenos Aires, DF, Argentina; [Ibarra, Cynthia] Univ Nacl Patagonia San Juan Bosco, Blvd Brown 2800, Puerto Madryn, Chubut, Argentina</t>
  </si>
  <si>
    <t>Centro Nacional Patagonico (CENPAT); Universidad Nacional de la Patagonia San Juan Bosco</t>
  </si>
  <si>
    <t>Yorio, P (corresponding author), CCT CENPAT CONICET, Ctr Estudio Sistemas Marinos, Blvd Brown 2915, Puerto Madryn, Chubut, Argentina.;Yorio, P (corresponding author), Wildlife Conservat Soc, Amenabar 1595,Piso 2,Oficina 19, Buenos Aires, DF, Argentina.</t>
  </si>
  <si>
    <t>yorio@cenpat-conicet.gob.ar</t>
  </si>
  <si>
    <t>Ibarra, Cynthia/0000-0001-9561-5531</t>
  </si>
  <si>
    <t>Wildlife Conservation Society; Agencia Nacional de Promocion Cientifica y Tecnologica [PICT 2011-2477]</t>
  </si>
  <si>
    <t>Wildlife Conservation Society; Agencia Nacional de Promocion Cientifica y Tecnologica(ANPCyTSpanish Government)</t>
  </si>
  <si>
    <t>This study was supported by the Wildlife Conservation Society and Agencia Nacional de Promocion Cientifica y Tecnologica (PICT 2011-2477). We thank N. Suarez, A. Gatto, T. Kasinsky, N. Haidr and J. Ciancio for field assistance, and P. Baron, L. Rojas, F. Dellatorre, A. Ferrando and A. Gosztonyi for assistance in prey identification. We also thank Centro para el Estudio de Sistemas Marinos (CCT CENPAT-CONICET) for institutional support, Soriano S.A., Administracion de Parques Nacionales, R. Vera, F. Quiroga and N. Ortiz for logistical support and Administracion de Parques Nacionales and Government of the Chubut Province for permits to conduct research in the protected area. Two anonymous reviewers provided comments that helped to improve the manuscript. None of the authors have a conflict of interest to declare.</t>
  </si>
  <si>
    <t>WATERBIRD SOC</t>
  </si>
  <si>
    <t>NATL MUSEUM NATURAL HISTORY SMITHSONIAN INST, WASHINGTON, DC 20560 USA</t>
  </si>
  <si>
    <t>1524-4695</t>
  </si>
  <si>
    <t>1938-5390</t>
  </si>
  <si>
    <t>Waterbirds</t>
  </si>
  <si>
    <t>10.1675/063.040.0208</t>
  </si>
  <si>
    <t>Ornithology</t>
  </si>
  <si>
    <t>Zoology</t>
  </si>
  <si>
    <t>EX3JI</t>
  </si>
  <si>
    <t>WOS:000403128000007</t>
  </si>
  <si>
    <t>Parrenin, F; Bazin, L; Capron, E; Landais, A; Lemieux-Dudon, B; Masson-Delmotte, V</t>
  </si>
  <si>
    <t>Parrenin, Frederic; Bazin, Lucie; Capron, Emilie; Landais, Amaelle; Lemieux-Dudon, Benedicte; Masson-Delmotte, Valerie</t>
  </si>
  <si>
    <t>ICECHRONO1: A PROBABILISTIC MODEL TO COMPUTE A COMMON AND OPTIMIZED CHRONOLOGY FOR SEVERAL ICE CORES</t>
  </si>
  <si>
    <t>QUATERNAIRE</t>
  </si>
  <si>
    <t>French</t>
  </si>
  <si>
    <t>Glaciology; ice core; dating; probabilistic model</t>
  </si>
  <si>
    <t>EPICA DOME-C; ANTARCTIC ICE; AIR CONTENT; GREENLAND; SYNCHRONIZATION; VARIABILITY; DELTA-O-18; RECORDS; EDML; SIGNATURE</t>
  </si>
  <si>
    <t>Polar ice cores provide exceptional archives of past environmental conditions. The dating of ice cores and the estimation of the age-scale uncertainty are essential to interpret the climate and environmental records that they contain. It is, however, a complex problem which involves different methods. Here, we present IceChrono1, a new probabilistic model integrating various sources of chronological information to produce a common and optimized chronology for several ice cores, as well as its uncertainty. IceChrono1 is based on the inference of three quantities: the surface accumulation rate, the lock-in depth (LID) of air bubbles and the thinning function. The chronological information integrated into IceChrono1 are modeling scenarios of the sedimentation process (accumulation of snow, densification of snow into ice and air trapping, ice flow), ice- and air-dated horizons, ice and air depth intervals with known durations, Delta depth observations (depth shift between synchronous events recorded in the ice and in the air) and finally ice, air or mix stratigraphic links in between ice cores. the inference problem is formulated as a least squares optimisation, implying that all densities of probabilities are assumed to be Gaussian. It is numerically solved using the Levenberg-Marquardt algorithm (thus assuming that the model is almost linear in the vicinity of the solution) and a numerical evaluation of the model's Jacobian. IceChrono1 is freely available under the General Public License v3 open source license.</t>
  </si>
  <si>
    <t>[Parrenin, Frederic] Univ Grenoble Alpes, CNRS, IRD, IGE, F-38000 Grenoble, France; [Bazin, Lucie; Landais, Amaelle; Masson-Delmotte, Valerie] Lab Sci Climat &amp; Environm, Gif Sur Yvette, France; [Capron, Emilie] Univ Copenhagen, Niels Bohr Inst, Ctr Ice &amp; Climate, Copenhague, Denmark; [Capron, Emilie] British Antarctic Survey, Cambridge CB3 0ET, England; [Lemieux-Dudon, Benedicte] Lab Jean Kuntzmann, Grenoble, France; [Lemieux-Dudon, Benedicte] Ctr Euromediterraneo Cambiamenti Climat, Ocean Modeling &amp; Data Assimilat Div, Bologna, Italy</t>
  </si>
  <si>
    <t>Institut de Recherche pour le Developpement (IRD); Communaute Universite Grenoble Alpes; Universite Grenoble Alpes (UGA); Centre National de la Recherche Scientifique (CNRS); CEA; Centre National de la Recherche Scientifique (CNRS); Universite Paris Saclay; University of Copenhagen; Niels Bohr Institute; UK Research &amp; Innovation (UKRI); Natural Environment Research Council (NERC); NERC British Antarctic Survey; Communaute Universite Grenoble Alpes; Institut National Polytechnique de Grenoble; Universite Grenoble Alpes (UGA); Centre National de la Recherche Scientifique (CNRS); Inria</t>
  </si>
  <si>
    <t>Parrenin, F (corresponding author), Univ Grenoble Alpes, CNRS, IRD, IGE, F-38000 Grenoble, France.</t>
  </si>
  <si>
    <t>frederic.parrenin@univ-grenoble-alpes.fr; lucie.bazin@lsce.ipsl.fr; Capron@nbi.ku.dk; amaelle.landais@lsce.ipsl.fr; lemieux.benedicte@gmail.com</t>
  </si>
  <si>
    <t>Capron, Emilie/ITU-2672-2023; Parrenin, Frédéric/H-3054-2014; Masson-Delmotte, Valerie L/G-1995-2011</t>
  </si>
  <si>
    <t>Parrenin, Frédéric/0000-0002-9489-3991; Masson-Delmotte, Valerie L/0000-0001-8296-381X; LANDAIS, Amaelle/0000-0002-5620-5465</t>
  </si>
  <si>
    <t>SOC GEOLOGIQUE FRANCE</t>
  </si>
  <si>
    <t>PARIS</t>
  </si>
  <si>
    <t>77, RUE CLAUDE-BERNARD, PARIS, F-75005, FRANCE</t>
  </si>
  <si>
    <t>1142-2904</t>
  </si>
  <si>
    <t>Quaternaire</t>
  </si>
  <si>
    <t>EZ5PH</t>
  </si>
  <si>
    <t>WOS:000404769000009</t>
  </si>
  <si>
    <t>Capron, E; Govin, A; Stone, EJ</t>
  </si>
  <si>
    <t>Capron, Emilie; Govin, Aline; Stone, Emma J.</t>
  </si>
  <si>
    <t>RECENT ADVANCES ON THE DYNAMICAL REPRESENTATION AND OUR UNDERSTANDING OF THE WARMER-THAN-PRESENT LAST INTERGLACIAL CLIMATE</t>
  </si>
  <si>
    <t>last interglacial period; chronology; high latitude surface temperature synthesis; climate model simulations</t>
  </si>
  <si>
    <t>ANTARCTIC ICE; CHRONOLOGY AICC2012; SEA-LEVEL; SHEET; TEMPERATURES; SENSITIVITY; RECORDS; MODEL; 5E</t>
  </si>
  <si>
    <t>The Last Interglacial (LIG, similar to 129-116 thousand years Before Present, hereafter ka) represents an ideal case study to understand the climate mechanisms at play under a warmer-than-present climate. However a spatio-temporal representation of the LIG climatic changes remains difficult to obtain, mainly because aligning paleoclimatic records from various archives (i.e. polar ice cores, marine sediments, speleothems) from around the globe is challenging. Here we summarize recent studies that highlight how the coupling of a synthesis of surface air and sea temperature records (above polar ice sheets and from the North Atlantic and Southern Ocean respectively) associated with harmonized chronologies and of appropriate climate model experiments improved our spatio-temporal representation of the LIG high-latitude climate evolution, and our understanding of the mechanisms at play, especially at the beginning of the LIG. In particular, we describe commonly-used record alignment strategies for marine sediment cores and we show that age discrepancies larger than 4 ka can exist between the timescales inferred from the different approaches. Providing harmonized chronologies when comparing multiple records is thus essential and we propose a new high latitude LIG data synthesis based on coherent record time scales together with associated time slices at 130, 125, 120 and 115 ka of surface temperature anomalies relative to present-day. The results provide the first robust evidence for asynchronous surface temperature evolutions at the LIG onset across the world and also enable one to identify important missing processes in state-of-the-art model climate simulations to reproduce the early LIG climate evolution. Our integrated model-data approach shows that a freshwater input into the North Atlantic (due to the Northern Hemisphere ice sheet early melting) needs to be accounted for in addition to the orbital and greenhouse gas concentration forcing in climate simulations, to explain the evolution of the early LIG climate.</t>
  </si>
  <si>
    <t>[Capron, Emilie] Univ Copenhagen, Ctr Ice &amp; Climate, Juliane Maries Vej 30, DK-2100 Copenhaguen, Denmark; [Capron, Emilie] British Antarctic Survey, High Cross Madingley Rd, Cambridge GB CB3 0ET, England; [Govin, Aline] Univ Paris Saclay, UVSQ, CEA, IPSL,LSCE,CNRS, FR-91198 Gif Sur Yvette, France; [Stone, Emma J.] Univ Bristol, Sch Geog Sci, BRIDGE, Univ Rd, Bristol GB BS8 1SS, Avon, England</t>
  </si>
  <si>
    <t>University of Copenhagen; UK Research &amp; Innovation (UKRI); Natural Environment Research Council (NERC); NERC British Antarctic Survey; Universite Paris Saclay; Universite Paris Cite; CEA; Centre National de la Recherche Scientifique (CNRS); University of Bristol</t>
  </si>
  <si>
    <t>Capron, E (corresponding author), Univ Copenhagen, Ctr Ice &amp; Climate, Juliane Maries Vej 30, DK-2100 Copenhaguen, Denmark.;Capron, E (corresponding author), British Antarctic Survey, High Cross Madingley Rd, Cambridge GB CB3 0ET, England.</t>
  </si>
  <si>
    <t>capron@nbi.ku.dk; aline.govin@lsce.ipsl.fr; emma.j.stone@bristol.ac.uk</t>
  </si>
  <si>
    <t>Stone, Emma J/H-9549-2012; Capron, Emilie/ITU-2672-2023; Govin, Aline/E-6354-2013</t>
  </si>
  <si>
    <t>Stone, Emma J/0000-0002-8633-8074; Govin, Aline/0000-0001-8512-5571</t>
  </si>
  <si>
    <t>UK-NERC consortium iGlass [NE/I009906/1]; European Union's Seventh Framework programme (FP7) [243908]; European Union's Seventh Framework Programme for research and innovation under the Marie Sklodowska-Curie grant [600207]; Deutsche Forschungsgemeinschaft (DFG) under the special Priority Program INTERDYNAMIC (EndLIG project) [GO 2122/1-1]</t>
  </si>
  <si>
    <t>UK-NERC consortium iGlass; European Union's Seventh Framework programme (FP7)(European Union (EU)); European Union's Seventh Framework Programme for research and innovation under the Marie Sklodowska-Curie grant(European Union (EU)); Deutsche Forschungsgemeinschaft (DFG) under the special Priority Program INTERDYNAMIC (EndLIG project)(German Research Foundation (DFG))</t>
  </si>
  <si>
    <t>The research leading to these results has received funding from the UK-NERC consortium iGlass (NE/I009906/1) and is also a contribution to the European Union's Seventh Framework programme (FP7/2007-2013) under grant agreement 243908, Past4Future. Climate change - Learning from the past climate. E. C. is funded by the European Union's Seventh Framework Programme for research and innovation under the Marie Sklodowska-Curie grant agreement no 600207. A.G. has been supported by the Deutsche Forschungsgemeinschaft (DFG) under the special Priority Program INTERDYNAMIC (EndLIG project, grant GO 2122/1-1). This is LSCE contribution number 6010.</t>
  </si>
  <si>
    <t>WOS:000404769000010</t>
  </si>
  <si>
    <t>Petlicki, M; Szilo, J; MacDonell, S; Vivero, S; Bialik, RJ</t>
  </si>
  <si>
    <t>Petlicki, Michal; Szilo, Joanna; MacDonell, Shelley; Vivero, Sebastian; Bialik, Robert J.</t>
  </si>
  <si>
    <t>Recent Deceleration of the Ice Elevation Change of Ecology Glacier (King George Island, Antarctica)</t>
  </si>
  <si>
    <t>REMOTE SENSING</t>
  </si>
  <si>
    <t>glaciology; ice elevation change; glacial retreat; DEM; Terrestrial Laser Scanning; Antarctica; South Shetland Islands</t>
  </si>
  <si>
    <t>SURFACE-ENERGY BALANCE; LIVINGSTON ISLAND; TIDEWATER GLACIERS; VOLUME CHANGES; MASS-BALANCE; RETREAT; CAP; PENINSULA; DYNAMICS; HURD</t>
  </si>
  <si>
    <t>Glacier change studies in the Antarctic Peninsula region, despite their importance for global sea level rise, are commonly restricted to the investigation of frontal position changes. Here we present a long term (37 years; 1979-2016) study of ice elevation changes of the Ecology Glacier, King George Island (62 degrees 11'S, 58 degrees 29'W). The glacier covers an area of 5.21 km(2) and is located close to the H. Arctowski Polish Antarctic Station, and therefore has been an object of various multidisciplinary studies with subject ranging from glaciology, meteorology to glacial microbiology. Hence, it is of great interest to assess its current state and put it in a broader context of recent glacial change. In order to achieve that goal, we conducted an analysis of archival cartographic material and combined it with field measurements of proglacial lagoon hydrography and state-of-art geodetic surveying of the glacier surface with terrestrial laser scanning and satellite imagery. Overall mass loss was largest in the beginning of 2000s, and the rate of elevation change substantially decreased between 2012-2016, with little ice front retreat and no significant surface lowering. Ice elevation change rate for the common ablation area over all analyzed periods (1979-2001-2012-2016) has decreased from -1.7 +/- 0.4 m/year in 1979-2001 and -1.5 +/- 0.5 m/year in 2001-2012 to -0.5 +/- 0.6 m/year in 2012-2016. This reduction of ice mass loss is likely related to decreasing summer temperatures in this region of the Antarctic Peninsula.</t>
  </si>
  <si>
    <t>[Petlicki, Michal; Szilo, Joanna; Bialik, Robert J.] Polish Acad Sci, Inst Geophys, Ul Ksiecia Janusza 64, PL-01452 Warsaw, Poland; [Petlicki, Michal] Ctr Estudios Cient, Glaciol Lab, Ave Arturo Prat 514, Valdivia 5110466, Chile; [MacDonell, Shelley; Vivero, Sebastian] Ctr Estudios Avanzados Zonas Aridas, Raul Bitran 1305, La Serena 1720010, Chile; [Bialik, Robert J.] Polish Acad Sci, Inst Biochem &amp; Biophys, Ul Pawinskiego 5a, PL-02106 Warsaw, Poland</t>
  </si>
  <si>
    <t>Polish Academy of Sciences; Institute of Geophysics of the Polish Academy of Sciences; Polish Academy of Sciences; Institute of Biochemistry &amp; Biophysics - Polish Academy of Sciences</t>
  </si>
  <si>
    <t>Petlicki, M (corresponding author), Polish Acad Sci, Inst Geophys, Ul Ksiecia Janusza 64, PL-01452 Warsaw, Poland.;Petlicki, M (corresponding author), Ctr Estudios Cient, Glaciol Lab, Ave Arturo Prat 514, Valdivia 5110466, Chile.</t>
  </si>
  <si>
    <t>petlicki@igf.edu.pl; jszilo@igf.edu.pl; shelley.macdonell@ceaza.cl; sebastian.viveroandrade@unil.ch; rbialik@ibb.waw.pl</t>
  </si>
  <si>
    <t>MacDonell, Shelley/J-2480-2016; Petlicki, Michal/GPC-5755-2022; Vivero, Sebastián/ABA-2528-2021; Vivero, Sebastián/AFY-4032-2022; Petlicki, Michal/H-7901-2016</t>
  </si>
  <si>
    <t>Vivero, Sebastián/0000-0002-1813-9575; Vivero, Sebastián/0000-0002-1813-9575; Petlicki, Michal/0000-0003-3383-2586; Bialik, Robert/0000-0002-0254-6352; MacDonell, Shelley/0000-0001-9641-4547</t>
  </si>
  <si>
    <t>Ministry of Science and Higher Education of Poland [3841/E-41/S/2017]; CECs - Base Finance program of CONICYT, Chile; CONICYT-FONDECYT [11130484]; Instituto Antartico Chileno (INACH); Centre of Polar Studies of the Leading National Research Centre (KNOW)</t>
  </si>
  <si>
    <t>Ministry of Science and Higher Education of Poland(Ministry of Science and Higher Education, Poland); CECs - Base Finance program of CONICYT, Chile; CONICYT-FONDECYT(Comision Nacional de Investigacion Cientifica y Tecnologica (CONICYT)CONICYT FONDECYT); Instituto Antartico Chileno (INACH); Centre of Polar Studies of the Leading National Research Centre (KNOW)</t>
  </si>
  <si>
    <t>We would like to thank the staff of the Arctowski Polish Antarctic Station for support during field work and T. Krogulec for providing granulometry data. This study was funded within statutory activities No. 3841/E-41/S/2017 of the Ministry of Science and Higher Education of Poland. MP was partially supported by CECs, funded by the Base Finance program of CONICYT, Chile. SM and SV were supported by CONICYT-FONDECYT 11130484 and the Instituto Antartico Chileno (INACH). The open access publication has been partially financed by the Centre of Polar Studies from the funds of the Leading National Research Centre (KNOW) received for the period 2014-2018.</t>
  </si>
  <si>
    <t>MDPI</t>
  </si>
  <si>
    <t>BASEL</t>
  </si>
  <si>
    <t>ST ALBAN-ANLAGE 66, CH-4052 BASEL, SWITZERLAND</t>
  </si>
  <si>
    <t>2072-4292</t>
  </si>
  <si>
    <t>REMOTE SENS-BASEL</t>
  </si>
  <si>
    <t>Remote Sens.</t>
  </si>
  <si>
    <t>10.3390/rs9060520</t>
  </si>
  <si>
    <t>Environmental Sciences; Geosciences, Multidisciplinary; Remote Sensing; Imaging Science &amp; Photographic Technology</t>
  </si>
  <si>
    <t>Environmental Sciences &amp; Ecology; Geology; Remote Sensing; Imaging Science &amp; Photographic Technology</t>
  </si>
  <si>
    <t>EZ3PW</t>
  </si>
  <si>
    <t>gold, Green Published, Green Submitted</t>
  </si>
  <si>
    <t>WOS:000404623900011</t>
  </si>
  <si>
    <t>Vijay, S; Braun, M</t>
  </si>
  <si>
    <t>Vijay, Saurabh; Braun, Matthias</t>
  </si>
  <si>
    <t>Seasonal and Interannual Variability of Columbia Glacier, Alaska (2011-2016): Ice Velocity, Mass Flux, Surface Elevation and Front Position</t>
  </si>
  <si>
    <t>Columbia Glacier; bistatic InSAR; offset tracking; TanDEM-X mission; seasonal velocity; mass flux; elevation changes</t>
  </si>
  <si>
    <t>LARGE TIDEWATER GLACIER; SEA-LEVEL RISE; TANDEM-X; ANTARCTIC PENINSULA; HYDROLOGIC BASIS; OUTLET GLACIERS; RAPID MOTION; BALANCE; DYNAMICS; SHEET</t>
  </si>
  <si>
    <t>Alaskan glaciers are among the largest contributors to sea-level rise outside the polar ice sheets. The contributions include dynamic discharge from marine-terminating glaciers which depends on the seasonally variable ice velocity. Columbia Glacier is a large marine-terminating glacier located in Southcentral Alaska that has been exhibiting pronounced retreat since the early 1980s. Since 2010, the glacier has split into two branches, the main branch and the west branch. We derived a 5-year record of surface velocity, mass flux (ice discharge), surface elevation and changes in front position using a dense time series of TanDEM-X synthetic aperture radar data (2011-2016). We observed distinct seasonal velocity patterns at both branches. At the main branch, the surface velocity peaked during late winter to midsummer but reached a minimum between late summer and fall. Its near-front velocity reached up to 14 m day(-1) in May 2015 and was at its lowest speed of similar to 1 m day(-1) in October 2012. Mass flux via the main branch was strongly controlled by the seasonal and interannual fluctuations of its velocity. The west branch also exhibited seasonal velocity variations with comparably lower magnitudes. The role of subglacial hydrology on the ice velocities of Columbia Glacier is already known from the published field measurements during summers of 1987. Our observed variability in its ice velocities on a seasonal basis also suggest that they are primarily controlled by the seasonal transition of the subglacial drainage system from an inefficient to an efficient and channelized drainage networks. However, abrupt velocity increase events for short periods (2014-2015 and 2015-2016 at the main branch, and 2013-2014 at the west branch) appear to be associated with strong near-front thinning and frontal retreat. This needs further investigation on the role of other potential controlling mechanisms. On the technological side, this study demonstrates the potential of high-resolution X-band SAR missions with a short revisit interval to examine glaciological variables and controlling processes.</t>
  </si>
  <si>
    <t>[Vijay, Saurabh; Braun, Matthias] Friedrich Alexander Univ Erlangen Nurnberg, Inst Geog, Wetterkreuz 15, D-91058 Erlangen, Germany</t>
  </si>
  <si>
    <t>University of Erlangen Nuremberg</t>
  </si>
  <si>
    <t>Vijay, S (corresponding author), Friedrich Alexander Univ Erlangen Nurnberg, Inst Geog, Wetterkreuz 15, D-91058 Erlangen, Germany.</t>
  </si>
  <si>
    <t>saurabh.vijay@fau.de; matthias.h.braun@fau.de</t>
  </si>
  <si>
    <t>Braun, Matthias H/S-4693-2016; Braun, Matthias/A-4968-2009</t>
  </si>
  <si>
    <t>Vijay, Saurabh/0000-0002-8970-9213; Braun, Matthias/0000-0001-5169-1567</t>
  </si>
  <si>
    <t>HGF Alliance Remote Sensing and Earth System Dynamics; FAU open access fund through German Research Foundation (DFG)</t>
  </si>
  <si>
    <t>The study was funded by the HGF Alliance Remote Sensing and Earth System Dynamics. The publishing of this paper was financially supported by the FAU open access fund provided through the German Research Foundation (DFG). The TanDEM-X data used in the study was kindly provided under DLR AO XTI_GLAC0264 and two pairs of TerraSAR-X data were obtained under DLR TSX AO LAN_0164. The auxiliary data was kindly provided by NASA, USGS, NSIDC, GLIMS and Robert McNabb (University of Alaska Fairbanks). The authors would like to thank Thorsten Seehaus and Johannes Furst (both FAU) and 3 anonymous reviewers for their useful suggestions.</t>
  </si>
  <si>
    <t>MDPI AG</t>
  </si>
  <si>
    <t>10.3390/rs9060635</t>
  </si>
  <si>
    <t>WOS:000404623900124</t>
  </si>
  <si>
    <t>Herrford, J; Brandt, P; Zenk, W</t>
  </si>
  <si>
    <t>Herrford, Josefine; Brandt, Peter; Zenk, Walter</t>
  </si>
  <si>
    <t>Property changes of deep and bottom waters in the Western Tropical Atlantic</t>
  </si>
  <si>
    <t>DEEP-SEA RESEARCH PART I-OCEANOGRAPHIC RESEARCH PAPERS</t>
  </si>
  <si>
    <t>Northern Brazil Basin; Antarctic Bottom Water; North Atlantic Deep Water; Abyssal circulation; AABW warming</t>
  </si>
  <si>
    <t>SEA-LEVEL RISE; SOUTH-ATLANTIC; BOUNDARY CURRENT; EQUATORIAL ATLANTIC; OCEAN CIRCULATION; FRACTURE-ZONE; LABRADOR SEA; GLOBAL HEAT; ABYSSAL; VARIABILITY</t>
  </si>
  <si>
    <t>The flow of North Atlantic Deep Water (NADW) and Antarctic Bottom Water (AABW) contributes to the Atlantic meridional overturning circulation. Changes in the associated water mass formation might impact the deep ocean's capacity to take up anthropogenic CO2 while a warming of the deep ocean significantly contributes to global sea level rise. Here we compile historic and recent shipboard measurements of hydrography and velocity to provide a comprehensive view of water mass distribution, pathways, along-path transformation and long-term temperature changes of NADW and AABW in the western South and Equatorial Atlantic. We confirm previous results which show that the northwest corner of the Brazil Basin represents a splitting point for the southward/ northward flow of NADW/AABW. The available measurements sample water mass transformation along the two major routes for deep and bottom waters in the tropical to South Atlantic-along the deep western boundary and eastward, parallel to the equator-as well as the hot-spots of extensive mixing. We find lower NADW and lighter AABW to form a highly interactive transition layer in the northern Brazil Basin. The AABW north of 5 S is relatively homogeneous with only lighter AABW being able to pass through the Equatorial Channel (EQCH) into the North Atlantic. Spanning a period of 26 years, our data also allow an estimation of long-term temperature trends in abyssal waters. We find a warming of 2.5 0.7.10(-3) C yr(-1) of the waters in the northern Brazil Basin at temperatures colder than 0.6 C throughout the period 1989-2014 and can relate this warming to a thinning of the dense AABW layer. Whereas isopycnal heave is the dominant effect which defines the vertical distribution of temperature trends on isobars, we also find temperature changes on isopycnals in the lower NADW and AABW layers. There temperatures on isopycnals exhibit decadal variations with warming in the 1990s and cooling in the 2000s-the contributions to the trends on isobars range from about 50% in the lighter AABW layers in the EQCH up to a maximum of 80% in the transition layer the lower NADW and lighter AABW form in the northern Brazil Basin.</t>
  </si>
  <si>
    <t>[Herrford, Josefine; Brandt, Peter; Zenk, Walter] GEOMAR Helmholtz Ctr Ocean Res Kiel, Dusternbrooker Weg 20, D-24105 Kiel, Germany; [Brandt, Peter] Univ Kiel, Christian Albrechts Pl 4, D-24118 Kiel, Germany</t>
  </si>
  <si>
    <t>Helmholtz Association; GEOMAR Helmholtz Center for Ocean Research Kiel; University of Kiel</t>
  </si>
  <si>
    <t>Herrford, J (corresponding author), GEOMAR Helmholtz Ctr Ocean Res Kiel, Dusternbrooker Weg 20, D-24105 Kiel, Germany.</t>
  </si>
  <si>
    <t>jherrford@geomar.de; pbrandt@geomar.de; wzenk@geomar.de</t>
  </si>
  <si>
    <t>Brandt, Peter/C-8254-2013</t>
  </si>
  <si>
    <t>Brandt, Peter/0000-0002-9235-955X</t>
  </si>
  <si>
    <t>Bundesministerium fur Bildung und Forschung (BMBF) [03F0651B]; Deutsche Forschungsgemeinschaft</t>
  </si>
  <si>
    <t>Bundesministerium fur Bildung und Forschung (BMBF)(Federal Ministry of Education &amp; Research (BMBF)); Deutsche Forschungsgemeinschaft(German Research Foundation (DFG))</t>
  </si>
  <si>
    <t>This study was funded by the Deutsche Bundesministerium fur Bildung und Forschung (BMBF) as part of the project RACE II (03F0651B) and through support of R/V Sonne cruises, as well as by the Deutsche Forschungsgemeinschaft through cruises with R/V Meteor and R/V Maria S. Merian. We greatly appreciate the careful and sustained work of the officers, crew, and scientific parties involved in many scientific programs contributing to collect deep CTD and velocity data in the tropical and South Atlantic. Further, we would like to thank S.-H. Didwischus, R. Hummels and G. Krahmann for providing us with the well-sorted data, S. Schmidtko and K. Getzlaff for significantly improving this work with their comments, and R. Zantopp for proofreading. We truly appreciate comprehensive and constructive suggestions from the five anonymous reviewers.</t>
  </si>
  <si>
    <t>PERGAMON-ELSEVIER SCIENCE LTD</t>
  </si>
  <si>
    <t>THE BOULEVARD, LANGFORD LANE, KIDLINGTON, OXFORD OX5 1GB, ENGLAND</t>
  </si>
  <si>
    <t>0967-0637</t>
  </si>
  <si>
    <t>1879-0119</t>
  </si>
  <si>
    <t>DEEP-SEA RES PT I</t>
  </si>
  <si>
    <t>Deep-Sea Res. Part I-Oceanogr. Res. Pap.</t>
  </si>
  <si>
    <t>10.1016/j.dsr.2017.04.007</t>
  </si>
  <si>
    <t>EZ4RM</t>
  </si>
  <si>
    <t>Green Accepted, Green Submitted</t>
  </si>
  <si>
    <t>WOS:000404700200009</t>
  </si>
  <si>
    <t>Pernet, B; Livingston, BT; Sojka, C; Lizárraga, D</t>
  </si>
  <si>
    <t>Pernet, Bruno; Livingston, Brian T.; Sojka, Caitlin; Lizarraga, David</t>
  </si>
  <si>
    <t>Embryogenesis and larval development of the seastar Astropecten armatus</t>
  </si>
  <si>
    <t>INVERTEBRATE BIOLOGY</t>
  </si>
  <si>
    <t>Asteroidea; Echinodermata; bipinnaria</t>
  </si>
  <si>
    <t>REPRODUCTIVE-BIOLOGY; SEA-STAR; ASEXUAL REPRODUCTION; FEEDING RATES; ASTEROIDEA; PHYLOGENY; CLASSIFICATION; METAMORPHOSIS; IRREGULARIS; TEMPERATE</t>
  </si>
  <si>
    <t>Astropectinid seastars typically develop as either feeding bipinnaria larvae or non-feeding, barrel-shaped larvae. Understanding the direction and frequency of evolutionary transitions between these larval nutritional modes requires knowledge of the distribution of developmental diversity in the family, but the development of only a few astropectinids is known. Here we describe embryogenesis, larval development, and metamorphosis of Astropecten armatus, an astropectinid common in soft-sediment subtidal habitats in southern California. Adults were reproductively mature all year except during the winter months (December-February). Oocytes averaged 137 mu m in diameter, the smallest reported in the genus. Fertilized oocytes developed into feeding bipinnaria larvae that fed in the plankton for at least 4 weeks, and in some cases up to 33 weeks, before metamorphosis. The tube feet of juveniles were adhesive, but lacked suckers, contrary to some previous descriptions of suckered tube feet in the juveniles of paxillosidans.</t>
  </si>
  <si>
    <t>[Pernet, Bruno; Livingston, Brian T.; Sojka, Caitlin; Lizarraga, David] Calif State Univ Long Beach, Dept Biol Sci, Long Beach, CA 98250 USA</t>
  </si>
  <si>
    <t>California State University System; California State University Long Beach</t>
  </si>
  <si>
    <t>Pernet, B (corresponding author), Calif State Univ Long Beach, Dept Biol Sci, Long Beach, CA 98250 USA.</t>
  </si>
  <si>
    <t>bruno.pernet@csulb.edu</t>
  </si>
  <si>
    <t>Sojka, Caitlin/0000-0003-0902-8694; Lizarraga, David/0000-0003-1158-9407</t>
  </si>
  <si>
    <t>National Science Foundation [OCE-1060801, DEB-1257355]; CSU Council on Ocean Affairs, Science, and Technology; Society for Integrative and Comparative Biology; Southern California Tuna Club; Los Angeles Rod and Reel Club; Division Of Environmental Biology; Direct For Biological Sciences [1257355] Funding Source: National Science Foundation</t>
  </si>
  <si>
    <t>National Science Foundation(National Science Foundation (NSF)); CSU Council on Ocean Affairs, Science, and Technology; Society for Integrative and Comparative Biology; Southern California Tuna Club; Los Angeles Rod and Reel Club; Division Of Environmental Biology; Direct For Biological Sciences(National Science Foundation (NSF)NSF - Directorate for Biological Sciences (BIO))</t>
  </si>
  <si>
    <t>We thank Josh Ross (South Coast Bio-Marine) and Yvette Ralph for their help in obtaining adult seastars, Andrea Danihel for help in maintaining larval cultures, and Giar-Ann Kung (Natural History Museum of Los Angeles County) for help with the sputter coating of samples for scanning electron microscopy. We also thank Michael Sullivan for editing the supplementary video, and Drs. Isidro Bosch and John Pearse for providing information on the larvae of Antarctic astropectinids. Dr. William Jaeckle and members of the Pernet Lab made numerous suggestions that improved the manuscript. This material is based on work supported by the National Science Foundation under Grant Nos. OCE-1060801 and DEB-1257355 to BP. Further support was provided in the form of a Graduate Student Research Award from the CSU Council on Ocean Affairs, Science, and Technology, a Grant-In-Aid-of-Research from the Society for Integrative and Comparative Biology, and research awards from the Southern California Tuna Club and the Los Angeles Rod and Reel Club, all to DL.</t>
  </si>
  <si>
    <t>WILEY</t>
  </si>
  <si>
    <t>HOBOKEN</t>
  </si>
  <si>
    <t>111 RIVER ST, HOBOKEN 07030-5774, NJ USA</t>
  </si>
  <si>
    <t>1077-8306</t>
  </si>
  <si>
    <t>1744-7410</t>
  </si>
  <si>
    <t>INVERTEBR BIOL</t>
  </si>
  <si>
    <t>Invertebr. Biol.</t>
  </si>
  <si>
    <t>10.1111/ivb.12172</t>
  </si>
  <si>
    <t>Marine &amp; Freshwater Biology; Zoology</t>
  </si>
  <si>
    <t>EZ3MQ</t>
  </si>
  <si>
    <t>WOS:000404615500001</t>
  </si>
  <si>
    <t>Wegner, C; Wittbrodt, K; Hölemann, JA; Janout, MA; Krumpen, T; Selyuzhenok, V; Novikhin, A; Polyakova, Y; Krykova, I; Kassens, H; Timokhov, L</t>
  </si>
  <si>
    <t>Wegner, C.; Wittbrodt, K.; Hoelemann, J. A.; Janout, M. A.; Krumpen, T.; Selyuzhenok, V.; Novikhin, A.; Polyakova, Ye.; Krykova, I.; Kassens, H.; Timokhov, L.</t>
  </si>
  <si>
    <t>Sediment entrainment into sea ice and transport in the Transpolar Drift: A case study from the Laptev Sea in winter 2011/2012</t>
  </si>
  <si>
    <t>CONTINENTAL SHELF RESEARCH</t>
  </si>
  <si>
    <t>Sediment transport; Sea ice; Sea-ice algae; Continental shelf; Arctic; Siberia; Laptev Sea</t>
  </si>
  <si>
    <t>BEAUFORT SEA; KARA; VARIABILITY; DYNAMICS; EXPORT; MODEL; BASIN; EDGE; AREA</t>
  </si>
  <si>
    <t>Sea ice is an important vehicle for sediment transport in the Arctic Ocean. On the Laptev Sea shelf (Siberian Arctic) large volumes of sediment-laden sea ice are formed during freeze-up in autumn, then exported and transported across the Arctic Ocean into Fram Strait where it partly melts. The incorporated sediments are released, settle on the sea floor, and serve as a proxy for ice-transport in the Arctic Ocean on geological time scales. However, the formation process of sediment-laden ice in the source area has been scarcely observed. Sediment-laden ice was sampled during a helicopter-based expedition to the Laptev Sea in March/April 2012. Sedimentological, biogeochemical and biological studies on the ice core as well as in the water column give insights into the formation process and, in combination with oceanographic process studies, on matter fluxes beneath the sea ice. Based on satellite images and ice drift back-trajectories the sediments were likely incorporated into the sea ice during a mid-winter coastal polynya near one of the main outlets of the Lena River, which is supported by the presence of abundant freshwater diatoms typical for the Lena River phytoplankton, and subsequently transported about 80 km northwards onto the shelf. Assuming ice growth of 12-19 cm during this period and mean suspended matter content in the newly formed ice of 91.9 mg 1(-1) suggests that a minimum sediment load of 8.4x10(4) t might have been incorporated into sea ice. Extrapolating these sediment loads for the entire Lena Delta region suggests that at least 65% of the estimated sediment loads which are incorporated during freeze-up, and up to 10% of the annually exported sediment load may be incorporated during an event such as described in this paper.</t>
  </si>
  <si>
    <t>[Wegner, C.; Kassens, H.] GEOMAR Helmholtz Ctr Ocean Res, Kiel, Germany; [Wittbrodt, K.] Univ Kiel, Kiel, Germany; [Hoelemann, J. A.; Janout, M. A.; Krumpen, T.; Selyuzhenok, V.] Helmholtz Ctr Polar &amp; Marine Res, Alfred Wegener Inst, Bremerhaven, Germany; [Novikhin, A.; Timokhov, L.] Arctic &amp; Antarctic Res Inst, State Res Ctr, St Petersburg, Russia; [Polyakova, Ye.] Lomonosov Moscow State Univ, Moscow, Russia; [Krykova, I.] Russian Acad Sci, PP Shirshov Inst Oceanol, Moscow, Russia</t>
  </si>
  <si>
    <t>Helmholtz Association; GEOMAR Helmholtz Center for Ocean Research Kiel; University of Kiel; Helmholtz Association; Alfred Wegener Institute, Helmholtz Centre for Polar &amp; Marine Research; Arctic &amp; Antarctic Research Institute; Lomonosov Moscow State University; Russian Academy of Sciences; Shirshov Institute of Oceanology</t>
  </si>
  <si>
    <t>Hölemann, JA (corresponding author), Alfred Wegener Inst Polar &amp; Marine Res, Handelshafen 12, D-27570 Bremerhaven, Germany.</t>
  </si>
  <si>
    <t>jens.hoelemann@awi.de</t>
  </si>
  <si>
    <t>Krumpen, Thomas/D-5163-2011; Novikhin, Andrey/J-6005-2016; Janout, Markus/AAI-7219-2020; Selyuzhenok, Valeria/K-8715-2016; Hoelemann, Jens/N-3608-2016</t>
  </si>
  <si>
    <t>Krumpen, Thomas/0000-0001-6234-8756; Hoelemann, Jens/0000-0001-5102-4086; Janout, Markus/0000-0003-4908-2855; Selyuzhenok, Valeria/0000-0001-9388-5706</t>
  </si>
  <si>
    <t>German Federal Ministry of Education and Research [BMBF 03G0833]; Ministry of Education and Science of the Russian Federation</t>
  </si>
  <si>
    <t>German Federal Ministry of Education and Research(Federal Ministry of Education &amp; Research (BMBF)); Ministry of Education and Science of the Russian Federation(Ministry of Education and Science, Russian Federation)</t>
  </si>
  <si>
    <t>This work was carried out as part of the Russian-German cooperation Laptev Sea System, funded by German Federal Ministry of Education and Research (grant BMBF 03G0833) and the Ministry of Education and Science of the Russian Federation. The authors thank the scientists and helicopter pilots for their support during the expedition and Matt O'Regan and one anonymous reviewer for their stimulating reviews of this manuscript.</t>
  </si>
  <si>
    <t>0278-4343</t>
  </si>
  <si>
    <t>1873-6955</t>
  </si>
  <si>
    <t>CONT SHELF RES</t>
  </si>
  <si>
    <t>Cont. Shelf Res.</t>
  </si>
  <si>
    <t>10.1016/j.csr.2017.04.010</t>
  </si>
  <si>
    <t>EZ1UC</t>
  </si>
  <si>
    <t>WOS:000404495300001</t>
  </si>
  <si>
    <t>Humphries, GRW; Möller, H</t>
  </si>
  <si>
    <t>Humphries, Grant R. W.; Moller, Henrik</t>
  </si>
  <si>
    <t>Fortune telling seabirds: sooty shearwaters (Puffinus griseus) predict shifts in Pacific climate</t>
  </si>
  <si>
    <t>MARINE BIOLOGY</t>
  </si>
  <si>
    <t>ANTARCTIC SEABIRD; PELAGIC SEABIRD; RANDOM FORESTS; BODY CONDITION; OCEAN; PREY; SEA; TELECONNECTIONS; CLASSIFICATION; OSCILLATION</t>
  </si>
  <si>
    <t>Indices calculated from muttonbirding diaries collected by the Rakiura Maori of New Zealand were correlated with future values of the Southern Oscillation Index (SOI), and the Pacific Decadal Oscillation (PDO) from 1957 to 2010. Spearman correlations showed that La Nina events tended to occur after those harvest seasons with relatively high success and chick size, whereas El Nino events tended to occur after harvest seasons with relatively low success and chick size. Generalized boosted regression models show that chick size alone is able to predict shifts in SOI from 0 to 12 months after the harvest. A model that included chick size, 2-year average PDO (prior to the harvest), and one year averages of SOI (prior to the harvest), was able to predict shifts in SOI 13-20 months after the harvest. It is likely that sooty shearwater adults (and therefore chick size and quantity) are being affected by oceanographic conditions that are also precursors to shifts in SOI, and that there is a complex interaction between PDO prior to the harvest, the harvest indices and SOI. The location and timing of adult birds at the time they are provisioning chicks could lead to potential mechanisms and requires further study.</t>
  </si>
  <si>
    <t>[Humphries, Grant R. W.] Black Bawks Data Sci, Ft Augustus PH32 4DR, Scotland; [Moller, Henrik] Univ Otago, Ctr Sustainabil Agr Food Energy &amp; Environm, Dunedin 9054, New Zealand</t>
  </si>
  <si>
    <t>University of Otago</t>
  </si>
  <si>
    <t>Humphries, GRW (corresponding author), Black Bawks Data Sci, Ft Augustus PH32 4DR, Scotland.</t>
  </si>
  <si>
    <t>grwhumphries@blackbawks.net</t>
  </si>
  <si>
    <t>Humphries, Grant/0000-0001-5783-9892</t>
  </si>
  <si>
    <t>Department of Zoology at the University of Otago; National Geographic Grant [WGS249-12]</t>
  </si>
  <si>
    <t>Department of Zoology at the University of Otago; National Geographic Grant(National Geographic Society)</t>
  </si>
  <si>
    <t>This research was funded by the Department of Zoology at the University of Otago and by National Geographic Grant# WGS249-12 on behalf of the Waitt foundation.</t>
  </si>
  <si>
    <t>SPRINGER HEIDELBERG</t>
  </si>
  <si>
    <t>HEIDELBERG</t>
  </si>
  <si>
    <t>TIERGARTENSTRASSE 17, D-69121 HEIDELBERG, GERMANY</t>
  </si>
  <si>
    <t>0025-3162</t>
  </si>
  <si>
    <t>1432-1793</t>
  </si>
  <si>
    <t>MAR BIOL</t>
  </si>
  <si>
    <t>Mar. Biol.</t>
  </si>
  <si>
    <t>10.1007/s00227-017-3182-1</t>
  </si>
  <si>
    <t>Marine &amp; Freshwater Biology</t>
  </si>
  <si>
    <t>EZ2XG</t>
  </si>
  <si>
    <t>WOS:000404573800005</t>
  </si>
  <si>
    <t>Alexander, FJ; King, CK; Reichelt-Brushett, AJ; Harrison, PL</t>
  </si>
  <si>
    <t>Alexander, Frances J.; King, Catherine K.; Reichelt-Brushett, Amanda J.; Harrison, Peter L.</t>
  </si>
  <si>
    <t>FUEL OIL AND DISPERSANT TOXICITY TO THE ANTARCTIC SEA URCHIN (STERECHINUS NEUMAYERI)</t>
  </si>
  <si>
    <t>ENVIRONMENTAL TOXICOLOGY AND CHEMISTRY</t>
  </si>
  <si>
    <t>Marine toxicity tests; Oil spills; Invertebrate toxicology; Dispersant; Antarctic; Sea urchin</t>
  </si>
  <si>
    <t>AROMATIC-HYDROCARBONS; ARCTIC CONDITIONS; CRUDE-OIL; PETROLEUM; EXPOSURE; COMMUNITIES; SENSITIVITY; SEDIMENTS; BIOASSAYS; BEHAVIOR</t>
  </si>
  <si>
    <t>The risk of a major marine fuel spill in Antarctic waters is increasing, yet there are currently no standard or suitable response methods under extreme Antarctic conditions. Fuel dispersants may present a possible solution; however, little data exist on the toxicity of dispersants or fuels to Antarctic species, thereby preventing informed management decisions. Larval development toxicity tests using 3 life history stages of the Antarctic sea urchin (Sterechinus neumayeri) were completed to assess the toxicity of physically dispersed, chemically dispersed, and dispersant-only water-accommodated fractions (WAFs) of an intermediate fuel oil (IFO 180, BP) and the chemical dispersant Slickgone NS (Dasic International). Despite much lower total petroleum hydrocarbon concentrations, physically dispersed fuels contained higher proportions of low-to-intermediate weight carbon compounds and were generally at least an order of magnitude more toxic than chemically dispersed fuels. Based on concentrations that caused 50% abnormality (EC50) values, the embryonic unhatched blastula life stage was the least affected by fuels and dispersants, whereas the larval 4-armed pluteus stage was the most sensitive. The present study is the first to investigate the possible implications of the use of fuel dispersants for fuel spill response in Antarctica. The results indicate that the use of a fuel dispersant did not increase the hydrocarbon toxicity of IFO 180 to the early life stages of Antarctic sea urchins, relative to physical dispersal. (C) 2016 SETAC</t>
  </si>
  <si>
    <t>[Alexander, Frances J.; Reichelt-Brushett, Amanda J.; Harrison, Peter L.] Southern Cross Univ, Marine Ecol, Res Ctr, Sch Environm Sci &amp; Engn, Lismore, NSW, Australia; [Alexander, Frances J.; King, Catherine K.] Australian Antarctic Div, Kingston, Tas, Australia</t>
  </si>
  <si>
    <t>Southern Cross University; Australian Antarctic Division</t>
  </si>
  <si>
    <t>Alexander, FJ (corresponding author), Southern Cross Univ, Marine Ecol, Res Ctr, Sch Environm Sci &amp; Engn, Lismore, NSW, Australia.;Alexander, FJ (corresponding author), Australian Antarctic Div, Kingston, Tas, Australia.</t>
  </si>
  <si>
    <t>f.alexander.10@student.scu.edu.au</t>
  </si>
  <si>
    <t>King, Catherine K/G-7059-2017; Harrison, Peter/B-4763-2011; Reichelt-Brushett, Amanda/Q-8348-2017</t>
  </si>
  <si>
    <t>King, Catherine K/0000-0003-3356-0381; Harrison, Peter/0000-0002-4048-2409; Reichelt-Brushett, Amanda/0000-0002-5212-7586</t>
  </si>
  <si>
    <t>Australian Antarctic Division through Australian Antarctic Science Grant [4142]</t>
  </si>
  <si>
    <t>Australian Antarctic Division through Australian Antarctic Science Grant</t>
  </si>
  <si>
    <t>We sincerely thank P. Corbett, J. Holan, and A. Proctor for their support and assistance during the experiments, and K. Kotzakoulakis for the total hydrocarbon content sample analyses. We are grateful to P. Corbett, J. Black, K. Kotzakoulakis, G. Johnstone, and others for their assistance during the 2013-2014 summer field season at Casey Station. Our gratitude goes to the Australian Maritime Safety Authority for providing the Slickgone NS dispersant. The present study was funded and supported by the Australian Antarctic Division through an Australian Antarctic Science Grant awarded to P.L. Harrison, C.K. King, S.C. George, and A. Lane (Project 4142).</t>
  </si>
  <si>
    <t>0730-7268</t>
  </si>
  <si>
    <t>1552-8618</t>
  </si>
  <si>
    <t>ENVIRON TOXICOL CHEM</t>
  </si>
  <si>
    <t>Environ. Toxicol. Chem.</t>
  </si>
  <si>
    <t>10.1002/etc.3679</t>
  </si>
  <si>
    <t>Environmental Sciences; Toxicology</t>
  </si>
  <si>
    <t>Environmental Sciences &amp; Ecology; Toxicology</t>
  </si>
  <si>
    <t>EZ0IL</t>
  </si>
  <si>
    <t>WOS:000404386300017</t>
  </si>
  <si>
    <t>Hilder, PE; Cobcroft, JM; Battaglene, SC</t>
  </si>
  <si>
    <t>Hilder, Pollyanna E.; Cobcroft, Jennifer M.; Battaglene, Stephen C.</t>
  </si>
  <si>
    <t>Factors affecting the feeding response of larval southern bluefin tuna, Thunnus maccoyii (Castelnau, 1872)</t>
  </si>
  <si>
    <t>AQUACULTURE RESEARCH</t>
  </si>
  <si>
    <t>marine fish larvae; light intensity; turbulence; prey density; larval mortality and first-feeding</t>
  </si>
  <si>
    <t>STRIPED TRUMPETER LARVAE; MARINE FISH LARVAE; TANK WALL COLOR; LIGHT-INTENSITY; ORIENTALIS TEMMINCK; VISUAL PIGMENTS; LATRIS-LINEATA; PREY DENSITY; SWIMBLADDER INFLATION; INTESTINAL MICROFLORA</t>
  </si>
  <si>
    <t>Southern bluefin tuna, Thunnus maccoyii, are cultured in Australia following collection of wild juveniles. Hatchery culture from egg is in the experimental stage. High early mortality has hindered the production of quality juveniles in the hatchery. This study investigated the visual capacity of T. maccoyii during early larval ontogeny in order to describe the best larval rearing conditions to produce high-quality seed stock. Functional visual ability, determined through behavioural experimentation, identified the effect of light intensity, prey density, turbidity, tank colour and turbulence on the feeding response. Larvae were visually challenged to feed under a range of conditions in short-duration (4 h) feeding experiments. Feeding performance was measured as the proportion of larvae feeding and the intensity of feeding. First-feeding performance was positively affected by increasing prey density and lower turbidities and unaffected by light intensity, tank colour, turbulence, prey size and larval density. The key findings from feeding experiments on 6 and 9 dph larvae was that as T. maccoyii aged, lower light intensities and higher prey densities significantly increased feeding performance. In addition, the study has identified that high light intensity and high air-driven turbulence induced significant mortality. The proficient first-feeding response indicated that early mortality common in culture is unlikely to be associated with a failure to initiate feeding. Our findings show the use of low light intensity has the potential to significantly improve survival and feeding response during the first two critical weeks of culture, when the major bottleneck in hatchery production is currently experienced.</t>
  </si>
  <si>
    <t>[Hilder, Pollyanna E.; Cobcroft, Jennifer M.; Battaglene, Stephen C.] Univ Tasmania, Inst Marine &amp; Antarctic Studies, Fisheries &amp; Aquaculture Ctr, Hobart, Tas, Australia</t>
  </si>
  <si>
    <t>Hilder, PE (corresponding author), IMAS FAC, Private Bag 49, Hobart, Tas 7001, Australia.</t>
  </si>
  <si>
    <t>Pollyanna.Hilder@utas.edu.au</t>
  </si>
  <si>
    <t>Cobcroft, Jennifer/E-3331-2013; Battaglene, Stephen C/H-9683-2014</t>
  </si>
  <si>
    <t>Cobcroft, Jennifer/0000-0002-2398-9267;</t>
  </si>
  <si>
    <t>Australian Seafood CRC; Australian Government's Cooperative Research Centres Programme</t>
  </si>
  <si>
    <t>Australian Seafood CRC(Australian GovernmentDepartment of Industry, Innovation and ScienceCooperative Research Centres (CRC) Programme); Australian Government's Cooperative Research Centres Programme(Australian GovernmentDepartment of Industry, Innovation and ScienceCooperative Research Centres (CRC) Programme)</t>
  </si>
  <si>
    <t>The authors thank the staff of Clean Seas Tuna Ltd including Morten Deichmann, Adam Miller, Marcell Boaventura, Jamie Crawford, Konrad Czypionka and all of the technical staff. We thank Dr Natalie Moltschaniwskyj for statistical advice. Experiments were conducted in accordance with the University of Tasmania Animal Ethics Committee approval number A0010990. We thank the Australian Seafood CRC for funding the study. The Australian Seafood CRC is established and supported under the Australian Government's Cooperative Research Centres Programme. Other investors in the CRC are the Fisheries Research and Development Corporation, Seafood CRC company members, and supporting participants.</t>
  </si>
  <si>
    <t>1355-557X</t>
  </si>
  <si>
    <t>1365-2109</t>
  </si>
  <si>
    <t>AQUAC RES</t>
  </si>
  <si>
    <t>Aquac. Res.</t>
  </si>
  <si>
    <t>10.1111/are.13108</t>
  </si>
  <si>
    <t>Fisheries</t>
  </si>
  <si>
    <t>EY9DW</t>
  </si>
  <si>
    <t>WOS:000404300300012</t>
  </si>
  <si>
    <t>Kooyman, GL; Ponganis, PJ</t>
  </si>
  <si>
    <t>Kooyman, G. L.; Ponganis, P. J.</t>
  </si>
  <si>
    <t>Rise and fall of Ross Sea emperor penguin colony populations: 2000 to 2012</t>
  </si>
  <si>
    <t>ANTARCTIC SCIENCE</t>
  </si>
  <si>
    <t>Aptenodytes forsteri; Cape Colbeck; Cape Roget; western Ross Sea colonies</t>
  </si>
  <si>
    <t>ENVIRONMENTAL-CHANGE; POINTE-GEOLOGIE; CLIMATE; ANTARCTICA; LOCATION; TRENDS; ISLAND</t>
  </si>
  <si>
    <t>There are seven emperor penguin (Aptenodytes forsteri) colonies distributed throughout the traditional boundaries of the Ross Sea from Cape Roget to Cape Colbeck. This coastline is c. 10% of the entire coast of Antarctica. From 2000 to 2012, there has been a nearly continuous record of population size of most, and sometimes all, of these colonies. Data were obtained by analysing aerial photographs. We found large annual variations in populations of individual colonies, and conclude that a trend from a single emperor penguin colony may not be a good environmental sentinel. There are at least four possibilities for census count fluctuations: i) this species is not bound to a nesting site like other penguins, and birds move within the colony and possibly to other colonies, ii) harsh environmental conditions cause a die-off of chicks in the colony or of adults elsewhere, iii) the adults skip a year of breeding if pre-breeding foraging is inadequate and iv) if sea ice conditions are unsatisfactory at autumn arrival of the adults, they skip breeding or go elsewhere. Such variability indicates that birds at all Ross Sea colonies should be counted annually if there is to be any possibility of understanding the causes of population changes.</t>
  </si>
  <si>
    <t>[Kooyman, G. L.; Ponganis, P. J.] Scripps Inst Oceanog, Scholander Hall,9500 Gilman Dr 0204, La Jolla, CA 92093 USA</t>
  </si>
  <si>
    <t>University of California System; University of California San Diego; Scripps Institution of Oceanography</t>
  </si>
  <si>
    <t>Kooyman, GL (corresponding author), Scripps Inst Oceanog, Scholander Hall,9500 Gilman Dr 0204, La Jolla, CA 92093 USA.</t>
  </si>
  <si>
    <t>gkooyman@ucsd.edu</t>
  </si>
  <si>
    <t>, gerald/0000-0002-8872-2950</t>
  </si>
  <si>
    <t>NSF [OPP 98-14794, OPP 02-29638, OPP 0224957, DPP 83-16963, DPP 86-13729, DPP 87-15863, DPP 87-1584, OPP 9219872, OPP 96-15390, OPP 0001450]; Tinker Foundation Inc.; SeaWorld Conservation Fund; OPP [09-44411]</t>
  </si>
  <si>
    <t>NSF(National Science Foundation (NSF)); Tinker Foundation Inc.; SeaWorld Conservation Fund; OPP</t>
  </si>
  <si>
    <t>This work was supported by NSF grants OPP 98-14794, OPP 02-29638 and OPP 0224957 to PJP, and DPP 83-16963, DPP 86-13729, DPP 87-15863, DPP 87-1584, OPP 9219872, OPP 96-15390 and OPP 0001450 to GLK, a Tinker Foundation Inc. grant for 2006 to GLK, and a SeaWorld Conservation Funds Grant to PJP in 2013. Cape Crozier counts by G. Ballard and D. Ainley were supported by OPP 09-44411. We are grateful to all those at NSF that helped make this work possible, those at Raytheon Antarctic Support Services, and in the early years to Antarctic Support Associates, for all the field support, and Kenn Borek Air and Petroleum Helicopters International for air support. Those that assisted in the field were vital to the project. They were: A. Ancel, Y. Cherel, D. Croll, M. Horning, C. Kooyman, T. Kooyman, G. Marshall, J. Mullins, K. Ponganis, G. Robertson, S. Smith, S. Stone, P. Thorson and R. van Dam. Satellite photos are from DigitalGlobe. Those students in the laboratory that did much of the counting from the aerial photographs are: N. Bickett, C. Senet, J. Smith, C. van Gorden and A. Wright. We are especially grateful to David Ainley and Grant Ballard who provided the late season counts of chicks at Cape Crozier in 2006 to 2014. We also thank the anonymous reviewers whose comments and suggestions greatly improved the manuscript.</t>
  </si>
  <si>
    <t>CAMBRIDGE UNIV PRESS</t>
  </si>
  <si>
    <t>32 AVENUE OF THE AMERICAS, NEW YORK, NY 10013-2473 USA</t>
  </si>
  <si>
    <t>0954-1020</t>
  </si>
  <si>
    <t>1365-2079</t>
  </si>
  <si>
    <t>ANTARCT SCI</t>
  </si>
  <si>
    <t>Antarct. Sci.</t>
  </si>
  <si>
    <t>10.1017/S0954102016000559</t>
  </si>
  <si>
    <t>Environmental Sciences; Geography, Physical; Geosciences, Multidisciplinary</t>
  </si>
  <si>
    <t>Environmental Sciences &amp; Ecology; Physical Geography; Geology</t>
  </si>
  <si>
    <t>EY8XW</t>
  </si>
  <si>
    <t>WOS:000404282500002</t>
  </si>
  <si>
    <t>Parker, GC; Rexer-Huber, K; Thompson, D</t>
  </si>
  <si>
    <t>Parker, Graham C.; Rexer-Huber, Kalinka; Thompson, David</t>
  </si>
  <si>
    <t>Grey petrel population on Campbell Island 14 years after rodent eradication</t>
  </si>
  <si>
    <t>breeding numbers; island restoration; Norway rat; Procellaria cinerea; seabirds; sub-Antarctic</t>
  </si>
  <si>
    <t>WHITE-CHINNED PETRELS; PROCELLARIA-CINEREA; BREEDING SUCCESS; GOUGH ISLAND; BIRDS; CATS; SIZE</t>
  </si>
  <si>
    <t>Populations of grey petrels have declined globally due to both incidental capture in commercial fisheries and predation by introduced mammals at breeding sites. In the New Zealand region, grey petrels only breed on Campbell and Antipodes islands. Rats were successfully eradicated from Campbell Island in 2001. We assessed the spatial extent and conducted the first quantitative population estimate of the grey petrel population on Campbell Island and surrounding islets. There was an estimated c. 96 pairs (95% CI: 83, 109) of breeding grey petrels from the four colonies. Since work was conducted during the middle of the chick-rearing stage, this is an underestimate of the breeding population. The Campbell Island grey petrel breeding population remains small. Our study provides a baseline for future population estimates of grey petrels on Campbell Island.</t>
  </si>
  <si>
    <t>[Parker, Graham C.; Rexer-Huber, Kalinka] Parker Conservat, 126 Maryhill Terrace, Dunedin, New Zealand; [Rexer-Huber, Kalinka] Univ Otago, Dept Zool, 340 Great King St, Dunedin, New Zealand; [Thompson, David] NIWA, 301 Evans Bay Parade, Wellington, New Zealand</t>
  </si>
  <si>
    <t>University of Otago; National Institute of Water &amp; Atmospheric Research (NIWA) - New Zealand</t>
  </si>
  <si>
    <t>Parker, GC (corresponding author), Parker Conservat, 126 Maryhill Terrace, Dunedin, New Zealand.</t>
  </si>
  <si>
    <t>g.parker@parkerconservation.co.nz</t>
  </si>
  <si>
    <t>New Zealand's National Institute of Water and Atmospheric Research (NIWA); Department of Conservation (DOC); DOC Southern Islands Area</t>
  </si>
  <si>
    <t>This work was funded by New Zealand's National Institute of Water and Atmospheric Research (NIWA) and Department of Conservation (DOC), and conducted under a permit from DOC Southern Islands Area. Carlos Olavarria Barilla, Henk Haazen, Keith Jacob and Penny Pascoe were enormously helpful field assistants. We are grateful to Captain Henk Haazen and First Mates Keith and Kali for excellent transport and hosting on the Tiama. Graeme Taylor, Matt Charteris, Nick Torr, Rick Thorpe, Jacinda Amey and Peter Moore provided valuable historical information. We thank Graeme Taylor and two anonymous reviewers for their efforts to improve this manuscript.</t>
  </si>
  <si>
    <t>10.1017/S0954102016000626</t>
  </si>
  <si>
    <t>WOS:000404282500003</t>
  </si>
  <si>
    <t>Swanger, KM</t>
  </si>
  <si>
    <t>Swanger, Kate M.</t>
  </si>
  <si>
    <t>Buried ice in Kennar Valley: a late Pleistocene remnant of Taylor Glacier</t>
  </si>
  <si>
    <t>Antarctica; cold-based glacier; geomorphology; polygons; stable isotopes; sublimation</t>
  </si>
  <si>
    <t>MCMURDO DRY VALLEYS; DEBRIS-COVERED GLACIER; BEACON VALLEY; ANTARCTICA; ORIGIN; SUBLIMATION; PERMAFROST; RADAR; DEPTH; FLOW</t>
  </si>
  <si>
    <t>Buried glacier ice is common in the McMurdo Dry Valleys and under ideal climatic and geomorphological conditions may be preserved for multimillion-year timescales. This study focuses on the analysis of similar to 300 m(2) of buried glacier ice in lower Kennar Valley, Quartermain Range. The mapped ice is clean, &lt; 10m thick and covered by a similar to 25 cm sandy drift. The mouth of Kennar Valley is occupied by a lobe of Taylor Glacier, an outlet glacier from Taylor Dome. Based on ice-sediment characteristics, air bubble concentrations and stable isotopic analyses from three ice cores, the lower Kennar Valley ice is glacial in origin. These data coupled with a previously reported exposure age chronology indicate that the buried ice was deposited by a late Pleistocene advance of Taylor Glacier, probably during an interglacial interval. The surface of the buried glacier ice exhibits a patterned ground morphology characterized by small, dome-shaped polygons with deep troughs. This shape possibly reflects the final stages of ice loss, as stagnant, isolated ice pinnacles sublimate in place. This study highlights how polygon morphology can be used to infer the thickness of clean buried ice and its geomorphological stability throughout Antarctica, as well as other in cold, arid landscapes.</t>
  </si>
  <si>
    <t>[Swanger, Kate M.] Univ Massachusetts, Dept Environm Earth &amp; Atmospher Sci, 1 Univ Ave, Lowell, MA 01854 USA</t>
  </si>
  <si>
    <t>University of Massachusetts System; University of Massachusetts Lowell</t>
  </si>
  <si>
    <t>Swanger, KM (corresponding author), Univ Massachusetts, Dept Environm Earth &amp; Atmospher Sci, 1 Univ Ave, Lowell, MA 01854 USA.</t>
  </si>
  <si>
    <t>Kate_Swanger@uml.edu</t>
  </si>
  <si>
    <t>NSF Division of Polar Program [PLR-1043724, PLR-1341284]</t>
  </si>
  <si>
    <t>NSF Division of Polar Program</t>
  </si>
  <si>
    <t>Thank you to Douglas Kowalewski, David Shean, Rebecca Parsons, James Head III, Christopher Ford and Andrew Christ for assistance in the field. Thank you to Robert Michener for conducting the stable isotope analyses at the Boston University Stable Isotope Laboratory. Thank you to David Marchant for insightful comments and edits on an earlier draft of this paper. Thank you to Warren Dickinson and one anonymous reviewer for helpful comments that increased the quality and accuracy of the manuscript; also thank you to the editors who handled this manuscript. All photographs were taken by Kate M. Swanger and reprinted with permission. The image in Fig. 1 is a public domain Landsat7 image courtesy of NASA Goddard Space Flight Center and US Geological Survey. Funding for this research was provided by NSF Division of Polar Programs Grants PLR-1043724 and PLR-1341284 to KMS. The author declares no competing financial interests.</t>
  </si>
  <si>
    <t>10.1017/S0954102016000687</t>
  </si>
  <si>
    <t>WOS:000404282500006</t>
  </si>
  <si>
    <t>Pietrella, M; Nava, B; Pezzopane, M; Orue, YM; Ippolito, A; Scotto, C</t>
  </si>
  <si>
    <t>Pietrella, M.; Nava, B.; Pezzopane, M.; Orue, Y. Migoya; Ippolito, A.; Scotto, C.</t>
  </si>
  <si>
    <t>NeQuick2 and IRI2012 models applied to mid and high latitudes, and the Antarctic ionosphere</t>
  </si>
  <si>
    <t>adaptive ionospheric profiler; autoscala; data ingestion; root mean square error</t>
  </si>
  <si>
    <t>Within the framework of the AUSPICIO (AUtomatic Scaling of Polar Ionograms and Co-operative Ionospheric Observations) project, a limited sample of ionograms recorded mostly in 2001 and 2009, and to a lesser extent in 2006-07 and 2012-15, at the ionospheric observatories of Hobart and Macquarie Island (mid-latitude), Comandante Ferraz and Livingstone Island (high latitude), and Casey, Mawson, Davis and Scott Base (inside the Antarctic Polar Circle (APC)) were considered to study the capability of the NeQuick2 and IRI2012 models for predicting the behaviour of the ionosphere at mid and high latitudes and over the Antarctic area. The applicability of NeQuick2 and IRI2012 was evaluated as i) climatological models taking as input the F-10.7 solar activity index and ii) assimilative models ingesting the foF2 and hmF2 measurements obtained from the electron density profiles provided by the Adaptive Ionospheric Profiler (AIP). The statistical analysis results reveal that the best description of the ionosphere's electron density is achieved when the AIP measurements are ingested into the NeQuick2 and IRI2012 models. Moreover, NeQuick2 performance is far better than IRI2012 performance outside the APC. Conversely, the IRI2012 model performs better than the NeQuick2 model inside the APC.</t>
  </si>
  <si>
    <t>[Pietrella, M.; Pezzopane, M.; Ippolito, A.; Scotto, C.] Ist Nazl Geofis &amp; Vulcanol, Via Vigna Murata 605, I-00143 Rome, Italy; [Nava, B.; Orue, Y. Migoya] Abdus Salam Int Ctr Theoret Phys, Str Costiera 11, I-34051 Trieste, Italy</t>
  </si>
  <si>
    <t>Istituto Nazionale Geofisica e Vulcanologia (INGV); Abdus Salam International Centre for Theoretical Physics (ICTP)</t>
  </si>
  <si>
    <t>Pietrella, M (corresponding author), Ist Nazl Geofis &amp; Vulcanol, Via Vigna Murata 605, I-00143 Rome, Italy.</t>
  </si>
  <si>
    <t>marco.pietrella@ingv.it</t>
  </si>
  <si>
    <t>; /F-4029-2010</t>
  </si>
  <si>
    <t>Pezzopane, Michael/0000-0001-5800-2322; /0000-0001-5290-7235</t>
  </si>
  <si>
    <t>Progetto Nazionale Ricerche in Antartide</t>
  </si>
  <si>
    <t>The authors would like to thank the following scientific institutions: the Ionospheric Prediction Service (Australia) for providing the ionograms database for Hobart, Macquarie Island, Casey, Mawson, Davis and Scott Base, the Istituto Nacional de Pesquisas Espaciais (Brazil) for providing the ionograms for Comandante Ferraz, the Universitat Ramon Lull (Spain) for providing the ionograms for Livingstone Island, and the Progetto Nazionale Ricerche in Antartide for supporting this study. The authors are very grateful to the anonymous referees for their useful comments and suggestions which have greatly contributed to improve the paper.</t>
  </si>
  <si>
    <t>10.1017/S0954102016000602</t>
  </si>
  <si>
    <t>WOS:000404282500008</t>
  </si>
  <si>
    <t>Monien, D; Monien, P; Brünjes, R; Widmer, T; Kappenberg, A; Busso, AAS; Schnetger, B; Brumsack, HJ</t>
  </si>
  <si>
    <t>Monien, Donata; Monien, Patrick; Bruenjes, Robert; Widmer, Tatjana; Kappenberg, Arne; Busso, Adrian A. Silva; Schnetger, Bernhard; Brumsack, Hans-Juergen</t>
  </si>
  <si>
    <t>Meltwater as a source of potentially bioavailable iron to Antarctica waters</t>
  </si>
  <si>
    <t>iron export; suspended particulate matter; turbidity; western Antarctic Peninsula</t>
  </si>
  <si>
    <t>KING-GEORGE-ISLAND; GLACIAL CHANGES; VOLCANIC-ROCKS; ICE CAP; BIOGEOCHEMISTRY; PHYTOPLANKTON; SURFACE; CYCLE; BAY; FE</t>
  </si>
  <si>
    <t>Recent rapid retreat of glacial front lines and the loss of land ice along the Antarctic margins may play an important role in exporting suspended particulate matter (SPM) potentially rich in bioavailable (defined as ascorbate leachable) iron (Fe-A) to coastal areas of the Southern Ocean. Sediment ablation is an additional source of iron for this high-nutrient low-chlorophyll region. In Potter Cove, King George Island, meltwater streams discharge up to 18 000 mg l(-1) (average 283 mg l-1) of slightly weathered, finely ground bedrock particles into coastal waters during the summer. Approximately 15% of this SPM is exported within a low-salinity surface plume into Bransfield Strait. Based on our data, an estimated 12 mg m(-2) yr(-1) of FeA is exported from the South Shetland Island land surface (ice-free and subglacial areas) to the surrounding coastal waters. Extrapolated to an area of 2.5 x 10(4) km(2), this FeA input is comparable to the contribution from icebergs and c. 240-fold higher than aeolian input via dust. An observed rise in local sediment accumulation rates suggests that glacial erosion has been increasing over recent decades and that (sub-) glacially derived SPM is becoming more important as a source of iron to the Southern Ocean.</t>
  </si>
  <si>
    <t>[Monien, Donata; Monien, Patrick; Bruenjes, Robert; Widmer, Tatjana; Kappenberg, Arne; Schnetger, Bernhard; Brumsack, Hans-Juergen] Carl von Ossietzky Univ Oldenburg, Inst Chem &amp; Biol Marine Environm ICBM, POB 2503, D-26111 Oldenburg, Germany; [Monien, Donata] Leibniz Ctr Trop Marine Ecol, Fahrenheitstr 6, D-28359 Bremen, Germany; [Monien, Patrick] Univ Bremen, Petrol Ocean Crust, Klagenfurter Str 2-4, D-28359 Bremen, Germany; [Busso, Adrian A. Silva] Inst Nacl Agua DSH, Empalme J Newbery Km 1,620 Ezeiza, Buenos Aires, DF, Argentina</t>
  </si>
  <si>
    <t>Carl von Ossietzky Universitat Oldenburg; Leibniz Zentrum fur Marine Tropenforschung (ZMT); University of Bremen</t>
  </si>
  <si>
    <t>Monien, D (corresponding author), Carl von Ossietzky Univ Oldenburg, Inst Chem &amp; Biol Marine Environm ICBM, POB 2503, D-26111 Oldenburg, Germany.</t>
  </si>
  <si>
    <t>donata.monien@leibniz-zmt.de</t>
  </si>
  <si>
    <t>Monien, Patrick/K-8338-2017; Brumsack, Hans-Jürgen/O-7942-2016</t>
  </si>
  <si>
    <t>Brunjes, Robert/0000-0001-8914-258X; Schnetger, Bernhard/0000-0003-1638-3977; Monien, Donata/0000-0003-4734-9202</t>
  </si>
  <si>
    <t>German Federal Ministry of Education and Research [03F0617C]; German Research Foundation [BR 775/25-1]</t>
  </si>
  <si>
    <t>German Federal Ministry of Education and Research(Federal Ministry of Education &amp; Research (BMBF)); German Research Foundation(German Research Foundation (DFG))</t>
  </si>
  <si>
    <t>This study is part of IMCONet programme (EU FP7-PEOPLE-2012-IRSES). This particular project was funded by the German Federal Ministry of Education and Research (BMBF, ref. no. 03F0617C) and the German Research Foundation (DFG project no. BR 775/25-1). The authors wish to thank the staff of Carlini Station (former Jubany, CAV 2009/10, 2010/11, 2011/2012) and particularly the divers of the Prefectura Naval Argentina for recovery of sediment cores and sediment traps. Many thanks to Anne-Catrin Wolfl and Nina Wittenberg from the Alfred-Wegener Institute (Sylt, Germany) who provided additional material of surface sediment samples. We appreciate the support of technicians and students of the microbiogeochemistry group at ICBM, Oldenburg University, and Sanja Asendorf and Joran Marz, in particular, for their help in the field. Finally, we thank Doris Abele and Ulrike Falk for their valuable comments on thismanuscript. The authors also thank two anonymous reviewers for their valuable comments.</t>
  </si>
  <si>
    <t>10.1017/S095410201600064X</t>
  </si>
  <si>
    <t>WOS:000404282500009</t>
  </si>
  <si>
    <t>Crawford, TZ; Kub, AD; Peterson, KM; Cox, TS; Cole-Dai, J</t>
  </si>
  <si>
    <t>Crawford, T. Z.; Kub, Alexandria D.; Peterson, Kari M.; Cox, Thomas S.; Cole-Dai, Jihong</t>
  </si>
  <si>
    <t>Reduced perchlorate in West Antarctica snow during stratospheric ozone hole</t>
  </si>
  <si>
    <t>Antarctic snow; seasonal variations</t>
  </si>
  <si>
    <t>UNITED-STATES; ICE CORES; NITRATE; ORIGIN; OXIDATION; HISTORY</t>
  </si>
  <si>
    <t>Snowpit samples collected at the West Antarctic Ice Sheet (WAIS) Divide location in January 2013 were analysed to investigate the levels and variations of perchlorate concentrations in Antarctic snow. During 2008-12, the perchlorate concentration in WAIS Divide snow ranged between 6-180 ng l(-1) and followed a seasonal cycle. The highest concentrations appeared in the autumn, and the lowest in winter and spring. No apparent correlation was observed between perchlorate and nitrate or chloride concentrations in snow. Since perchlorate is believed to form in the atmosphere when chlorine species are oxidized in reactions involving ozone, perchlorate concentrations were hypothesized to be high during the spring, based on the assumption that stratospheric ozone depletion enhances tropospheric perchlorate production. The data show that perchlorate concentrations in snow were sharply reduced during stratospheric ozone depletion events; the evidence, therefore, does not support the hypothesis. Instead, the results suggest a stratospheric origin of perchlorate in Antarctic snow.</t>
  </si>
  <si>
    <t>[Crawford, T. Z.; Kub, Alexandria D.; Peterson, Kari M.; Cox, Thomas S.; Cole-Dai, Jihong] South Dakota State Univ, Dept Chem &amp; Biochem, Brookings, SD 57007 USA</t>
  </si>
  <si>
    <t>South Dakota State University</t>
  </si>
  <si>
    <t>Cole-Dai, J (corresponding author), South Dakota State Univ, Dept Chem &amp; Biochem, Brookings, SD 57007 USA.</t>
  </si>
  <si>
    <t>jihong.cole-dai@sdstate.edu</t>
  </si>
  <si>
    <t>Cole-Dai, Jihong/B-2510-2009</t>
  </si>
  <si>
    <t>Cole-Dai, Jihong/0000-0003-0921-5916</t>
  </si>
  <si>
    <t>US National Science Foundation [1043508]; NSF [0944348, 0944266, 0922816, 1203533]; Direct For Mathematical &amp; Physical Scien; Division Of Chemistry [0922816] Funding Source: National Science Foundation; Directorate For Geosciences; Office of Polar Programs (OPP) [1443663, 0944266] Funding Source: National Science Foundation; Directorate For Geosciences; Office of Polar Programs (OPP) [1203533] Funding Source: National Science Foundation</t>
  </si>
  <si>
    <t>US National Science Foundation(National Science Foundation (NSF)); NSF(National Science Foundation (NSF)); Direct For Mathematical &amp; Physical Scien; Division Of Chemistry(National Science Foundation (NSF)NSF - Directorate for Mathematical &amp; Physical Sciences (MPS)); Directorate For Geosciences; Office of Polar Programs (OPP)(National Science Foundation (NSF)NSF - Directorate for Geosciences (GEO)); Directorate For Geosciences; Office of Polar Programs (OPP)(National Science Foundation (NSF)NSF - Directorate for Geosciences (GEO))</t>
  </si>
  <si>
    <t>Collection of WAIS Divide snow samples was accomplished during an ice core research project supported by the US National Science Foundation (NSF Award #1043508). Field work at WAIS Divide was co-ordinated by the Science Coordination Office of WAIS Divide project at University of New Hampshire and Desert Research Institute in Reno, NV, supported by NSF (Award #0944348 and 0944266). JC-D acknowledges NSF support (Awards #0922816 and #1203533) for the AB SCIEX ESI-MS/MS instrumentation and for chemical analysis of polar ice cores. The authors wish to thank two anonymous reviewers whose comments helped to improve the manuscript. This work was part of coursework of TZC and ADK at South Dakota State University and the SDSU Van D. and Barbara B. Fishback Honors College. The authors declare no competing interests.</t>
  </si>
  <si>
    <t>10.1017/S0954102016000705</t>
  </si>
  <si>
    <t>WOS:000404282500010</t>
  </si>
  <si>
    <t>Goetz, KT; Burns, JM; Hückstädt, LA; Shero, MR; Costa, DP</t>
  </si>
  <si>
    <t>Goetz, Kimberly T.; Burns, Jennifer M.; Huckstadt, Luis A.; Shero, Michelle R.; Costa, Daniel P.</t>
  </si>
  <si>
    <t>Temporal variation in isotopic composition and diet of Weddell seals in the western Ross Sea</t>
  </si>
  <si>
    <t>DEEP-SEA RESEARCH PART II-TOPICAL STUDIES IN OCEANOGRAPHY</t>
  </si>
  <si>
    <t>3rd Open Science Symposium of the Climate-Impacts-on-Oceanic-Top-Predators (CLIOTOP) Programme</t>
  </si>
  <si>
    <t>SEP 14-18, 2015</t>
  </si>
  <si>
    <t>Donostia San Sebastian, SPAIN</t>
  </si>
  <si>
    <t>Weddell seal; Marine mammals; Antarctica; Ross Sea; Foraging behavior; Diet; Isotopes; Mixing model</t>
  </si>
  <si>
    <t>MCMURDO-SOUND; ANTARCTIC TOOTHFISH; STABLE-ISOTOPES; TROPHIC INTERACTIONS; NOTOTHENIOID FISH; CARBON ISOTOPES; FOOD-WEB; FRACTIONATION; BEHAVIOR; ICE</t>
  </si>
  <si>
    <t>Weddell seals (Leptonychotes weddellii) are important predators in the Antarctic marine ecosystem, yet little is known about their diet. Previous studies have used scat and stomach content analyses to examine Weddell seal diet, however, these methods are biased towards prey with indigestible hard parts. To provide a more complete picture of their diet, we analyzed the stable isotope composition (delta C-13 and delta N-15 values) of red blood cells (RBC, n=96, representing a time scale of weeks to months) and vibrissae (n=45, representing months to a year) collected over a three year period (2010-2012). Our objectives were to (1) examine isotopic variation in relation to Weddell seal mass, sex, season, location, percent lipid, and age, and (2) quantify the contribution of prey items to overall diet. Body mass was a significant predictor of delta C-13 and delta N-15 values for both tissues, though the strength and direction of the relationship varied by year. The prey group consisting of Pleurogramma antarcticum and Trematomus newnesi was found to be an important dietary component, but its proportional contribution to Weddell seal diet varied with the timeframe represented by each tissue type [median RBC (range): 59.2% (40.2-8 1.1%); median mean vibrissae (range): 69.3% (43.9-89.6%)]. Results from mixing models ran for each seal indicate individual variation in diet. Overall, this study presents novel information on the isotopic variation and diet of Weddell seals over two time scales and provides insight into the feeding ecology of an important Antarctic predator. (C) 2016 Elsevier Ltd. All rights reserved.</t>
  </si>
  <si>
    <t>[Goetz, Kimberly T.] Natl Inst Water &amp; Atmospher Res Ltd, 301 Evans Bay Parade, Wellington 6021, New Zealand; [Goetz, Kimberly T.; Huckstadt, Luis A.; Costa, Daniel P.] Univ Calif Santa Cruz, Dept Ecol &amp; Evolutionary Biol, 100 Shaffer Rd, Santa Cruz, CA 95060 USA; [Burns, Jennifer M.; Shero, Michelle R.] Univ Alaska Anchorage, Dept Biol Sci, 3211 Providence Dr, Anchorage, AK 99508 USA</t>
  </si>
  <si>
    <t>National Institute of Water &amp; Atmospheric Research (NIWA) - New Zealand; University of California System; University of California Santa Cruz; University of Alaska System; University of Alaska Anchorage</t>
  </si>
  <si>
    <t>Goetz, KT (corresponding author), Natl Inst Water &amp; Atmospher Res Ltd, 301 Evans Bay Parade, Wellington 6021, New Zealand.</t>
  </si>
  <si>
    <t>kim.goetz@niwa.co.nz</t>
  </si>
  <si>
    <t>Huckstadt, Luis A./J-8532-2019; Carlos, Universidade Federal de São/W-8832-2019; Goetz, Kimberly/AID-8232-2022; Burns, Jennifer/AAC-8243-2019; Huckstadt, Luis/JNR-7637-2023; Huckstadt, Luis/A-5838-2018; Costa, Daniel Paul/E-2616-2013</t>
  </si>
  <si>
    <t>Huckstadt, Luis A./0000-0002-2453-7350; Carlos, Universidade Federal de São/0000-0002-0334-3899; Burns, Jennifer/0000-0001-9652-2943; Huckstadt, Luis/0000-0002-2453-7350; Costa, Daniel Paul/0000-0002-0233-5782; Shero, Michelle/0000-0003-4633-5351</t>
  </si>
  <si>
    <t>National Science Foundation (NSF) [ANT-0838892]; National Institute of Water and Atmospheric Research</t>
  </si>
  <si>
    <t>National Science Foundation (NSF)(National Science Foundation (NSF)National Research Foundation of Korea); National Institute of Water and Atmospheric Research</t>
  </si>
  <si>
    <t>We thank the National Science Foundation (NSF) for funding and logistical support (ANT-0838892). The National Institute of Water and Atmospheric Research provided additional financial support to produce this manuscript. We are grateful to L. Pearson, J. Maresh, M. LaRue, B. Herried, P. Robinson, C. Burns, M. Zavanelli, and A. Eilers for their assistance in the field. B. Buckley, S. Place, A. Devries, P. Cziko, and A. Bochdansky provided essential prey species for isotopic analysis. We are forever grateful to the many undergraduate volunteers, especially X. Rojas-Rocha and R. Beltran, who spent countless days in the lab processing samples. Finally, we would like to thank the three reviewers for providing constructive comments on an earlier version of this manuscript.</t>
  </si>
  <si>
    <t>0967-0645</t>
  </si>
  <si>
    <t>1879-0100</t>
  </si>
  <si>
    <t>DEEP-SEA RES PT II</t>
  </si>
  <si>
    <t>Deep-Sea Res. Part II-Top. Stud. Oceanogr.</t>
  </si>
  <si>
    <t>10.1016/j.dsr2.2016.05.017</t>
  </si>
  <si>
    <t>EX8PT</t>
  </si>
  <si>
    <t>WOS:000403513400005</t>
  </si>
  <si>
    <t>Della Penna, A; Koubbi, P; Cotté, C; Bon, C; Bost, CA; d'Ovidio, F</t>
  </si>
  <si>
    <t>Della Penna, Alice; Koubbi, Philippe; Cotte, Cedric; Bon, Cecile; Bost, Charles-Andre; d'Ovidio, Francesco</t>
  </si>
  <si>
    <t>Lagrangian analysis of multi-satellite data in support of open ocean Marine Protected Area design</t>
  </si>
  <si>
    <t>ANTARCTIC CIRCUMPOLAR CURRENT; MESOSCALE EDDIES; SOUTHERN-OCEAN; DYNAMIC OCEAN; PHYTOPLANKTON BLOOM; COMMUNITY STRUCTURE; ANIMAL BEHAVIOR; CROZET PLATEAU; CLIMATE-CHANGE; CIRCULATION</t>
  </si>
  <si>
    <t>Compared to ecosystem conservation in territorial seas, protecting the open ocean has peculiar geopolitical, economic and scientific challenges. One of the major obstacle is defining the boundary of an open ocean Marine Protected Area (MPA). In contrast to coastal ecosystems, which are mostly constrained by topographic structures fixed in time, the life of marine organisms in the open ocean is entrained by fluid dynamical structures like eddies and fronts, whose lifetime occurs on ecologically-relevant timescales. The position of these highly dynamical structures can vary interannually by hundreds of km, and so too will regions identified as ecologically relevant such as the foraging areas of marine predators. Thus, the expected foraging locations suggested from tracking data cannot be directly extrapolated beyond the year in which the data were collected. Here we explore the potential of Lagrangian methods applied to multisatellite data as a support tool for a MPA proposal by focusing on the Crozet archipelago oceanic area (Indian Sector of the Southern Ocean). By combining remote sensing with biologging information from a key marine top predator (Eudyptes chrysolophus, or Macaroni penguin) of the Southern Ocean foodweb, we identify a highly dynamic branch of the Subantarctic front as a foraging hotspot. By tracking this feature in historical satellite data (1993-2012) we are able to extrapolate the position of this foraging ground beyond the years in which tracking data are available and study its spatial variability.</t>
  </si>
  <si>
    <t>[Della Penna, Alice; Cotte, Cedric; Bon, Cecile; Bost, Charles-Andre; d'Ovidio, Francesco] UPMC Univ Paris 06, Sorbonne Univ, UMR 7159, LOCEAN IPSL, F-75005 Paris, France; [Della Penna, Alice; Bon, Cecile; Bost, Charles-Andre] Univ Paris Diderot Cite, Paris, France; [Della Penna, Alice; Bon, Cecile; Bost, Charles-Andre] IMAS, CSIRO UTAS Quantitat Marine Sci Program, Private Bag 129, Hobart, Tas 7001, Australia; [Della Penna, Alice; Bon, Cecile; Bost, Charles-Andre] Aix Marseille Univ, CNRS INSU IRD, Mediterranean Inst Oceanog, Marseille, France; [Bon, Cecile; Bost, Charles-Andre] UPMC Univ Paris 06, Sorbonne Univ, UMR BOREA 7208, MNHN,CNRS,IRD,UCBN, 57 Rue Cuvier CP 26, F-75005 Paris, France; [Koubbi, Philippe; Bon, Cecile; Bost, Charles-Andre] Ctr Etud Biol Chize, F-79360 Villiers En Bois, France</t>
  </si>
  <si>
    <t>Centre National de la Recherche Scientifique (CNRS); CNRS - National Institute for Earth Sciences &amp; Astronomy (INSU); Sorbonne Universite; Museum National d'Histoire Naturelle (MNHN); Universite Paris Cite; Commonwealth Scientific &amp; Industrial Research Organisation (CSIRO); Aix-Marseille Universite; Centre National de la Recherche Scientifique (CNRS); CNRS - Institute of Ecology &amp; Environment (INEE); Institut de Recherche pour le Developpement (IRD); Museum National d'Histoire Naturelle (MNHN); Sorbonne Universite</t>
  </si>
  <si>
    <t>Della Penna, A (corresponding author), UPMC Univ Paris 06, Sorbonne Univ, UMR 7159, LOCEAN IPSL, F-75005 Paris, France.</t>
  </si>
  <si>
    <t>alice.dellapenna@gmail.com</t>
  </si>
  <si>
    <t>Cotte, Cedric/C-3296-2013; Cotté, Cédric/AAX-6120-2021; d'Ovidio, Francesco/ABA-8461-2021; Koubbi, Philippe/D-5873-2015; Cotté, Cédric/Z-3243-2019</t>
  </si>
  <si>
    <t>Cotté, Cédric/0000-0002-8307-6435; Cotté, Cédric/0000-0002-8307-6435; d'Ovidio, Francesco/0000-0002-9664-7778; Della Penna, Alice/0000-0002-7579-3610</t>
  </si>
  <si>
    <t>Cnes; Fondation Bettencourt-Schueller (through the program Frontieres du Vivant)</t>
  </si>
  <si>
    <t>Cnes(Centre National D'etudes Spatiales); Fondation Bettencourt-Schueller (through the program Frontieres du Vivant)</t>
  </si>
  <si>
    <t>The altimeter products were produced by Ssalto/Duacs and distributed by Aviso with support from Cnes. ADP thanks the Fondation Bettencourt-Schueller (through the program Frontieres du Vivant) for its financial support. The authors would like to thank the ANR MYCTO-3D MAP and OSTST Laecos projects. Finally, the authors would like to thank the anonymous reviewers whose comments and suggestions really improved the quality of this work.</t>
  </si>
  <si>
    <t>10.1016/j.dsr2.2016.12.014</t>
  </si>
  <si>
    <t>WOS:000403513400021</t>
  </si>
  <si>
    <t>Michael, PE; Wilcox, C; Tuck, GN; Hobday, AJ; Strutton, PG</t>
  </si>
  <si>
    <t>Michael, P. E.; Wilcox, C.; Tuck, G. N.; Hobday, A. J.; Strutton, P. G.</t>
  </si>
  <si>
    <t>Japanese and Taiwanese pelagic longline fleet dynamics and the impacts of climate change in the southern Indian Ocean</t>
  </si>
  <si>
    <t>Tunas; Fishing strategies; Linear mixed model, Gaussian location-scale model</t>
  </si>
  <si>
    <t>TUNA THUNNUS-ALBACARES; YELLOWFIN TUNA; EAST-COAST; FISHERIES; SHIFTS; CONSEQUENCES; MANAGEMENT; ABUNDANCE; BEHAVIOR; HABITAT</t>
  </si>
  <si>
    <t>Climate change is projected to continue shifting the distribution of marine species, leading to changes in local assemblages and different interactions with human activities. With regard to fisheries, understanding the relationship between fishing fleets, target species catch per unit effort (CPUE), and the environment enhances our ability to anticipate fisher response and is an essential step towards proactive management. Here, we explore the potential impact of climate change in the southern Indian Ocean by modelling Japanese and Taiwanese pelagic longline fleet dynamics. We quantify the mean and variability of target species CPUE and the relative value and cost of fishing in different areas. Using linear mixed models, we identify fleet-specific effort allocation strategies most related to observed effort and predict the future distribution of effort and tuna catch under climate change for 2063-2068. The Japanese fleet's strategy targets high-value species and minimizes the variability in CPUE of the primary target species. Conversely, the Taiwanese strategy indicated flexible targeting of a broad range of species, fishing in areas of high and low variability in catch, and minimizing costs. The projected future mean and variability in CPUE across species suggest a slight increase in CPUE in currently high CPUE areas for most species. The corresponding effort projections suggest a slight increase in Japanese effort in the western and eastern study area, and Taiwanese effort increasing east of Madagascar. This approach provides a useful method for managers to explore the impacts of different fishing and fleet management strategies for the future.</t>
  </si>
  <si>
    <t>[Michael, P. E.; Strutton, P. G.] Univ Tasmania, Inst Marine &amp; Antarctic Studies, Hobart, Tas, Australia; [Wilcox, C.; Tuck, G. N.; Hobday, A. J.] CSIRO, Oceans &amp; Atmosphere, Hobart, Tas 7000, Australia; [Strutton, P. G.] Univ Tasmania, Australian Res Council, Ctr Excellence Climate Syst Sci, Hobart, Tas, Australia</t>
  </si>
  <si>
    <t>University of Tasmania; Commonwealth Scientific &amp; Industrial Research Organisation (CSIRO); University of Tasmania</t>
  </si>
  <si>
    <t>Michael, PE (corresponding author), Univ Tasmania, Inst Marine &amp; Antarctic Studies, Hobart, Tas, Australia.</t>
  </si>
  <si>
    <t>pamela.e.michael@gmail.com</t>
  </si>
  <si>
    <t>Wilcox, Chris/A-3585-2010; Hobday, Alistair/A-1460-2012; Tuck, Geoff/E-2356-2012; Strutton, Peter/C-4466-2011</t>
  </si>
  <si>
    <t>Michael, Pamela/0000-0003-4420-864X; Wilcox, Chris/0000-0002-5983-657X; Tuck, Geoff/0000-0002-3640-6147; Strutton, Peter/0000-0002-2395-9471</t>
  </si>
  <si>
    <t>10.1016/j.dsr2.2016.12.003</t>
  </si>
  <si>
    <t>WOS:000403513400024</t>
  </si>
  <si>
    <t>Williams, TJ; Liao, Y; Ye, J; Kuchel, RP; Poljak, A; Raftery, MJ; Cavicchioli, R</t>
  </si>
  <si>
    <t>Williams, Timothy J.; Liao, Yan; Ye, Jun; Kuchel, Rhiannon P.; Poljak, Anne; Raftery, Mark J.; Cavicchioli, Ricardo</t>
  </si>
  <si>
    <t>Cold adaptation of the Antarctic haloarchaea Halohasta litchfieldiae and Halorubrum lacusprofundi</t>
  </si>
  <si>
    <t>ENVIRONMENTAL MICROBIOLOGY</t>
  </si>
  <si>
    <t>ARCHAEON METHANOCOCCOIDES-BURTONII; TRANSFER-RNA MODIFICATION; UNIVERSAL STRESS-PROTEIN; PROTEOMIC ANALYSIS; ESCHERICHIA-COLI; DEEP LAKE; MICROBIAL ECOLOGY; NILE BLUE; GROWTH; TEMPERATURE</t>
  </si>
  <si>
    <t>Halohasta litchfieldiae represents similar to 44% and Halorubrum lacusprofundi similar to 10% of the hypersaline, perennially cold (&gt;= -20 degrees C) Deep Lake community in Antarctica. We used proteomics and microscopy to define physiological responses of these haloarchaea to growth at high (30 degrees C) and low (10 and 4 degrees C) temperatures. The proteomic data indicate that both species responded to low temperature by modifying their cell envelope including protein N-glycosylation, maintaining osmotic balance and translation initiation, and modifying RNA turnover and tRNA modification. Distinctions between the two species included DNA protection and repair strategies (e. g. roles of UspA and Rad50), and metabolism of glycerol and pyruvate. For Hrr. lacusprofundi, low temperature led to the formation of polyhydroxyalkanoate-like granules, with granule formation occurring by an unknown mechanism. Hrr. lacusprofundi also formed biofilms and synthesized high levels of Hsp20 chaperones. Hht. litchfieldiae was characterized by an active CRISPR system, and elevated levels of the core gene expression machinery, which contrasted markedly to the decreased levels of Hrr. lacusprofundi. These findings greatly expand the understanding of cellular mechanisms of cold adaptation in psychrophilic archaea, and provide insight into how Hht. litchfieldiae gains dominance in Deep Lake.</t>
  </si>
  <si>
    <t>[Williams, Timothy J.; Liao, Yan; Ye, Jun; Cavicchioli, Ricardo] Univ New South Wales, Sch Biotechnol &amp; Biomol Sci, Sydney, NSW 2052, Australia; [Ye, Jun] Univ New South Wales, Ctr Marine Bioinnovat, Sydney, NSW 2052, Australia; [Kuchel, Rhiannon P.] Univ New South Wales, Electron Microscopy Unit, Sydney, NSW 2052, Australia; [Poljak, Anne; Raftery, Mark J.] Univ New South Wales, Bioanalyt Mass Spectrometry Facil, Sydney, NSW 2052, Australia</t>
  </si>
  <si>
    <t>University of New South Wales Sydney; University of New South Wales Sydney; University of New South Wales Sydney; University of New South Wales Sydney</t>
  </si>
  <si>
    <t>Cavicchioli, R (corresponding author), Univ New South Wales, Sch Biotechnol &amp; Biomol Sci, Sydney, NSW 2052, Australia.</t>
  </si>
  <si>
    <t>r.cavicchioli@unsw.edu.au</t>
  </si>
  <si>
    <t>YE, JUN/B-1801-2018; Cavicchioli, Ricardo/D-4341-2013</t>
  </si>
  <si>
    <t>YE, JUN/0000-0002-6476-6406; /0000-0002-8492-2648; Poljak, Anne/0000-0001-9953-1984; Williams, Timothy/0000-0002-2738-3019; Cavicchioli, Ricardo/0000-0001-8989-6402</t>
  </si>
  <si>
    <t>Australian Research Council [DP150100244]; China Scholarship Council [201206910027, 201206230085]</t>
  </si>
  <si>
    <t>Australian Research Council(Australian Research Council); China Scholarship Council(China Scholarship Council)</t>
  </si>
  <si>
    <t>This work was supported by the Australian Research Council [DP150100244]. YL and JY were funded by the China Scholarship Council (File No. 201206910027 and 201206230085, respectively). Mass spectrometry results were obtained at the Bioanalytical Mass Spectrometry Facility and electron microscopy at the Electron Microscope Unit, both within the Analytical Centre of the University of New South Wales. Subsidized access to these facilities is gratefully acknowledged. We thank the PRIDE team and ProteomeXchange for efficiently processing and hosting the mass spectrometry data. We acknowledge the insightful and constructive comments provided by the reviewers during the review process.</t>
  </si>
  <si>
    <t>1462-2912</t>
  </si>
  <si>
    <t>1462-2920</t>
  </si>
  <si>
    <t>ENVIRON MICROBIOL</t>
  </si>
  <si>
    <t>Environ. Microbiol.</t>
  </si>
  <si>
    <t>10.1111/1462-2920.13705</t>
  </si>
  <si>
    <t>EY5HL</t>
  </si>
  <si>
    <t>WOS:000404007700012</t>
  </si>
  <si>
    <t>Reichert, S; Froy, H; Boner, W; Burg, TM; Daunt, F; Gillespie, R; Griffiths, K; Lewis, S; Phillips, RA; Nussey, DH; Monaghan, P</t>
  </si>
  <si>
    <t>Reichert, Sophie; Froy, Hannah; Boner, Winnie; Burg, Theresa M.; Daunt, Francis; Gillespie, Robert; Griffiths, Kate; Lewis, Sue; Phillips, Richard A.; Nussey, Dan H.; Monaghan, Pat</t>
  </si>
  <si>
    <t>Telomere length measurement by qPCR in birds is affected by storage method of blood samples</t>
  </si>
  <si>
    <t>OECOLOGIA</t>
  </si>
  <si>
    <t>Wandering albatross; Zebra finch; FTA cards; DNA; Telomeres; Ageing; Long-term field study</t>
  </si>
  <si>
    <t>DNA EXTRACTION METHOD; QUANTITATIVE PCR; LIFE-SPAN; EPIDEMIOLOGIC RESEARCH; EVOLUTIONARY BIOLOGY; DYNAMICS; ECOLOGY; AGE; VARIES; STYLE</t>
  </si>
  <si>
    <t>Given the potential role of telomeres as biomarkers of individual health and ageing, there is an increasing interest in studying telomere dynamics in a wider range of taxa in the fields of ecology and evolutionary biology. Measuring telomere length across the lifespan in wild animal systems is essential for testing these hypotheses, and may be aided by archived blood samples collected as part of longitudinal field studies. However, sample collection, storage, and DNA extraction methods may influence telomere length measurement, and it may, therefore, be difficult to balance consistency in sampling protocol with making the most of available samples. We used two complementary approaches to examine the impacts of sample storage method on measurements of relative telomere length (RTL) by qPCR, particularly focusing on FTA (Flinders Technology Associates) cards as a long-term storage solution. We used blood samples from wandering albatrosses collected over 14 years and stored in three different ways (n = 179), and also blood samples from captive zebra finches (n = 30) that were each stored using three different methods. Sample storage method influenced RTL in both studies, and samples on FTA cards had significantly shorter RTL measurements. There was no significant correlation between RTL measured in zebra finch blood on FTA cards and the same samples stored either as frozen whole blood or as extracted DNA. These results highlight the importance of consistency of sampling protocol, particularly in the context of long-term field studies, and suggest that FTA cards should not be used as a long-term storage solution to measure RTL without validation.</t>
  </si>
  <si>
    <t>[Reichert, Sophie] Univ Sheffield, Dept Anim &amp; Plant Sci, Sheffield, S Yorkshire, England; [Reichert, Sophie; Boner, Winnie; Gillespie, Robert; Griffiths, Kate; Monaghan, Pat] Univ Glasgow, Inst Biodivers Anim Hlth &amp; Comparat Med, Glasgow, Lanark, Scotland; [Froy, Hannah; Nussey, Dan H.] Univ Edinburgh, Inst Evolutionary Biol, Edinburgh, Midlothian, Scotland; [Froy, Hannah; Phillips, Richard A.] British Antarctic Survey, Cambridge, England; [Burg, Theresa M.] Univ Lethbridge, Dept Biol, Lethbridge, AB, Canada; [Daunt, Francis] Ctr Ecol &amp; Hydrol, Edinburgh, Midlothian, Scotland</t>
  </si>
  <si>
    <t>University of Sheffield; University of Glasgow; University of Edinburgh; UK Research &amp; Innovation (UKRI); Natural Environment Research Council (NERC); NERC British Antarctic Survey; University of Lethbridge; UK Centre for Ecology &amp; Hydrology (UKCEH)</t>
  </si>
  <si>
    <t>Reichert, S (corresponding author), Univ Sheffield, Dept Anim &amp; Plant Sci, Sheffield, S Yorkshire, England.;Reichert, S (corresponding author), Univ Glasgow, Inst Biodivers Anim Hlth &amp; Comparat Med, Glasgow, Lanark, Scotland.;Froy, H (corresponding author), Univ Edinburgh, Inst Evolutionary Biol, Edinburgh, Midlothian, Scotland.;Froy, H (corresponding author), British Antarctic Survey, Cambridge, England.</t>
  </si>
  <si>
    <t>reichert.sophie@gmail.com; hannah.froy@ed.ac.uk</t>
  </si>
  <si>
    <t>Lewis, Sue/D-3380-2012; Monaghan, Pat/E-6810-2015; Daunt, Francis/K-6688-2012; Nussey, Daniel H/F-4155-2010</t>
  </si>
  <si>
    <t>Lewis, Sue/0000-0003-3511-2259; Monaghan, Pat/0000-0003-2430-0326; Reichert, Sophie/0000-0001-7151-2773; Froy, Hannah/0000-0003-2965-3526</t>
  </si>
  <si>
    <t>British Antarctic Survey Collaborative Gearing Scheme; Natural Environment Research Council; Biotechnology and Biological Sciences Research Council; George Macdougal Mackintosh; European Research Council [268926]; Marie Curie Fellowship [659937]; Marie Curie Actions (MSCA) [659937] Funding Source: Marie Curie Actions (MSCA); Biotechnology and Biological Sciences Research Council [BB/L020769/1, BB/I02528X/1, BB/H021868/1] Funding Source: researchfish; Natural Environment Research Council [ceh020002, NE/E012906/1, bas0100035] Funding Source: researchfish; BBSRC [BB/I02528X/1, BB/L020769/1, BB/H021868/1] Funding Source: UKRI; NERC [bas0100035, NE/E012906/1, ceh020002] Funding Source: UKRI</t>
  </si>
  <si>
    <t>British Antarctic Survey Collaborative Gearing Scheme; Natural Environment Research Council(UK Research &amp; Innovation (UKRI)Natural Environment Research Council (NERC)); Biotechnology and Biological Sciences Research Council(UK Research &amp; Innovation (UKRI)Biotechnology and Biological Sciences Research Council (BBSRC)); George Macdougal Mackintosh; European Research Council(European Research Council (ERC)); Marie Curie Fellowship(European Union (EU)); Marie Curie Actions (MSCA)(Marie Curie Actions); Biotechnology and Biological Sciences Research Council(UK Research &amp; Innovation (UKRI)Biotechnology and Biological Sciences Research Council (BBSRC)); Natural Environment Research Council(UK Research &amp; Innovation (UKRI)Natural Environment Research Council (NERC)); BBSRC(UK Research &amp; Innovation (UKRI)Biotechnology and Biological Sciences Research Council (BBSRC)); NERC(UK Research &amp; Innovation (UKRI)Natural Environment Research Council (NERC))</t>
  </si>
  <si>
    <t>We are grateful to all those involved in the long-term monitoring of albatrosses at Bird Island, South Georgia, and to the British Antarctic Survey Collaborative Gearing Scheme, the Natural Environment Research Council, the Biotechnology and Biological Sciences Research Council, and the George Macdougal Mackintosh scholarship for funding. We are very grateful to all those involved in the zebra finch project; we thank the animal husbandry and veterinary staff of the Graham Kerr building for their invaluable help. This work was funded by a European Research Council Advanced Investigator Award (268926) to PM. SR was supported by a Marie Curie Fellowship (659937).</t>
  </si>
  <si>
    <t>SPRINGER</t>
  </si>
  <si>
    <t>233 SPRING ST, NEW YORK, NY 10013 USA</t>
  </si>
  <si>
    <t>0029-8549</t>
  </si>
  <si>
    <t>1432-1939</t>
  </si>
  <si>
    <t>Oecologia</t>
  </si>
  <si>
    <t>10.1007/s00442-017-3887-3</t>
  </si>
  <si>
    <t>Ecology</t>
  </si>
  <si>
    <t>Environmental Sciences &amp; Ecology</t>
  </si>
  <si>
    <t>EX8FB</t>
  </si>
  <si>
    <t>hybrid, Green Published, Green Accepted</t>
  </si>
  <si>
    <t>WOS:000403483100005</t>
  </si>
  <si>
    <t>Batta-Lona, PG; Maas, AE; O'Neill, RJ; Wiebe, PH; Bucklin, A</t>
  </si>
  <si>
    <t>Batta-Lona, P. G.; Maas, A. E.; O'Neill, R. J.; Wiebe, P. H.; Bucklin, A.</t>
  </si>
  <si>
    <t>Transcriptomic profiles of spring and summer populations of the Southern Ocean salp, Salpa thompsoni, in the Western Antarctic Peninsula region</t>
  </si>
  <si>
    <t>POLAR BIOLOGY</t>
  </si>
  <si>
    <t>Salpa thompsoni; Environmental transcriptomics; RNA-seq; Gene expression; Southern Ocean</t>
  </si>
  <si>
    <t>EASTERN ATLANTIC SECTOR; SALP/KRILL INTERACTIONS; MARINE INVERTEBRATE; OIKOPLEURA-DIOICA; GRAZING IMPACT; AUSTRAL SUMMER; GUT CONTENTS; GENOME; TUNICATE; EVOLUTIONARY</t>
  </si>
  <si>
    <t>The Southern Ocean salp, Salpa thompsoni (Tunicata, Thaliacea), is a pivotal species in the pelagic ecosystem of the Western Antarctic Peninsula (WAP), one of the fastest warming regions of the world oceans. This study produced a complete reference transcriptome for S. thompsoni containing 216,931 sequences; 41,210 (18%) were associated with predicted, hypothetical, or known proteins; 13,058 (6%) were mapped and annotated. Whole-transcriptome (RNA-seq) analysis of 39 samples collected during austral spring and summer 2011 in the WAP and in summer 2009 in the Indian Sector revealed clustering of samples by regions, seasons, and areas (Bray-Curtis similarity). The highest numbers of differentially expressed genes at the 4x, 20x, and 100x fold-change levels were found between salps collected during spring versus summer 2011 in the WAP (analysis of variance, ANOVA). Spring versus summer samples showed significant differential expression of 77 genes associated with environmental stress response and 51 genes associated with sexual reproduction (paired t tests, p &lt; 0.05), with significant association between expression of these genes and temperature at the collection site shown by multidimensional scaling analysis. Gene Ontology (GO) term enrichment analysis identified 41 GO terms responsible for spring versus summer differences, including 156 genes associated with translation (i.e., protein synthesis). The reference transcriptome and characterization of time/space patterns of whole-transcriptome and target gene differential expression provide a foundation for functional analysis and identification of molecular markers of physiological condition, life history events, and responses to climate change in this key species in Antarctic pelagic ecosystems.</t>
  </si>
  <si>
    <t>[Batta-Lona, P. G.; Bucklin, A.] Univ Connecticut, Dept Marine Sci, Groton, CT 06340 USA; [Maas, A. E.; Wiebe, P. H.] Woods Hole Oceanog Inst, Dept Biol, Woods Hole, MA 02543 USA; [O'Neill, R. J.] Univ Connecticut, Inst Syst Genom, Dept Mol &amp; Cell Biol, Storrs, CT 06269 USA; [Batta-Lona, P. G.] CICESE, Dept Marine Biotechnol, Ensenada, Baja California, Mexico; [Maas, A. E.] Bermuda Inst Ocean Sci, St Georges GE01, Bermuda</t>
  </si>
  <si>
    <t>University of Connecticut; Woods Hole Oceanographic Institution; University of Connecticut; CICESE - Centro de Investigacion Cientifica y de Educacion Superior de Ensenada; Bermuda Institute of Ocean Sciences</t>
  </si>
  <si>
    <t>Bucklin, A (corresponding author), Univ Connecticut, Dept Marine Sci, Groton, CT 06340 USA.</t>
  </si>
  <si>
    <t>Ann.Bucklin@uconn.edu</t>
  </si>
  <si>
    <t>Maas, Amy/AAC-1181-2022; Batta-Lona, Paola G/B-7848-2016</t>
  </si>
  <si>
    <t>Maas, Amy/0000-0002-3730-2876; Wiebe, Peter/0000-0002-6059-4651; Batta-Lona, Paola G/0000-0002-6477-6110; O'Neill, Rachel/0000-0002-1525-6821; Bucklin, Ann/0000-0003-3750-9348</t>
  </si>
  <si>
    <t>NSF Antarctic Research [PLR-1044982]; University of Connecticut Department of Marine Sciences</t>
  </si>
  <si>
    <t>NSF Antarctic Research; University of Connecticut Department of Marine Sciences</t>
  </si>
  <si>
    <t>The authors thank the Captain and crew of the Polarstern (cruise ANT-XXVII-2), the LM Gould (cruise LMG11-10), and the Umitaka Maru (cruise UM08-09), and the participating scientists for their valuable assistance and support. Access to UM08-09 environmental data was provided by Fuminori Hashihama (Tokyo University of Marine Science and Technology). We are grateful to Claudia Koerting (University of Connecticut) for her expertise and access to multiuser laboratory instrumentation. Thanks are due to Craig Obergfell and Nathaniel Jue (University of Connecticut) for providing support with next-generation sequencing technologies and data analysis and to the University of Connecticut Center for Genome Innovation for access to instrumentation, training, and support for this research. Funding was provided by NSF Antarctic Research (Award No. PLR-1044982 to AB and RJO) and the University of Connecticut Department of Marine Sciences.</t>
  </si>
  <si>
    <t>0722-4060</t>
  </si>
  <si>
    <t>1432-2056</t>
  </si>
  <si>
    <t>POLAR BIOL</t>
  </si>
  <si>
    <t>Polar Biol.</t>
  </si>
  <si>
    <t>10.1007/s00300-016-2051-6</t>
  </si>
  <si>
    <t>Biodiversity Conservation; Ecology</t>
  </si>
  <si>
    <t>EX8AG</t>
  </si>
  <si>
    <t>WOS:000403470300007</t>
  </si>
  <si>
    <t>Gordeev, II; Sokolov, SG</t>
  </si>
  <si>
    <t>Gordeev, I. I.; Sokolov, S. G.</t>
  </si>
  <si>
    <t>Helminths and the feeding habits of the marbled moray cod Muraenolepis marmorata Gunther, 1880 (Gadiformes, Muraenolepididae) in the Ross Sea (Southern Ocean)</t>
  </si>
  <si>
    <t>Muraenolepis; Marbled moray cod; Parasites; Antarctica; CCAMLR</t>
  </si>
  <si>
    <t>SHETLAND ISLANDS; GENUS; REPRESENTATIVES; REDESCRIPTION; ANISAKIDAE; TREMATODA; DIGENEA; GIBSON; FISH</t>
  </si>
  <si>
    <t>The marbled moray cod, Muraenolepis marmorata Gunther, 1880, is one of the most common benthic fish in the Antarctic, but our knowledge about its biology and participation in parasitic life cycles as a host is quite scarce. The boundaries of its geographical distribution are unclear, but it definitely inhabits the Ross Sea, the Amundsen Sea, the slopes of seamounts, underwater elevations, and islands in the Indian Ocean sector of the sub-Antarctica, and it is endemic in the Antarctic. This article presents data on helminth infections of marbled moray cod in the Ross Sea and its eating habits. Specimens were examined during commercial longline fishing in the Ross Sea in January 2015. Being a benthophage, M. marmorata feeds on a variety of benthic invertebrates, including gastropods, bivalves, monoplacophores, polyplacophores, ophiuroids, and sea urchins. Twenty species and unidentified forms were found using standard parasitological methods. Most of the recorded species (60%) are trematodes, and four are specific for muraenolepidids. Heterosentis heteracanthus and Gonocerca crassa are recorded for M. marmorata for the first time. Comparison with an earlier studied infection of M. marmorata in the sub-Antarctic revealed the richness of the Ross Sea parasite fauna.</t>
  </si>
  <si>
    <t>[Gordeev, I. I.] Russian Fed Res Inst Fisheries &amp; Oceanog VNIRO, Lab Ecol &amp; Bioresources Arctic &amp; Antarctic, 17 V Krasnoselskaya Str, Moscow 107140, Russia; [Sokolov, S. G.] AN Severtsov Inst Ecol &amp; Evolut RAS, Ctr Parasitol, Lab Fauna &amp; Ecol Parasites, 28 Mytnaya Str, Moscow 119049, Russia</t>
  </si>
  <si>
    <t>Research lnstitute of Fisheries &amp; Oceanography; Russian Academy of Sciences; Saratov Scientific Center of the Russian Academy of Sciences; Severtsov Institute of Ecology &amp; Evolution</t>
  </si>
  <si>
    <t>Gordeev, II (corresponding author), Russian Fed Res Inst Fisheries &amp; Oceanog VNIRO, Lab Ecol &amp; Bioresources Arctic &amp; Antarctic, 17 V Krasnoselskaya Str, Moscow 107140, Russia.</t>
  </si>
  <si>
    <t>gordeev_ilya@bk.ru; sokolovsg@mail.ru</t>
  </si>
  <si>
    <t>Sokolov, Sergey/AAC-3505-2022; Gordeev, Ilya/F-2972-2017</t>
  </si>
  <si>
    <t>Sokolov, Sergey/0000-0002-4822-966X; Gordeev, Ilya/0000-0002-6650-9120</t>
  </si>
  <si>
    <t>RFBR [14-04-31950]</t>
  </si>
  <si>
    <t>RFBR(Russian Foundation for Basic Research (RFBR))</t>
  </si>
  <si>
    <t>The authors wish to thank the crew of f/v Yantar 35 for help. The work was supported by RFBR Grant # 14-04-31950.</t>
  </si>
  <si>
    <t>10.1007/s00300-016-2055-2</t>
  </si>
  <si>
    <t>WOS:000403470300010</t>
  </si>
  <si>
    <t>Cid, FP; Inostroza, NG; Graether, SP; Bravo, LA; Jorquera, MA</t>
  </si>
  <si>
    <t>Cid, Fernanda P.; Inostroza, Nitza G.; Graether, Steffen P.; Bravo, Leon A.; Jorquera, Milko A.</t>
  </si>
  <si>
    <t>Bacterial community structures and ice recrystallization inhibition activity of bacteria isolated from the phyllosphere of the Antarctic vascular plant Deschampsia antarctica (vol 40, pg 1319, 2016)</t>
  </si>
  <si>
    <t>Correction</t>
  </si>
  <si>
    <t>[Cid, Fernanda P.] Univ La Frontera, Programa Doctorado Ciencias Recursos Nat, Temuco, Chile; [Bravo, Leon A.] Univ La Frontera, Fac Ciencias Agr &amp; Forestales, Dept Ciencias Agron &amp; Recursos Nat, Temuco, Chile; [Cid, Fernanda P.; Inostroza, Nitza G.; Bravo, Leon A.; Jorquera, Milko A.] Univ La Frontera, Ctr Plant Soil Interact &amp; Nat Resources Biotechno, Sci &amp; Technol Bioresource Nucleus, Casilla 54D, Temuco, Chile; [Graether, Steffen P.] Univ Guelph, Dept Mol &amp; Cellular Biol, Guelph, ON, Canada</t>
  </si>
  <si>
    <t>Universidad de La Frontera; Universidad de La Frontera; Universidad de La Frontera; University of Guelph</t>
  </si>
  <si>
    <t>Jorquera, MA (corresponding author), Univ La Frontera, Ctr Plant Soil Interact &amp; Nat Resources Biotechno, Sci &amp; Technol Bioresource Nucleus, Casilla 54D, Temuco, Chile.</t>
  </si>
  <si>
    <t>milko.jorquera@ufrontera.cl</t>
  </si>
  <si>
    <t>Bravo, León/AAO-8437-2020; JORQUERA, MILKO/O-3038-2019; Jorquera, Milko Alberto/B-7378-2011</t>
  </si>
  <si>
    <t>Bravo, León/0000-0003-4705-4842; JORQUERA, MILKO/0000-0003-4760-6379;</t>
  </si>
  <si>
    <t>10.1007/s00300-016-2038-3</t>
  </si>
  <si>
    <t>WOS:000403470300012</t>
  </si>
  <si>
    <t>See-Too, WS; Salazar, S; Ee, R; Convey, P; Chan, KG; Peix, A</t>
  </si>
  <si>
    <t>See-Too, Wah Seng; Salazar, Sergio; Ee, Robson; Convey, Peter; Chan, Kok-Gan; Peix, Alvaro</t>
  </si>
  <si>
    <t>Pseudomonas versuta sp nov., isolated from Antarctic soil</t>
  </si>
  <si>
    <t>SYSTEMATIC AND APPLIED MICROBIOLOGY</t>
  </si>
  <si>
    <t>Pseudomonas; Taxonomy; Antarctica; Antarctic soil; Quorum quenching; Quorum sensing</t>
  </si>
  <si>
    <t>HOMOSERINE LACTONE ACYLASE; PSYCHROTOLERANT BACTERIUM; GENOME; ALIGNMENT; GROWTH</t>
  </si>
  <si>
    <t>In this study we analysed three bacterial strains coded L10.10(T), A4R1.5 and A4R1.12, isolated in the course of a study of quorum-quenching bacteria occurring in Antarctic soil. The 16S rRNA gene sequence was identical in the three strains and showed 99.7% pairwise similarity with respect to the closest related species Pseudomonas weihenstephanensis WS4993(T). Therefore, the three strains were classified within the genus Pseudomonas. Analysis of housekeeping genes (rpoB, rpoD and gyrB) sequences showed similarities of 84-95% with respect to the closest related species of Pseudomonas, confirming its phylogenetic affiliation. The ANI values were less than 86% to the closest related species type strains. The respiratory quinone is Q9. The major fatty acids are C16:0, C16:1 omega 7c/ C16:1 (omega 6c in summed feature 3 and C18:1 omega 7c / C18:1 omega c in summed feature 8. The strains are oxidase-and catalase-positive. Growth occurs at 4-30 degrees C, and at pH 4.0-10. The DNA G+C content is 58.2-58.3 mol %. The combined genotypic, phenotypic and chemotaxonomic data support the classification of strains L10.10(T), A4R1.5 and A4R1.12 into a novel species of Pseudomonas, for which the name P. versuta sp. nov. is proposed. The type strain is L10.10(T) (LMG 29628(T), DSM 101070(T)). (C) 2017 Elsevier GmbH. All rights reserved.</t>
  </si>
  <si>
    <t>[See-Too, Wah Seng; Ee, Robson; Chan, Kok-Gan] Univ Malaya, Fac Sci, Div Genet &amp; Mol Biol, Inst Biol Sci, Kuala Lumpur 50603, Malaysia; [See-Too, Wah Seng; Convey, Peter] Univ Malaya, NARC, Inst Postgrad Studies, Kuala Lumpur 50603, Malaysia; [Salazar, Sergio; Peix, Alvaro] IRNASA CSIC, Inst Recursos Nat &amp; Agrobiol, C Cordel de Merinas 40-52, Salamanca 37008, Spain; [Convey, Peter] British Antarctic Survey, NERC, High Cross,Madingley Rd, Cambridge CB3 0ET, England; [Chan, Kok-Gan] Univ Malaya, UM Omics Ctr, Kuala Lumpur, Malaysia; [Peix, Alvaro] Univ Salamanca, Unidad Asociada Grp Interacc Planta Microorganism, CSIC, IRNASA, Salamanca, Spain</t>
  </si>
  <si>
    <t>Universiti Malaya; Universiti Malaya; Consejo Superior de Investigaciones Cientificas (CSIC); CSIC - Instituto de Recursos Naturales y Agrobiologia de Salamanca (IRNASA); CSIC - Instituto de Recursos Naturales y Agrobiologia de Sevilla (IRNAS); UK Research &amp; Innovation (UKRI); Natural Environment Research Council (NERC); NERC British Antarctic Survey; Universiti Malaya; Consejo Superior de Investigaciones Cientificas (CSIC); CSIC - Instituto de Recursos Naturales y Agrobiologia de Salamanca (IRNASA); University of Salamanca</t>
  </si>
  <si>
    <t>Peix, A (corresponding author), IRNASA CSIC, Inst Recursos Nat &amp; Agrobiol, C Cordel de Merinas 40-52, Salamanca 37008, Spain.</t>
  </si>
  <si>
    <t>alvaro.peix@csic.es</t>
  </si>
  <si>
    <t>See-Too, Wah-Seng/O-9330-2019; Convey, Peter/AAV-5728-2020; Chan, Kok-Gan/B-8347-2010; Peix, Alvaro/A-7196-2010</t>
  </si>
  <si>
    <t>See-Too, Wah-Seng/0000-0003-0843-1895; Convey, Peter/0000-0001-8497-9903; Chan, Kok-Gan/0000-0002-1883-1115; Peix, Alvaro/0000-0001-5084-1586</t>
  </si>
  <si>
    <t>University of Malaya (UM) High Impact Research Grants (UM-MOHE HIR Grant) [UM.C/625/1/HIR/MOHE/CHAN/14/1, H-50001-A000027, UM.C/625/1/HIR/MOHE/CHAN/01, A-000001-50001]; Bright Sparks Program of University of Malaya; British Antarctic Survey; NERC; NERC [bas0100036] Funding Source: UKRI; Natural Environment Research Council [bas0100036] Funding Source: researchfish</t>
  </si>
  <si>
    <t>University of Malaya (UM) High Impact Research Grants (UM-MOHE HIR Grant); Bright Sparks Program of University of Malaya; British Antarctic Survey; NERC(UK Research &amp; Innovation (UKRI)Natural Environment Research Council (NERC)); NERC(UK Research &amp; Innovation (UKRI)Natural Environment Research Council (NERC)); Natural Environment Research Council(UK Research &amp; Innovation (UKRI)Natural Environment Research Council (NERC))</t>
  </si>
  <si>
    <t>We are grateful to Mareike Wenning for kindly providing the type strains of P. weihenstephanensis and P. helleri, and also to Oleg Loginov, Martha H. Ramirez-Bahena and Zuleica Garcia Palacios for help and support. This work was supported by the University of Malaya (UM) High Impact Research Grants (UM-MOHE HIR Grant UM.C/625/1/HIR/MOHE/CHAN/14/1, Grant No. H-50001-A000027; UM-MOHE HIR Grant UM.C/625/1/HIR/MOHE/CHAN/01, Grant No. A-000001-50001) awarded to Kok-Gan Chan. Wah-Seng See-Too thanks to Bright Sparks Program of University of Malaya for the scholarship. Fieldwork in Antarctica was supported by the British Antarctic Survey. Peter Convey is supported by NERC core funding to the BAS 'Biodiversity, Evolution and Adaptation' Team. This paper also contributes to the Scientific Committee on Antarctic Research international programme 'Antarctic Thresholds Ecosystem Resilience and Adaptation' (AnT-ERA).</t>
  </si>
  <si>
    <t>ELSEVIER GMBH</t>
  </si>
  <si>
    <t>MUNICH</t>
  </si>
  <si>
    <t>HACKERBRUCKE 6, 80335 MUNICH, GERMANY</t>
  </si>
  <si>
    <t>0723-2020</t>
  </si>
  <si>
    <t>1618-0984</t>
  </si>
  <si>
    <t>SYST APPL MICROBIOL</t>
  </si>
  <si>
    <t>Syst. Appl. Microbiol.</t>
  </si>
  <si>
    <t>10.1016/j.syapm.2017.03.002</t>
  </si>
  <si>
    <t>Biotechnology &amp; Applied Microbiology; Microbiology</t>
  </si>
  <si>
    <t>EY0FU</t>
  </si>
  <si>
    <t>WOS:000403634400001</t>
  </si>
  <si>
    <t>Borchers, DL; Cox, MJ</t>
  </si>
  <si>
    <t>Borchers, David Louis; Cox, Martin James</t>
  </si>
  <si>
    <t>Distance sampling detection functions: 2D or not 2D?</t>
  </si>
  <si>
    <t>BIOMETRICS</t>
  </si>
  <si>
    <t>g(0)=1; Line transect; Point transect; Removal method; Responsive movement; Survival analysis</t>
  </si>
  <si>
    <t>LINE TRANSECT SURVEYS; ABUNDANCE ESTIMATION; DIVING ANIMALS; MODELS; DENSITY; TIME</t>
  </si>
  <si>
    <t>Conventional distance sampling (CDS) methods assume that animals are uniformly distributed in the vicinity of lines or points. But when animals move in response to observers before detection, or when lines or points are not located randomly, this assumption may fail. By formulating distance sampling models as survival models, we show that using time to first detection in addition to perpendicular distance (line transect surveys) or radial distance (point transect surveys) allows estimation of detection probability, and hence density, when animal distribution in the vicinity of lines or points is not uniform and is unknown. We also show that times to detection can provide information about failure of the CDS assumption that detection probability is 1 at distance zero. We obtain a maximum likelihood estimator of line transect survey detection probability and effective strip half-width using times to detection, and we investigate its properties by simulation in situations where animals are nonuniformly distributed and their distribution is unknown. The estimator is found to perform well when detection probability at distance zero is 1. It allows unbiased estimates of density to be obtained in this case from surveys in which there has been responsive movement prior to animals coming within detectable range. When responsive movement continues within detectable range, estimates may be biased but are likely less biased than estimates from methods that assuming no responsive movement. We illustrate by estimating primate density from a line transect survey in which animals are known to avoid the transect line, and a shipboard survey of dolphins that are attracted to it.</t>
  </si>
  <si>
    <t>[Borchers, David Louis] Univ St Andrews, Ctr Res Ecol &amp; Environm Modelling, Observ Buchanan Gardens, St Andrews KY16 9LZ, Fife, Scotland; [Cox, Martin James] Australian Antarctic Div, Channel Highway, Kingston, Tas 7050, Australia</t>
  </si>
  <si>
    <t>University of St Andrews; Australian Antarctic Division</t>
  </si>
  <si>
    <t>Borchers, DL (corresponding author), Univ St Andrews, Ctr Res Ecol &amp; Environm Modelling, Observ Buchanan Gardens, St Andrews KY16 9LZ, Fife, Scotland.</t>
  </si>
  <si>
    <t>dlb@st-andrews.ac.uk</t>
  </si>
  <si>
    <t>, David/X-5730-2019</t>
  </si>
  <si>
    <t>Borchers, David/0000-0002-3944-0754</t>
  </si>
  <si>
    <t>Australian Research Council [FS110200057]; Australian Research Council [FS110200057] Funding Source: Australian Research Council</t>
  </si>
  <si>
    <t>Australian Research Council(Australian Research Council); Australian Research Council(Australian Research Council)</t>
  </si>
  <si>
    <t>We are grateful to Matthew Nowak from the Sumatran Orangutan Conservation Programme (SOCP) for allowing us to use the primate survey data from the Jantho Reintroduction Station. The initial survey was developed by Matthew Nowak and Serge Wich (Liverpool John Moores University) and then undertaken by the SOCP with funding from Chester Zoo. We are also grateful to the North Atlantic Marine Mammal Commission (NAMMCO) and the Faroese Museum of Natural History for allowing us to use the dolphin survey data from NASS95. MJC was funded by Australian Research Council grant FS110200057.</t>
  </si>
  <si>
    <t>0006-341X</t>
  </si>
  <si>
    <t>1541-0420</t>
  </si>
  <si>
    <t>Biometrics</t>
  </si>
  <si>
    <t>10.1111/biom.12581</t>
  </si>
  <si>
    <t>Biology; Mathematical &amp; Computational Biology; Statistics &amp; Probability</t>
  </si>
  <si>
    <t>Life Sciences &amp; Biomedicine - Other Topics; Mathematical &amp; Computational Biology; Mathematics</t>
  </si>
  <si>
    <t>EX8DG</t>
  </si>
  <si>
    <t>Green Accepted</t>
  </si>
  <si>
    <t>WOS:000403478400022</t>
  </si>
  <si>
    <t>Youngs, MK; Thompson, AF; Lazar, A; Richards, KJ</t>
  </si>
  <si>
    <t>Youngs, Madeleine K.; Thompson, Andrew F.; Lazar, Ayah; Richards, Kelvin J.</t>
  </si>
  <si>
    <t>ACC Meanders, Energy Transfer, and Mixed Barotropic-Baroclinic Instability</t>
  </si>
  <si>
    <t>JOURNAL OF PHYSICAL OCEANOGRAPHY</t>
  </si>
  <si>
    <t>SOUTHERN-OCEAN; FORM STRESS; FLOW; CIRCULATION; SUPPRESSION; TRANSPORT; JETS; HEAT; FLUX</t>
  </si>
  <si>
    <t>Along-stream variations in the dynamics of the Antarctic Circumpolar Current (ACC) impact heat and tracer transport, regulate interbasin exchange, and influence closure of the overturning circulation. Topography is primarily responsible for generating deviations from zonal-mean properties, mainly through standing meanders associated with regions of high eddy kinetic energy. Here, an idealized channel model is used to explore the spatial distribution of energy exchange and its relationship to eddy geometry, as characterized by both eddy momentum and eddy buoyancy fluxes. Variations in energy exchange properties occur not only between standing meander and quasi-zonal jet regions, but throughout the meander itself. Both barotropic and baroclinic stability properties, as well as the magnitude of energy exchange terms, undergo abrupt changes along the path of the ACC. These transitions are captured by diagnosing eddy fluxes of energy and by adopting the eddy geometry framework. The latter, typically applied to barotropic stability properties, is applied here in the depth-along-stream plane to include information about both barotropic and baroclinic stability properties of the flow. These simulations reveal that eddy momentum fluxes, and thus barotropic instability, play a leading role in the energy budget within a standing meander. This result suggests that baroclinic instability alone cannot capture the dynamics of ACC standing meanders, a challenge for models where eddy fluxes are parameterized.</t>
  </si>
  <si>
    <t>[Youngs, Madeleine K.] Massachusetts Inst Technol Woods Hole Oceanog Ins, Cambridge, MA 02139 USA; [Thompson, Andrew F.; Lazar, Ayah] CALTECH, Environm Sci &amp; Engn, Pasadena, CA 91125 USA; [Richards, Kelvin J.] Univ Hawaii Manoa, Int Pacific Res Ctr, Honolulu, HI 96822 USA</t>
  </si>
  <si>
    <t>California Institute of Technology; University of Hawaii System; University of Hawaii Manoa</t>
  </si>
  <si>
    <t>Youngs, MK (corresponding author), Massachusetts Inst Technol Woods Hole Oceanog Ins, Cambridge, MA 02139 USA.</t>
  </si>
  <si>
    <t>myoungs@mit.edu</t>
  </si>
  <si>
    <t>NSF [OCE-1235488]; AMS</t>
  </si>
  <si>
    <t>NSF(National Science Foundation (NSF)); AMS</t>
  </si>
  <si>
    <t>We are grateful for useful discussions with Andreas Klocker, David Marshall, Andrew Stewart, and Joe Pedlosky. The authors all acknowledge support from NSF OCE-1235488. MKY also acknowledges support from the AMS Graduate Student Fellowship.</t>
  </si>
  <si>
    <t>AMER METEOROLOGICAL SOC</t>
  </si>
  <si>
    <t>BOSTON</t>
  </si>
  <si>
    <t>45 BEACON ST, BOSTON, MA 02108-3693 USA</t>
  </si>
  <si>
    <t>0022-3670</t>
  </si>
  <si>
    <t>1520-0485</t>
  </si>
  <si>
    <t>J PHYS OCEANOGR</t>
  </si>
  <si>
    <t>J. Phys. Oceanogr.</t>
  </si>
  <si>
    <t>10.1175/JPO-D-16-0160.1</t>
  </si>
  <si>
    <t>EX4MM</t>
  </si>
  <si>
    <t>hybrid, Green Submitted</t>
  </si>
  <si>
    <t>WOS:000403208900005</t>
  </si>
  <si>
    <t>Abele, D; Vazquez, S; Buma, AGJ; Hernandez, E; Quiroga, C; Held, C; Frickenhaus, S; Harms, L; Lopez, JL; Helmke, E; Mac Cormack, WP</t>
  </si>
  <si>
    <t>Abele, D.; Vazquez, S.; Buma, A. G. J.; Hernandez, E.; Quiroga, C.; Held, C.; Frickenhaus, S.; Harms, L.; Lopez, J. L.; Helmke, E.; Mac Cormack, W. P.</t>
  </si>
  <si>
    <t>Pelagic and benthic communities of the Antarctic ecosystem of Potter Cove: Genomics and ecological implications</t>
  </si>
  <si>
    <t>MARINE GENOMICS</t>
  </si>
  <si>
    <t>KING GEORGE ISLAND; BIVALVE LATERNULA-ELLIPTICA; SOUTHERN-OCEAN; EUKARYOTIC PICOPLANKTON; MICROBIAL EUKARYOTES; ARCHAEAL DIVERSITY; COASTAL WATERS; MARIAN COVE; ROSS SEA; SP NOV.</t>
  </si>
  <si>
    <t>Molecular technologies are more frequently applied in Antarctic ecosystem research and the growing amount of sequence-based information available in databases adds a new dimension to understanding the response of Antarctic organisms and communities to environmental change. We apply molecular techniques, including fingerprinting, and amplicon and metagenome sequencing, to understand biodiversity and phylogeography to resolve adaptive processes in an Antarctic coastal ecosystem from microbial to macrobenthic organisms and communities. Interpretation of the molecular data is not only achieved by their combination with classical methods (pigment analyses or microscopy), but furthermore by combining molecular with environmental data (e.g., sediment characteristics, biogeochemistry or oceanography) in space and over time. The studies form part of a long-term ecosystem investigation in Potter Cove on King-George Island, Antarctica, in which we follow the effects of rapid retreat of the local glacier on the cove ecosystem. We formulate and encourage new approaches to integrate molecular tools into Antarctic ecosystem research, environmental conservation actions, and polar ocean observatories. (C) 2017 Elsevier B.V. All rights reserved.</t>
  </si>
  <si>
    <t>[Abele, D.; Held, C.; Frickenhaus, S.; Harms, L.; Helmke, E.] Helmholtz Ctr Polar &amp; Marine Res, Alfred Wegener Inst, Dept Biosci, Handelshafen 12, D-27470 Bremerhaven, Germany; [Vazquez, S.] Univ Buenos Aires, CONICET, Inst Nanobiotecnol NANOBIOTEC, Junin 954, RA-1113 Buenos Aires, DF, Argentina; [Buma, A. G. J.] Univ Groningen, Dept Ocean Ecosyst Energy &amp; Sustainabil Res Groni, Nijenborgh 7, NL-9747 AG Groningen, Netherlands; [Hernandez, E.; Mac Cormack, W. P.] Inst Antartico Argentine, 25 Mayo 1143, RA-1650 Buenos Aires, DF, Argentina; [Quiroga, C.] Univ Buenos Aires, CONICET, Inst Med Parasitol &amp; Med IMPaM, Paraguay 2155 P12, RA-1121 Buenos Aires, DF, Argentina; [Lopez, J. L.] Univ Buenos Aires, Catedra Virol, Junin 954, RA-1113 Buenos Aires, DF, Argentina</t>
  </si>
  <si>
    <t>Helmholtz Association; Alfred Wegener Institute, Helmholtz Centre for Polar &amp; Marine Research; Consejo Nacional de Investigaciones Cientificas y Tecnicas (CONICET); University of Buenos Aires; University of Groningen; Instituto Antartico Argentino; University of Buenos Aires; Consejo Nacional de Investigaciones Cientificas y Tecnicas (CONICET); University of Buenos Aires</t>
  </si>
  <si>
    <t>Abele, D (corresponding author), Helmholtz Ctr Polar &amp; Marine Res, Alfred Wegener Inst, Dept Biosci, Handelshafen 12, D-27470 Bremerhaven, Germany.</t>
  </si>
  <si>
    <t>doris.abele@awi.de</t>
  </si>
  <si>
    <t>Buma, Anita GJ/E-8372-2015; Vazquez, Susana/AEP-5214-2022; Quiroga, Cecilia/AAK-2933-2020</t>
  </si>
  <si>
    <t>Vazquez, Susana/0000-0002-0760-6254; Mac Cormack, Walter/0000-0002-5280-5463; Abele, Doris/0000-0002-5766-5017; Frickenhaus, Stephan/0000-0002-0356-9791</t>
  </si>
  <si>
    <t>European Commission under the 7th Framework Programme through the Action - IMCONet (FP7 IRSES) [318718]</t>
  </si>
  <si>
    <t>European Commission under the 7th Framework Programme through the Action - IMCONet (FP7 IRSES)(European Union (EU))</t>
  </si>
  <si>
    <t>The authors thank Dr. Kerstin Jerosch, AWL for her contribution of a GIS referenced sampling map for Potter Cove. The authors of this review received support from the European Commission under the 7th Framework Programme through the Action - IMCONet (FP7 IRSES, action no. 318718).</t>
  </si>
  <si>
    <t>ELSEVIER SCIENCE BV</t>
  </si>
  <si>
    <t>PO BOX 211, 1000 AE AMSTERDAM, NETHERLANDS</t>
  </si>
  <si>
    <t>1874-7787</t>
  </si>
  <si>
    <t>1876-7478</t>
  </si>
  <si>
    <t>MAR GENOM</t>
  </si>
  <si>
    <t>Mar. Genom.</t>
  </si>
  <si>
    <t>10.1016/j.margen.2017.05.001</t>
  </si>
  <si>
    <t>Genetics &amp; Heredity; Marine &amp; Freshwater Biology</t>
  </si>
  <si>
    <t>EY1PH</t>
  </si>
  <si>
    <t>WOS:000403737300001</t>
  </si>
  <si>
    <t>Cooke, B; Springer, K; Capucci, L; Mutze, G</t>
  </si>
  <si>
    <t>Cooke, Brian; Springer, Keith; Capucci, Lorenzo; Mutze, Greg</t>
  </si>
  <si>
    <t>Rabbit haemorrhagic disease: Macquarie Island rabbit eradication adds to knowledge on both pest control and epidemiology</t>
  </si>
  <si>
    <t>WILDLIFE RESEARCH</t>
  </si>
  <si>
    <t>biological control; non-target poisoning; Oryctolagus; RCV-A1; RHDV</t>
  </si>
  <si>
    <t>AUSTRALIAN WILD RABBITS; ORYCTOLAGUS-CUNICULUS L.; VIRUS RHDV; SEROLOGICAL EVIDENCE; POPULATION; FIELD; CALICIVIRUS; LAGOVIRUS; SURVIVAL; REDUCE</t>
  </si>
  <si>
    <t>Rabbit haemorrhagic disease virus (RHDV), introduced into in Australia and New Zealand as a biological-control agent for wild rabbits, is least efficacious in cool humid areas where a non-pathogenic calicivirus (RCV-A1) also circulates. Heavy rabbit mortality following release of RHDV on cold sub-Antarctic Macquarie Island, where RCV-A1 was apparently absent, not only complemented the planned rabbit eradication operations, especially by reducing secondary poisoning of sea-birds from aerial baiting, but also ruled out cool or humid climate as a major limiting factor of disease spread. In turn, this has advanced the idea that RCV-A1 antibodies inhibit RHDV spread as well as reducing disease severity and mortality.</t>
  </si>
  <si>
    <t>[Cooke, Brian] Univ Canberra, Inst Appl Ecol, Canberra, ACT 2601, Australia; [Springer, Keith] Tasmania Pk &amp; Wildlife Serv, Moonah, Tas 7009, Australia; [Springer, Keith] RSPB, Potton Rd, Sandy SG19 2DL, Beds, England; [Capucci, Lorenzo] Ist Zooprofilatt Sperimentale Lombardia &amp; Emilia, Via Bianchi 9, I-25124 Brescia, Italy; [Mutze, Greg] Biosecurity SA, Dept Primary Ind &amp; Reg, Adelaide, SA 5001, Australia</t>
  </si>
  <si>
    <t>University of Canberra; Royal Society for Protection of Birds; IZS Lombardia e Emilia</t>
  </si>
  <si>
    <t>Cooke, B (corresponding author), Univ Canberra, Inst Appl Ecol, Canberra, ACT 2601, Australia.</t>
  </si>
  <si>
    <t>Brian.Cooke@canberra.edu.au</t>
  </si>
  <si>
    <t>Cooke, Brian/0000-0001-7430-1824; Capucci, Lorenzo/0000-0002-1830-3929</t>
  </si>
  <si>
    <t>CSIRO PUBLISHING</t>
  </si>
  <si>
    <t>CLAYTON</t>
  </si>
  <si>
    <t>UNIPARK, BLDG 1, LEVEL 1, 195 WELLINGTON RD, LOCKED BAG 10, CLAYTON, VIC 3168, AUSTRALIA</t>
  </si>
  <si>
    <t>1035-3712</t>
  </si>
  <si>
    <t>1448-5494</t>
  </si>
  <si>
    <t>WILDLIFE RES</t>
  </si>
  <si>
    <t>Wildl. Res.</t>
  </si>
  <si>
    <t>10.1071/WR16221</t>
  </si>
  <si>
    <t>Ecology; Zoology</t>
  </si>
  <si>
    <t>Environmental Sciences &amp; Ecology; Zoology</t>
  </si>
  <si>
    <t>EX7XT</t>
  </si>
  <si>
    <t>WOS:000403463600001</t>
  </si>
  <si>
    <t>Pratchett, MS; Cameron, DS; Donelson, J; Evans, L; Frisch, AJ; Hobday, AJ; Hoey, AS; Marshall, NA; Messmer, V; Munday, PL; Pears, R; Pecl, G; Reynolds, A; Scott, M; Tobin, A; Tobin, R; Welch, DJ; Williamson, DH</t>
  </si>
  <si>
    <t>Pratchett, Morgan S.; Cameron, Darren S.; Donelson, Jennifer; Evans, Louisa; Frisch, Ashley J.; Hobday, Alistair J.; Hoey, Andrew S.; Marshall, Nadine A.; Messmer, Vanessa; Munday, Philip L.; Pears, Rachel; Pecl, Gretta; Reynolds, Adam; Scott, Molly; Tobin, Andrew; Tobin, Renae; Welch, David J.; Williamson, David H.</t>
  </si>
  <si>
    <t>Effects of climate change on coral grouper (Plectropomus spp.) and possible adaptation options</t>
  </si>
  <si>
    <t>REVIEWS IN FISH BIOLOGY AND FISHERIES</t>
  </si>
  <si>
    <t>Global warming; Population dynamics; Community structure; Habitat loss; Range shifts; Climate change adaptation</t>
  </si>
  <si>
    <t>GREAT-BARRIER-REEF; SOCIAL-ECOLOGICAL SYSTEMS; ELEVATED CARBON-DIOXIDE; REGION-WIDE DECLINES; LARGE PREDATORY FISH; EARLY-LIFE HISTORY; OCEAN ACIDIFICATION; CONTRASTING PATTERNS; RESOURCE DEPENDENCY; SETTLEMENT BEHAVIOR</t>
  </si>
  <si>
    <t>Global climate change is increasingly considered one of the major threats to tropical coastal fisheries, potentially undermining important revenue and food security provided by coral reef ecosystems. While there has been significant and increasing work on understanding specific effects of climate change on coral reef fishes, few studies have considered large-bodied fisheries target species, limiting understanding of the effects of climate change on tropical fisheries. This review focuses on coral grouper (Plectropomus spp., and mainly Plectropomus leopardus), which are heavily fished throughout the Indian and Pacific oceans, and represent an exemplar group to assess potential effects of climate change on coral reef fisheries. In experimental studies, P. leopardus appear to be extremely sensitive to increasing ocean temperature, exhibiting declines in survivorship, aerobic scope and activity with relatively moderate increases in temperature. As such, ongoing ocean warming may jeopardize the catchability of coral grouper and sustainability of reef-based fisheries, especially at low latitudes. Notably, a significant portion of wild stocks of P. leopardus are already exposed to temperatures (&gt;= 30 degrees C) that have been shown to compromise individual performance and body condition. While there are considerable knowledge gaps in predicting effects of global climate change on coral grouper, such as their capacity to avoid, acclimate or adapt to changes in local environmental conditions, current information suggests that there is cause for concern. As such, we take the formative steps to outline both ecological and socioeconomic adaptations that could reduce vulnerability of coral reef fisheries to climate impacts on stocks of coral grouper, using a linked socio-economic framework.</t>
  </si>
  <si>
    <t>[Pratchett, Morgan S.; Frisch, Ashley J.; Hoey, Andrew S.; Messmer, Vanessa; Munday, Philip L.; Scott, Molly; Williamson, David H.] James Cook Univ, ARC Ctr Excellence Coral Reef Studies, Townsville, Qld, Australia; [Cameron, Darren S.; Frisch, Ashley J.; Pears, Rachel] Great Barrier Reef Marine Pk Author, Townsville, Qld, Australia; [Donelson, Jennifer] Univ Technol Sydney, Sch Life Sci, Sydney, NSW, Australia; [Donelson, Jennifer; Tobin, Andrew; Tobin, Renae] James Cook Univ, Coll Sci &amp; Engn, Townsville, Qld, Australia; [Evans, Louisa] Univ Exeter, Coll Life &amp; Environm Sci, Exeter, Devon, England; [Hobday, Alistair J.] CSIRO Oceans &amp; Atmosphere, Hobart, Tas, Australia; [Marshall, Nadine A.] CSIRO Land &amp; Water Flagship, Townsville, Qld, Australia; [Pecl, Gretta] Univ Tasmania, Inst Marine &amp; Antarctic Studies, Hobart, Tas, Australia; [Pecl, Gretta] Ctr Marine Socioecol, Hobart, Tas, Australia; [Reynolds, Adam] Queensland Dept Agr &amp; Fisheries, Northern Fisheries Ctr, Cairns, Qld, Australia; [Tobin, Andrew; Tobin, Renae; Welch, David J.] James Cook Univ, Ctr Sustainable Trop Fisheries &amp; Aquaculture, Townsville, Qld, Australia; [Welch, David J.] C2O Fisheries, Cairns, Qld, Australia</t>
  </si>
  <si>
    <t>James Cook University; University of Technology Sydney; James Cook University; University of Exeter; Commonwealth Scientific &amp; Industrial Research Organisation (CSIRO); Commonwealth Scientific &amp; Industrial Research Organisation (CSIRO); University of Tasmania; Queensland Department of Agriculture &amp; Fisheries; James Cook University</t>
  </si>
  <si>
    <t>Pratchett, MS (corresponding author), James Cook Univ, ARC Ctr Excellence Coral Reef Studies, Townsville, Qld, Australia.</t>
  </si>
  <si>
    <t>morgan.pratchett@jcu.edu.au</t>
  </si>
  <si>
    <t>Marshall, Nadine/D-9339-2011; Munday, Philip L/F-5443-2011; Hobday, Alistair/A-1460-2012; Messmer, Vanessa/B-5459-2015; Tobin, Renae C/B-4677-2012; Pratchett, Morgan/AAW-5179-2020; Pecl, Gretta/D-7267-2011; Hoey, Andrew S/B-5457-2015; Donelson, Jennifer/M-5531-2018</t>
  </si>
  <si>
    <t>Marshall, Nadine/0000-0003-4463-3558; Munday, Philip L/0000-0001-9725-2498; Pratchett, Morgan/0000-0002-1862-8459; Pecl, Gretta/0000-0003-0192-4339; Hoey, Andrew/0000-0002-4261-5594; Donelson, Jennifer/0000-0002-0039-5300; Williamson, David/0000-0001-8447-039X; Pears, Rachel/0000-0001-8092-0365</t>
  </si>
  <si>
    <t>National Climate Change Adaptation Research Facility (NCCARF); Fisheries Research and Development Corporation (FRDC); Queensland Government Smart Futures Fellowship; ARC Future Fellowship</t>
  </si>
  <si>
    <t>National Climate Change Adaptation Research Facility (NCCARF); Fisheries Research and Development Corporation (FRDC)(Fisheries R&amp;D Corp); Queensland Government Smart Futures Fellowship; ARC Future Fellowship(Australian Research Council)</t>
  </si>
  <si>
    <t>The impetus for this review came from workshops funded by the National Climate Change Adaptation Research Facility (NCCARF), with explicit research on effects of climate change on coral grouper funded by Fisheries Research and Development Corporation (FRDC) and a Queensland Government Smart Futures Fellowship awarded to MP. GP was supported by an ARC Future Fellowship. This manuscript benefitted greatly from insights provided by Howard Choat, Tony Ayling, Michele Heupel, and John Kung, and we are indebted to the all researchers involved in the Effects of Line Fishing project (1993-2006), which significantly advanced understanding of coral grouper biology and fisheries.</t>
  </si>
  <si>
    <t>DORDRECHT</t>
  </si>
  <si>
    <t>VAN GODEWIJCKSTRAAT 30, 3311 GZ DORDRECHT, NETHERLANDS</t>
  </si>
  <si>
    <t>0960-3166</t>
  </si>
  <si>
    <t>1573-5184</t>
  </si>
  <si>
    <t>REV FISH BIOL FISHER</t>
  </si>
  <si>
    <t>Rev. Fish. Biol. Fish.</t>
  </si>
  <si>
    <t>10.1007/s11160-016-9455-9</t>
  </si>
  <si>
    <t>Fisheries; Marine &amp; Freshwater Biology</t>
  </si>
  <si>
    <t>EX8XJ</t>
  </si>
  <si>
    <t>WOS:000403533200002</t>
  </si>
  <si>
    <t>Gaitán-Espitia, JD; Gómez, D; Hobday, AJ; Daley, R; Lamilla, J; Cárdenas, L</t>
  </si>
  <si>
    <t>Gaitan-Espitia, Juan Diego; Gomez, Daniela; Hobday, Alistair J.; Daley, Ross; Lamilla, Julio; Cardenas, Leyla</t>
  </si>
  <si>
    <t>Spatial overlap of shark nursery areas and the salmon farming industry influences the trophic ecology of Squalus acanthias on the southern coast of Chile</t>
  </si>
  <si>
    <t>ECOLOGY AND EVOLUTION</t>
  </si>
  <si>
    <t>artisanal fishery; reproduction; Salmon industry; sexual maturity; Squalus acanthias; trophic ecology</t>
  </si>
  <si>
    <t>LIONS OTARIA-FLAVESCENS; SPINY DOGFISH; ECOSYSTEM SERVICES; DIETARY OVERLAP; EAST-COAST; WEST-COAST; FISH FARMS; AQUACULTURE; SEA; REPRODUCTION</t>
  </si>
  <si>
    <t>Potential interactions between marine predators and humans arise in the southern coast of Chile where predator feeding and reproduction sites overlap with fisheries and aquaculture. Here, we assess the potential effects of intensive salmon aquaculture on food habits, growth, and reproduction of a common predator, the spiny dogfishidentified as Squalus acanthias via genetic barcoding. A total of 102 (89 females and 13 males) individuals were collected during winter and summer of 2013-2014 from the Chiloe Sea where salmon aquaculture activities are concentrated. The low frequency of males in our study suggests spatial segregation of sex, while immature and mature females spatially overlapped in both seasons. Female spiny dogfish showed a functional specialist behavior as indicated by the small number of prey items and the relative high importance of the austral hake and salmon pellets in the diet. Immature sharks fed more on pellets and anchovies than the larger hake-preferring mature females. Our results also indicate that spiny dogfish switch prey (anchovy to hake) to take advantage of seasonal changes in prey availability. Despite differences in the trophic patterns of S. acanthias due to the spatial association with intensive salmon farming, in this region, there appears to be no difference in fecundity or size at maturity compared to other populations. Although no demographic effects were detected, we suggest that a range of additional factors should be considered before concluding that intensive aquaculture does not have any impact on these marine predators.</t>
  </si>
  <si>
    <t>[Gaitan-Espitia, Juan Diego; Hobday, Alistair J.] CSIRO Oceans &amp; Atmosphere, Hobart, Tas, Australia; [Gomez, Daniela; Cardenas, Leyla] Univ Austral Chile, Fac Ciencias, Inst Ciencias Ambientales &amp; Evolut, Valdivia, Chile; [Daley, Ross] Univ Tasmania, Inst Marine &amp; Antarctic Studies, Hobart, Tas, Australia; [Lamilla, Julio] Univ Austral Chile, Fac Ciencias, Inst Ciencias Marinas &amp; Limnol, Valdivia, Chile</t>
  </si>
  <si>
    <t>Commonwealth Scientific &amp; Industrial Research Organisation (CSIRO); Universidad Austral de Chile; University of Tasmania; Universidad Austral de Chile</t>
  </si>
  <si>
    <t>Gaitán-Espitia, JD (corresponding author), CSIRO Oceans &amp; Atmosphere, Hobart, Tas, Australia.</t>
  </si>
  <si>
    <t>juadiegaitan@gmail.com</t>
  </si>
  <si>
    <t>Hobday, Alistair/A-1460-2012; Cardenas, Leyla/AAY-5671-2020; Gaitan-Espitia, Juan Diego/A-9945-2012</t>
  </si>
  <si>
    <t>Cardenas, Leyla/0000-0003-0676-6704; Gaitan-Espitia, Juan Diego/0000-0001-8781-5736</t>
  </si>
  <si>
    <t>CSIRO-OCE post-doctoral fellowship; Millennium Nucleus Center for the Study of Multiple drivers on Marine Socio-Ecological Systems (MUSELS)-MINECON [NC120086]</t>
  </si>
  <si>
    <t>CSIRO-OCE post-doctoral fellowship; Millennium Nucleus Center for the Study of Multiple drivers on Marine Socio-Ecological Systems (MUSELS)-MINECON</t>
  </si>
  <si>
    <t>CSIRO-OCE post-doctoral fellowship; Millennium Nucleus Center for the Study of Multiple drivers on Marine Socio-Ecological Systems (MUSELS)-MINECON, Grant/Award Number: NC120086</t>
  </si>
  <si>
    <t>2045-7758</t>
  </si>
  <si>
    <t>ECOL EVOL</t>
  </si>
  <si>
    <t>Ecol. Evol.</t>
  </si>
  <si>
    <t>10.1002/ece3.2957</t>
  </si>
  <si>
    <t>Ecology; Evolutionary Biology</t>
  </si>
  <si>
    <t>Environmental Sciences &amp; Ecology; Evolutionary Biology</t>
  </si>
  <si>
    <t>EX5IE</t>
  </si>
  <si>
    <t>Green Published, gold, Green Accepted</t>
  </si>
  <si>
    <t>WOS:000403273000014</t>
  </si>
  <si>
    <t>Baylis, AMM; Orben, RA; Costa, DP; Tierney, M; Brickle, P; Staniland, IJ</t>
  </si>
  <si>
    <t>Baylis, Alastair M. M.; Orben, Rachael A.; Costa, Daniel P.; Tierney, Megan; Brickle, Paul; Staniland, Iain J.</t>
  </si>
  <si>
    <t>Habitat use and spatial fidelity of male South American sea lions during the nonbreeding period</t>
  </si>
  <si>
    <t>foraging site fidelity; juveniles; niche width; Otaria byronia; repeatability; resource partitioning; stable isotopes</t>
  </si>
  <si>
    <t>FORAGING SITE FIDELITY; ANTARCTIC FUR SEALS; MARINE PREDATOR; NEW-ZEALAND; DISPERSAL; PATTERNS; SEGREGATION; STRATEGIES; BEHAVIOR; REPEATABILITY</t>
  </si>
  <si>
    <t>Conditions experienced during the nonbreeding period have profound long-term effects on individual fitness and survival. Therefore, knowledge of habitat use during the nonbreeding period can provide insights into processes that regulate populations. At the Falkland Islands, the habitat use of South American sea lions (Otaria flavescens) during the nonbreeding period is of particular interest because the population is yet to recover from a catastrophic decline between the mid-1930s and 1965, and nonbreeding movements are poorly understood. Here, we assessed the habitat use of adult male (n=13) and juvenile male (n=6) South American sea lions at the Falkland Islands using satellite tags and stable isotope analysis of vibrissae. Male South American sea lions behaved like central place foragers. Foraging trips were restricted to the Patagonian Shelf and were typically short in distance and duration (127 +/- 66km and 4.1 +/- 2.0days, respectively). Individual male foraging trips were also typically characterized by a high degree of foraging site fidelity. However, the isotopic niche of adult males was smaller than juvenile males, which suggested that adult males were more consistent in their use of foraging habitats and prey over time. Our findings differ from male South American sea lions in Chile and Argentina, which undertake extended movements during the nonbreeding period. Hence, throughout their breeding range, male South American sea lions have diverse movement patterns during the nonbreeding period that intuitively reflects differences in the predictability or accessibility of preferred prey. Our findings challenge the long-standing notion that South American sea lions undertake a winter migration away from the Falkland Islands. Therefore, impediments to South American sea lion population recovery likely originate locally and conservation measures at a national level are likely to be effective in addressing the decline and the failure of the population to recover.</t>
  </si>
  <si>
    <t>[Baylis, Alastair M. M.] Macquarie Univ, Dept Biol Sci, Sydney, NSW, Australia; [Baylis, Alastair M. M.] Iceland Seal Ctr, Hvammstangi, Iceland; [Baylis, Alastair M. M.; Tierney, Megan; Brickle, Paul] South Atlantic Environm Res Inst, Stanley, Hong Kong, Peoples R China; [Orben, Rachael A.] Oregon State Univ, Hatfield Marine Sci Ctr, Dept Fisheries &amp; Wildlife, Newport, OR 97365 USA; [Costa, Daniel P.] Univ Calif Santa Cruz, Dept Ecol &amp; Evolutionary Biol, Santa Cruz, CA 95064 USA; [Brickle, Paul] Univ Aberdeen, Sch Biol Sci Zool, Aberdeen, Scotland; [Staniland, Iain J.] NERC, British Antarctic Survey, Cambridge, England</t>
  </si>
  <si>
    <t>Macquarie University; Oregon State University; University of California System; University of California Santa Cruz; University of Aberdeen; UK Research &amp; Innovation (UKRI); Natural Environment Research Council (NERC); NERC British Antarctic Survey</t>
  </si>
  <si>
    <t>Baylis, AMM (corresponding author), Macquarie Univ, Dept Biol Sci, Sydney, NSW, Australia.</t>
  </si>
  <si>
    <t>al_baylis@yahoo.com.au</t>
  </si>
  <si>
    <t>Staniland, Iain/I-4725-2012; Baylis, Alastair/H-9471-2019; Orben, Rachael A./H-9460-2019; Carlos, Universidade Federal de São/W-8832-2019; Costa, Daniel Paul/E-2616-2013</t>
  </si>
  <si>
    <t>Staniland, Iain/0000-0003-2736-9134; Baylis, Alastair/0000-0002-5167-0472; Orben, Rachael A./0000-0002-0802-407X; Carlos, Universidade Federal de São/0000-0002-0334-3899; Brickle, Paul/0000-0002-9870-3518; Costa, Daniel Paul/0000-0002-0233-5782</t>
  </si>
  <si>
    <t>Shackleton Scholarship Fund; Project AWARE; Rufford Small Grants; Sea World and Busch Gardens Conservation Fund; Joint Nature Conservation Council; National Geographic Society; Winifred Violet Scott; Falkland Islands Government; Office of Naval Research [N00014-13-1-0134]; Falkland Islands Petroleum Licensees Association; NERC [bas0100035] Funding Source: UKRI; Natural Environment Research Council [bas0100035] Funding Source: researchfish</t>
  </si>
  <si>
    <t>Shackleton Scholarship Fund; Project AWARE; Rufford Small Grants; Sea World and Busch Gardens Conservation Fund; Joint Nature Conservation Council; National Geographic Society(National Geographic Society); Winifred Violet Scott; Falkland Islands Government; Office of Naval Research(Office of Naval Research); Falkland Islands Petroleum Licensees Association; NERC(UK Research &amp; Innovation (UKRI)Natural Environment Research Council (NERC)); Natural Environment Research Council(UK Research &amp; Innovation (UKRI)Natural Environment Research Council (NERC))</t>
  </si>
  <si>
    <t>Shackleton Scholarship Fund; Project AWARE; Rufford Small Grants; Sea World and Busch Gardens Conservation Fund; Joint Nature Conservation Council; National Geographic Society; Winifred Violet Scott; Falkland Islands Government; Office of Naval Research, Grant/Award Number: N00014-13-1-0134; Falkland Islands Petroleum Licensees Association</t>
  </si>
  <si>
    <t>10.1002/ece3.2972</t>
  </si>
  <si>
    <t>WOS:000403273000035</t>
  </si>
  <si>
    <t>Crossett, CC; Metz, ND</t>
  </si>
  <si>
    <t>Crossett, Caitlin C.; Metz, Nicholas D.</t>
  </si>
  <si>
    <t>A Climatological Study of Extreme Cold Surges along the African Highlands</t>
  </si>
  <si>
    <t>JOURNAL OF APPLIED METEOROLOGY AND CLIMATOLOGY</t>
  </si>
  <si>
    <t>ROCKY-MOUNTAINS; SOUTH-AMERICAN; EAST</t>
  </si>
  <si>
    <t>Equatorward-moving cold surges occur along the lee of high terrain during the cold season. Even though the east coast of Africa features high terrain, little research exists on cold surges along the African highlands despite the fact that these surges could have potentially large agricultural and societal effects. This paper examines a 5-yr climatology of the most extreme African-highlands cold surges spanning the 2008-12 period. During these years, 186 cold surges occurred to the lee of the African highlands, with 84 events extending between 30 degrees and 35 degrees S (type 1), 27 extending between 25 degrees and 30 degrees S (type 2), and 75 extending equatorward of 25 degrees S (type 3) based on the 1000-850-hPa thickness pattern. This climatology reveals that extreme Africanhighlands cold surges have a climatological maximum in September. Cold surges of type 1 and type 2 tend to occur throughout the Southern Hemisphere winter and spring, whereas surges of type 3 are generally confined to the winter months. These cold surges can last from 2 to 8 days, with the highest frequency of events spanning a 3-day period. A typical cold-surge event features maximum 925-hPa meridional flow of 30.0-39.9 kt (1 kt = 0.51 m s(-1)) that most frequently advects cold Antarctic air to between 15.0 degrees and 24.9 degrees S and at times as far as the equator.</t>
  </si>
  <si>
    <t>[Crossett, Caitlin C.; Metz, Nicholas D.] Hobart &amp; William Smith Coll, Dept Geosci, Geneva, NY 14456 USA; [Crossett, Caitlin C.] Univ Wisconsin, Dept Math Sci, Milwaukee, WI 53201 USA</t>
  </si>
  <si>
    <t>University of Wisconsin System; University of Wisconsin Milwaukee</t>
  </si>
  <si>
    <t>Metz, ND (corresponding author), Hobart &amp; William Smith Coll, Dept Geosci, Geneva, NY 14456 USA.</t>
  </si>
  <si>
    <t>nmetz@hws.edu</t>
  </si>
  <si>
    <t>Hobart and William Smith Colleges Provost Office; National Science Foundation [AGS-1258548]</t>
  </si>
  <si>
    <t>Hobart and William Smith Colleges Provost Office; National Science Foundation(National Science Foundation (NSF))</t>
  </si>
  <si>
    <t>The authors thank Dr. Heather Archambault, Dr. Eric Hoffman, and Dr. Neil Laird for their helpful suggestions and comments throughout the entirety of this project. Two anonymous reviewers greatly improved the quality of this manuscript. This project was partially completed by the first author as a part of the Hobart and William Smith Colleges undergraduate summer research program. Support for this project was provided by the Hobart and William Smith Colleges Provost Office and National Science Foundation Grant AGS-1258548.</t>
  </si>
  <si>
    <t>1558-8424</t>
  </si>
  <si>
    <t>1558-8432</t>
  </si>
  <si>
    <t>J APPL METEOROL CLIM</t>
  </si>
  <si>
    <t>J. Appl. Meteorol. Climatol.</t>
  </si>
  <si>
    <t>10.1175/JAMC-D-15-0191.1</t>
  </si>
  <si>
    <t>Meteorology &amp; Atmospheric Sciences</t>
  </si>
  <si>
    <t>EX2XA</t>
  </si>
  <si>
    <t>WOS:000403093300012</t>
  </si>
  <si>
    <t>Ishak, NHA; Clementson, LA; Eriksen, RS; van den Enden, RL; Williams, GD; Swadling, KM</t>
  </si>
  <si>
    <t>Ishak, Nurul H. Ahmad; Clementson, Lesley A.; Eriksen, Ruth S.; van den Enden, Rick L.; Williams, Guy D.; Swadling, Kerrie M.</t>
  </si>
  <si>
    <t>Gut contents and isotopic profiles of Salpa fusiformis and Thalia democratica</t>
  </si>
  <si>
    <t>FOOD-WEB; TUNICATA; DELTA-N-15; DELTA-C-13; BIOVOLUME</t>
  </si>
  <si>
    <t>Little is known about the diet of planktonic tunicates such as salps, which can comprise around 80% of zooplankton abundance under bloom conditions. The gut contents of solitary and aggregate phases of the salps Thalia democratica and Salpa fusiformis were analysed with scanning electron microscopy (SEM), high-performance liquid chromatography (HPLC) and stable isotope analyses (SIA) to describe their diets under field conditions. The gut contents contained representatives of diatoms, dinoflagellates, haptophyte flagellates (Order Prymnesiales and Coccolithophorales), prasinophytes (Order Chlorodendrales) and, in a few instances, copepods (Crustacea). SEM confirmed the presence of many species of phytoplankton in the salp guts and was broadly supported by HPLC and SIA. The dominant peaks in the HPLC chromatograms corresponded to fucoxanthin, alloxanthin, chlorophyll b and beta-carotene, indicating the ingestion of diatoms, cryptophytes and green algae. Solitary stages of both S. fusiformis and T. democratica fed on items that were not common in the phytoplankton samples, namely coccolithophores and copepods, respectively.</t>
  </si>
  <si>
    <t>[Ishak, Nurul H. Ahmad; Williams, Guy D.; Swadling, Kerrie M.] Inst Marine &amp; Antarctic Studies, Private Bag 129, Hobart, Tas 7001, Australia; [Ishak, Nurul H. Ahmad] Univ Malaysia Terengganu, Sch Marine &amp; Environm Sci, Mengabang Telipot 21030, Kuala Terenggan, Malaysia; [Clementson, Lesley A.; Eriksen, Ruth S.] CSIRO Oceans &amp; Atmosphere, GPO Box 1538, Hobart, Tas 7001, Australia; [van den Enden, Rick L.] Australian Antarctic Div, 203 Channel Highway, Kingston, Tas 7050, Australia; [Eriksen, Ruth S.; Williams, Guy D.; Swadling, Kerrie M.] Antarctic Climate &amp; Ecosyst Cooperat Res Ctr, Private Bag 80, Hobart, Tas 7001, Australia</t>
  </si>
  <si>
    <t>University of Tasmania; Universiti Malaysia Terengganu; Commonwealth Scientific &amp; Industrial Research Organisation (CSIRO); Australian Antarctic Division; Antarctic Climate &amp; Ecosystems Cooperative Research Centre (ACE CRC)</t>
  </si>
  <si>
    <t>Ishak, NHA (corresponding author), Inst Marine &amp; Antarctic Studies, Private Bag 129, Hobart, Tas 7001, Australia.;Ishak, NHA (corresponding author), Univ Malaysia Terengganu, Sch Marine &amp; Environm Sci, Mengabang Telipot 21030, Kuala Terenggan, Malaysia.</t>
  </si>
  <si>
    <t>huda@umt.edu.my</t>
  </si>
  <si>
    <t>Ishak, Nurul Huda Ahmad/O-4235-2018; Clementson, Lesley A/M-6905-2013; Eriksen, Ruth/J-7760-2014</t>
  </si>
  <si>
    <t>Ishak, Nurul Huda Ahmad/0000-0003-3603-1063; Swadling, Kerrie/0000-0002-7620-841X; Eriksen, Ruth/0000-0002-5184-2465; Clementson, Lesley/0000-0003-4415-993X</t>
  </si>
  <si>
    <t>Winifred Violet Scott Foundation; Fisheries Research and Development Corporation [2009/067, 2014/031]; Malaysia Ministry of Higher Education; Universiti Malaysia Terengganu</t>
  </si>
  <si>
    <t>Winifred Violet Scott Foundation; Fisheries Research and Development Corporation; Malaysia Ministry of Higher Education(Ministry of Education, Malaysia); Universiti Malaysia Terengganu</t>
  </si>
  <si>
    <t>This study was funded by the Winifred Violet Scott Foundation and the Fisheries Research and Development Corporation (Grant Numbers 2009/067 and 2014/031). The lead author held Malaysia Ministry of Higher Education and Universiti Malaysia Terengganu scholarships (Grant SLAB/SLAI).</t>
  </si>
  <si>
    <t>10.1007/s00227-017-3174-1</t>
  </si>
  <si>
    <t>EX2UL</t>
  </si>
  <si>
    <t>WOS:000403083000024</t>
  </si>
  <si>
    <t>Marcus, L; Virtue, P; Nichols, PD; Meekan, MG; Pethybridge, H</t>
  </si>
  <si>
    <t>Marcus, Lara; Virtue, Patti; Nichols, Peter D.; Meekan, Mark G.; Pethybridge, Heidi</t>
  </si>
  <si>
    <t>Effects of sample treatment on the analysis of stable isotopes of carbon and nitrogen in zooplankton, micronekton and a filter-feeding shark</t>
  </si>
  <si>
    <t>LIPID EXTRACTION; FOOD-WEB; TROPHIC RELATIONSHIPS; FISH-TISSUES; RATIOS; DELTA-N-15; FRACTIONATION; ACIDIFICATION; DELTA-C-13; VALUES</t>
  </si>
  <si>
    <t>Stable isotope analysis is often used to investigate the trophic ecology of marine systems. However, a lack of standardization of the treatment of samples prior to analysis, hampers comparisons of results within and among studies. This study examined the effects of lipid extraction (LE), acidification for the removal of inorganic carbonate (RIC) and rinsing with deionized water (DIW) on delta C-13 and delta N-15 values and C:N ratios in sub-dermal tissue of whale sharks (Rhincodon typus), zooplankton (&gt;200-1000 mu m) and a wide range of micronekton (&gt;1000 mu m) taxa collected in 2013 and 2014 at Ningaloo Reef (Western Australia). For whale shark tissue, lipid extraction (LE and LE + DIW) increased values of delta C-13, whereas LE, LE + DIW and DIW treatments increased values of delta N-5 and C:N ratios. These results confirm the need to remove lipids and N-15-depleted nitrogenous waste from elasmobranch tissues. The LE + DIW treatment was the most efficient at achieving this goal. For zooplankton and micronekton, LE and RIC treatments had consistent effects on delta C-13 values, however, effects on delta N-15 values were more unpredictable. Therefore, zooplankton and micronekton samples should be split into two portions, one subjected to LE or LE + RIC treatments to standardize delta C-13 values, and a second untreated portion used for analysis of delta N-15 values. For these taxa, the RIC + DIW treatment resulted in the greatest change in delta N-15 values, which may confound results. Mathematical normalization models used to predict outcomes of treatments on values of delta C-13 and delta N-15 were not found to be suitable for all the taxa in this study.</t>
  </si>
  <si>
    <t>[Marcus, Lara; Virtue, Patti; Nichols, Peter D.] Univ Tasmania, Inst Marine &amp; Antarct Studies, Private Bag 129, Hobart, Tas 7001, Australia; [Virtue, Patti; Nichols, Peter D.; Pethybridge, Heidi] CSIRO Oceans &amp; Atmosphere, GPO Box 1538, Hobart, Tas 7000, Australia; [Virtue, Patti] Antarctic Climate &amp; Ecosyst Cooperat Res Ctr, Private Bag 80, Hobart, Tas 7001, Australia; [Meekan, Mark G.] Australian Inst Marine Sci, UWA OI MO96, 35 Stirling Highway, Crawley, WA 6009, Australia</t>
  </si>
  <si>
    <t>University of Tasmania; Commonwealth Scientific &amp; Industrial Research Organisation (CSIRO); Antarctic Climate &amp; Ecosystems Cooperative Research Centre (ACE CRC); University of Western Australia; Australian Institute of Marine Science</t>
  </si>
  <si>
    <t>Marcus, L (corresponding author), Univ Tasmania, Inst Marine &amp; Antarct Studies, Private Bag 129, Hobart, Tas 7001, Australia.</t>
  </si>
  <si>
    <t>lmarcus@utas.edu.au</t>
  </si>
  <si>
    <t>Nichols, Peter D/C-5128-2011; Pethybridge, Heidi/AAI-9824-2021; Marcus, Lara/HRC-5985-2023; Pethybridge, Heidi/AEO-8594-2022</t>
  </si>
  <si>
    <t>Pethybridge, Heidi/0000-0002-7291-5766; Meekan, Mark/0000-0002-3067-9427</t>
  </si>
  <si>
    <t>Save Our Seas Foundation; Winifred Violet Scott Charitable Trust; Holsworth Wildlife Research Endowment Grants; Australian Institute of Marine Science</t>
  </si>
  <si>
    <t>This work was funded by the Save Our Seas Foundation, Winifred Violet Scott Charitable Trust, Holsworth Wildlife Research Endowment Grants and the Australian Institute of Marine Science. We also thank captain Terry Maxwell and his crew and all the people who contributed to fieldwork, with special mention to Kim Brooks, Michelle Thums, Dani Rob and the WA Department of Parks and Wildlife. We thank Peter Mansour and Diana Davies at CSIRO, James Home at the Central Science Laboratory, University of Tasmania and Andrea Walters and Jorge Mardones at the Institute for Marine and Antarctic Science for their help during analysis. The manuscript was improved by the assistance and helpful comments from the editor Chris Harrod and two anonymous journal reviewers.</t>
  </si>
  <si>
    <t>10.1007/s00227-017-3153-6</t>
  </si>
  <si>
    <t>WOS:000403083000004</t>
  </si>
  <si>
    <t>Suttle, MD; Genge, MJ; Folco, L; Russell, SS</t>
  </si>
  <si>
    <t>Suttle, Martin David; Genge, Matthew J.; Folco, Luigi; Russell, Sara S.</t>
  </si>
  <si>
    <t>The thermal decomposition of fine-grained micrometeorites, observations from mid-IR spectroscopy</t>
  </si>
  <si>
    <t>GEOCHIMICA ET COSMOCHIMICA ACTA</t>
  </si>
  <si>
    <t>Micrometeorite; Atmospheric entry; Mid-IR; Phyllosilicate; Dehydration</t>
  </si>
  <si>
    <t>ULTRACARBONACEOUS ANTARCTIC MICROMETEORITES; INSOLUBLE ORGANIC-MATTER; CARBONACEOUS CHONDRITES; SOLAR-SYSTEM; REFLECTANCE SPECTRA; AQUEOUS ALTERATION; ATMOSPHERIC ENTRY; PARENT BODY; MU-M; COMET 67P/CHURYUMOV-GERASIMENKO</t>
  </si>
  <si>
    <t>We analysed 44 fine-grained and scoriaceous micrometeorites. A bulk mid-IR spectrum (8-13 mu m) for each grain was collected and the entire micrometeorite population classified into 5 spectral groups, based on the positions of their absorption bands. Corresponding carbonaceous Raman spectra, textural observations from SEM-BSE and bulk geochemical data via EMPA were collected to aid in the interpretation of mid-IR spectra. The 5 spectral groups identified correspond to progressive thermal decomposition. Unheated hydrated chondritic matrix, composed predominantly of phyllosilicates, exhibit smooth, asymmetric spectra with a peak at similar to 10 mu m. Thermal decomposition of sheet silicates evolves through dehydration, dehydroxylation, annealing and finally by the onset of partial melting. Both CI-like and CM-like micrometeorites are shown to pass through the same decomposition stages and produce similar mid-IR spectra. Using known temperature thresholds for each decomposition stage it is possible to assign a peak temperature range to a given micrometeorite. Since the temperature thresholds for decomposition reactions are defined by the phyllosilicate species and the cation composition and that these variables are markedly different between CM and CI classes, atmospheric entry should bias the dust flux to favour the survival of CI-like grains, whilst preferentially melting most CM-like dust. However, this hypothesis is inconsistent with empirical observations and instead requires that the source ratio of CI: CM dust is heavily skewed in favour of CM material. In addition, a small population of anomalous grains are identified whose carbonaceous and petrographic characteristics suggest in-space heating and dehydroxylation have occurred. These grains may therefore represent regolith micrometeorites derived from the surface of C-type asteroids. Since the spectroscopic signatures of dehydroxylates are distinctive, i.e. characterised by a reflectance peak at 9.0-9.5 mu m, and since the surfaces of C-type asteroids are expected to be heated via impact gardening, we suggest that future spectroscopic investigations should attempt to identify dehydroxylate signatures in the reflectance spectra of young carbonaceous asteroid families. (C) 2017 The Authors. Published by Elsevier Ltd.</t>
  </si>
  <si>
    <t>[Suttle, Martin David; Genge, Matthew J.] Imperial Coll London, London SW7 2AZ, England; [Suttle, Martin David; Genge, Matthew J.; Russell, Sara S.] Nat Hist Museum, Cromwell Rd, London SW7 5BD, England; [Folco, Luigi] Univ Pisa, Dipartimento Sci Terra, I-56126 Pisa, Italy</t>
  </si>
  <si>
    <t>Imperial College London; Natural History Museum London; University of Pisa</t>
  </si>
  <si>
    <t>Suttle, MD (corresponding author), Imperial Coll London, London SW7 2AZ, England.</t>
  </si>
  <si>
    <t>mds10@ic.ac.uk; m.genge@ic.ac.uk; luigi.folco@unipi.it; sara.russell@nhm.ac.uk</t>
  </si>
  <si>
    <t>Folco, Luigi/AAB-8586-2021; Folco, Luigi/AAA-6351-2020</t>
  </si>
  <si>
    <t>Suttle, Martin/0000-0001-7165-2215; Folco, Luigi/0000-0002-7276-3483; Russell, Sara/0000-0001-5531-7847</t>
  </si>
  <si>
    <t>Science and Technology Council (STFC) [ST/M503526/1]; Imperial College London; STFC [ST/J001260/1, ST/M00094X/1]; Italian Programma Nazionale delle Ricerche in Antartide (PNRA) through the Meteoriti Antartiche project [PNRA16_00029_A1]; Science and Technology Facilities Council [ST/J001260/1, ST/N000803/1, ST/M00094X/1] Funding Source: researchfish; UK Space Agency [ST/M003167/1] Funding Source: researchfish; STFC [ST/N000803/1, ST/M00094X/1, ST/J001260/1] Funding Source: UKRI</t>
  </si>
  <si>
    <t>Science and Technology Council (STFC); Imperial College London; STFC(UK Research &amp; Innovation (UKRI)Science &amp; Technology Facilities Council (STFC)); Italian Programma Nazionale delle Ricerche in Antartide (PNRA) through the Meteoriti Antartiche project; Science and Technology Facilities Council(UK Research &amp; Innovation (UKRI)Science &amp; Technology Facilities Council (STFC)); UK Space Agency; STFC(UK Research &amp; Innovation (UKRI)Science &amp; Technology Facilities Council (STFC))</t>
  </si>
  <si>
    <t>The data presented in this paper were acquired during M. Suttle's PhD research and funded by the Science and Technology Council (STFC) under a training grant scheme (Grant Number ST/M503526/1) and in association with Imperial College London. M. Genge is funded by the STFC [Grant Number ST/J001260/1], S. Russell is funded by the STFC (Grant Number ST/M00094X/1) and L. Folco is funded by the Italian Programma Nazionale delle Ricerche in Antartide (PNRA) through the Meteoriti Antartiche project (Grant Number PNRA16_00029_A1). We thank Diamond Light Source for access to the spectroscopy support and characterisation lab (91) and Dr. Tina Geriaki for help with analytical acquisition. Additionally, the NHM, London and N. Almedia, are thanked for the loan of meteorite samples. We are grateful to Dr. Pierre Beck for editorial handling and to Eric Quirico and 2 anonymous reviewers for their constructive comments.</t>
  </si>
  <si>
    <t>0016-7037</t>
  </si>
  <si>
    <t>1872-9533</t>
  </si>
  <si>
    <t>GEOCHIM COSMOCHIM AC</t>
  </si>
  <si>
    <t>Geochim. Cosmochim. Acta</t>
  </si>
  <si>
    <t>10.1016/j.gca.2017.03.002</t>
  </si>
  <si>
    <t>EW4RG</t>
  </si>
  <si>
    <t>WOS:000402488000008</t>
  </si>
  <si>
    <t>Narcisi, B; Petit, JR; Langone, A</t>
  </si>
  <si>
    <t>Narcisi, Biancamaria; Petit, Jean Robert; Langone, Antonio</t>
  </si>
  <si>
    <t>Last glacial tephra layers in the Talos Dome ice core (peripheral East Antarctic Plateau), with implications for chronostratigraphic correlations and regional volcanic history</t>
  </si>
  <si>
    <t>QUATERNARY SCIENCE REVIEWS</t>
  </si>
  <si>
    <t>Tephra layers; Antarctic ice cores; Last glacial period; Millennial-scale climate variability; Volcanic glass composition; Northern Victoria Land volcanism; Explosive eruptions</t>
  </si>
  <si>
    <t>NORTHERN VICTORIA LAND; BIPOLAR SEE-SAW; FRONTIER MOUNTAIN; ROSS SEA; RECORD; CHRONOLOGY; GREENLAND; ERUPTIONS; TEPHROCHRONOLOGY; VARIABILITY</t>
  </si>
  <si>
    <t>Tephra isochrons offer considerable potential for correlating diverse palaeoarchives and highlighting regional climatic differences. They are especially useful when applied to polar ice records encompassing the last glacial, as these clearly portray the pronounced millennial-scale climate variability that characterised this period. Here we present the continuous record of primary fallout tephra layers in the East Antarctic Talos Dome ice core (72 degrees 49 ' S, 159 degrees 11 ' E), developed upon examination of the core sections spanning the glacial period 16.5 to 71 ka. A total of ca. 45 discrete tephra deposits precisely positioned stratigraphically relative to the temperature record for the core and dated using the AICC2012 timescale, were identified. Quantitative grain size, particle morphology, major and trace element composition using Coulter Counter, SEM, EPMA-WDS, and LA-ICP-MS analytical methods were studied as diagnostic features for tephra characterisation. The tephrostratigraphic framework provides a reference for future precise comparison between ice and sediment sequences across the Antarctic continent. Indeed, several potential markers characterised by distinct volcanic glass geochemistry and/or particular stratigraphic location (e.g., a 17.6-ka ash layer deposited during the well-known major acidity event) are now available for the direct linkage of palaeoclimatic archives. The Talos Dome tephra sequence, dominated by mid distal pyroclastic products from the nearby Northern Victoria Land volcanoes, also represents the most comprehensive and best time-constrained record of regional Antarctic volcanism yet developed. It documents nearly continuous sustained explosive activity during the considered time interval and, combined with previous ice-core tephra results for the last and the current interglacial periods, suggests progressive compositional shift through time. (C) 2017 Elsevier Ltd. All rights reserved.</t>
  </si>
  <si>
    <t>[Narcisi, Biancamaria] ENEA, CR Casaccia, Rome, Italy; [Petit, Jean Robert] Univ Grenoble Alpes, CNRS, IRD, IGE, F-38000 Grenoble, France; [Langone, Antonio] UOS Pavia, IGG CNR, Pavia, Italy</t>
  </si>
  <si>
    <t>Italian National Agency New Technical Energy &amp; Sustainable Economics Development; Centre National de la Recherche Scientifique (CNRS); Institut de Recherche pour le Developpement (IRD); Communaute Universite Grenoble Alpes; Universite Grenoble Alpes (UGA); Consiglio Nazionale delle Ricerche (CNR); Istituto di Geoscienze e Georisorse (IGG-CNR)</t>
  </si>
  <si>
    <t>Narcisi, B (corresponding author), ENEA, CR Casaccia, Rome, Italy.</t>
  </si>
  <si>
    <t>biancamaria.narcisi@enea.it</t>
  </si>
  <si>
    <t>Langone, Antonio/HLQ-1346-2023</t>
  </si>
  <si>
    <t>Langone, Antonio/0000-0002-7346-2922</t>
  </si>
  <si>
    <t>Italian Programma Nazionale di Ricerche in Antartide (PNRA)</t>
  </si>
  <si>
    <t>TALos Dome Ice CorE (TALDICE) is a joint European programme lead by Italy and funded by national contributions from Italy, France, Germany, Switzerland and the United Kingdom. This work was funded by the Italian Programma Nazionale di Ricerche in Antartide (PNRA). We thank the logistic and drilling TALDICE team, M. Tonelli (CIGS, Modena) and R. Carampin (CNR, Padova) for assistance during microanalytical work, J. Chappellaz for diligently taking pictures of tephra layers during fieldwork, two journal reviewers for their constructive comments. This is TALDICE publication no. 47.</t>
  </si>
  <si>
    <t>0277-3791</t>
  </si>
  <si>
    <t>QUATERNARY SCI REV</t>
  </si>
  <si>
    <t>Quat. Sci. Rev.</t>
  </si>
  <si>
    <t>10.1016/j.quascirev.2017.04.025</t>
  </si>
  <si>
    <t>Geography, Physical; Geosciences, Multidisciplinary</t>
  </si>
  <si>
    <t>Physical Geography; Geology</t>
  </si>
  <si>
    <t>EX0YO</t>
  </si>
  <si>
    <t>WOS:000402946900009</t>
  </si>
  <si>
    <t>Pitulko, V; Pavlova, E; Nikolskiy, P</t>
  </si>
  <si>
    <t>Pitulko, Vladimir; Pavlova, Elena; Nikolskiy, Pavel</t>
  </si>
  <si>
    <t>Revising the archaeological record of the Upper Pleistocene Arctic Siberia: Human dispersal and adaptations in MIS 3 and 2</t>
  </si>
  <si>
    <t>Upper Paleolithic; Arctic; Taimyr; Beringia; Human dispersal; Subsistence strategy</t>
  </si>
  <si>
    <t>LATE MOUSTERIAN PERSISTENCE; YANA-INDIGHIRKA LOWLAND; WOOLLY MAMMOTH; MAMMUTHUS-PRIMIGENIUS; PERMAFROST DEPOSITS; NORTHEAST SIBERIA; TAIMYR PENINSULA; PALEOLITHIC SITE; RHS SITE; CLIMATE</t>
  </si>
  <si>
    <t>As the main external driver, environmental changes largely predetermine human population distribution, especially in the Arctic, where environmental conditions were often too extreme for human survival. Not that long ago the only evidence of human presence here was the Berelekh site in the lower reaches of the Indighirka River. This landmark dates to 13,000-12,000 years ago but it was widely accepted as documentation of the earliest stage of human dispersal in the Arctic. New research discussed here, shows that humans began colonizing the Siberian Arctic at least by the end of the early stage of MIS 3 at around 45,000 years ago. For now, this earliest known stage of human occupation in the arctic regions is documented by the evidence of human hunting. The archaeological record of continued human occupation is fragmentary; nevertheless, evidence exists for each significant phase including the Last Glacial Maximum (LGM). Siberian Arctic human populations were likely supported by the local mammoth population, which provided humans with food and raw material in the form of mammoth tusks. Processing of mammoth ivory is recognized widely as one of the most important peculiarities of the material culture of ancient humans. In fact, ivory tool manufacturing is one of the most important innovations of the Upper Palaeolithic in northern Eurasia. Technology that allowed manufacturing of long ivory shafts long points and full-size spears was critical in the tree-less open landscapes of Eurasian mammoth steppe belt. These technological skills reach their greatest extent and development shortly before the Last Glacial Maximum but are recognizable until the Pleistocene-Holocene boundary across Northern Eurasia in all areas populated by mammoths and humans. Loss of this stable source of raw material due to the late Pleistocene mammoth extinction may have provoked a shift in post-LGM Siberia to the Beringian microblade tradition. This paper reviews the most important archaeological findings made in arctic Siberia over the last twenty years. (C) 2017 Elsevier Ltd. All rights reserved.</t>
  </si>
  <si>
    <t>[Pitulko, Vladimir] Russian Acad Sci, Inst Mat Culture Hist, 18 Dvortsovaya Nab, St Petersburg 191186, Russia; [Pavlova, Elena] Arctic &amp; Antarctic Res Inst, 38 Bering St, St Petersburg 199397, Russia; [Nikolskiy, Pavel] Russian Acad Sci, Geol Inst, 7 Pyzhevsky Per, Moscow 119017, Russia</t>
  </si>
  <si>
    <t>Russian Academy of Sciences; St. Petersburg Scientific Centre of the Russian Academy of Sciences; Arctic &amp; Antarctic Research Institute; Geological Institute, Russian Academy of Sciences; Russian Academy of Sciences</t>
  </si>
  <si>
    <t>Pitulko, V (corresponding author), Russian Acad Sci, Inst Mat Culture Hist, 18 Dvortsovaya Nab, St Petersburg 191186, Russia.</t>
  </si>
  <si>
    <t>pitulkov@gmail.com; pavloval@rambler.ru; wberingia@gmail.com</t>
  </si>
  <si>
    <t>Pavlova, Elena/AAA-3291-2019; Nikolskiy, Pavel/JNT-4697-2023; Nikolskiy, Pavel A/C-5041-2012; Pitulko, Vladimir/N-4009-2019; Pitulko, Vladimir/E-2200-2015</t>
  </si>
  <si>
    <t>Pitulko, Vladimir/0000-0001-5672-2756; Pavlova, Elena/0000-0002-3010-6290</t>
  </si>
  <si>
    <t>Russian Academy of Sciences through the Fundamental Research Program N 33 Traditions and Innovations in Human Culture [1.11]; Russian Foundation for Basic Research [13-06-12044]; Russian Science Foundation [16-18-10265 RNF]; Russian Science Foundation [16-18-10265] Funding Source: Russian Science Foundation</t>
  </si>
  <si>
    <t>Russian Academy of Sciences through the Fundamental Research Program N 33 Traditions and Innovations in Human Culture; Russian Foundation for Basic Research(Russian Foundation for Basic Research (RFBR)Spanish Government); Russian Science Foundation(Russian Science Foundation (RSF)); Russian Science Foundation(Russian Science Foundation (RSF))</t>
  </si>
  <si>
    <t>This work is based on the results of the Zhokhov-Yana project, a long-term Russian-US effort operated by the Rock Foundation, New York since 2000. Data collection had been continued with the support of the Russian Academy of Sciences through the Fundamental Research Program N 33 Traditions and Innovations in Human Culture (project 1.11 granted to VP) and by the Russian Foundation for Basic Research (project N 13-06-12044 granted to VP). The study had been completed under support of Russian Science Foundation (project N 16-18-10265 RNF granted to VP). Authors want to thank Frederik Paulsen for supporting the field survey in 2013, Pavel Ivanov (photography), Natalia Tsvetkova (graphic drawings, lithics), Alla Mashezerskaya (graphic drawings, bone and ivory), and Veronika Stegantseva (image processing). Enormous thanks to. Natalia Slobodina for helping with the translation. Finally, authors are grateful to two anonymous reviewers for their valuable comments on the initial manuscript.</t>
  </si>
  <si>
    <t>10.1016/j.quascirev.2017.04.004</t>
  </si>
  <si>
    <t>Science Citation Index Expanded (SCI-EXPANDED); Arts &amp; Humanities Citation Index (A&amp;HCI)</t>
  </si>
  <si>
    <t>WOS:000402946900010</t>
  </si>
  <si>
    <t>Martorell, MM; Ruberto, LAM; Fernández, PM; de Figueroa, LIC; Mac Cormack, WP</t>
  </si>
  <si>
    <t>Martha Martorell, Maria; Mauro Ruberto, Lucas Adolfo; Marcelo Fernandez, Pablo; Castellanos de Figueroa, Lucia Ines; Mac Cormack, Walter Patricio</t>
  </si>
  <si>
    <t>Bioprospection of cold-adapted yeasts with biotechnological potential from Antarctica</t>
  </si>
  <si>
    <t>JOURNAL OF BASIC MICROBIOLOGY</t>
  </si>
  <si>
    <t>antarctica; biotechnology; enzymes; yeasts</t>
  </si>
  <si>
    <t>EXTRACELLULAR ENZYMATIC-ACTIVITIES; PSYCHROPHILIC YEASTS; ADAPTATION STRATEGIES; OIL-SPILLS; DIVERSITY; ENVIRONMENTS; PATAGONIA; FUNGI; BIOREMEDIATION; SOIL</t>
  </si>
  <si>
    <t>The aim of this study was to investigate the ability to produce extracellular hydrolytic enzymes at low temperature of yeasts isolated from 25 de Mayo island, Antarctica, and to identify those exhibiting one or more of the evaluated enzymatic activities. A total of 105 yeast isolates were obtained from different samples and 66 were identified. They belonged to 12 basidiomycetous and four ascomycetous genera. Most of the isolates were ascribed to the genera Cryptococcus, Mrakia, Cystobasidium, Rhodotorula, Gueomyces, Phenoliferia, Leucosporidium, and Pichia. Results from enzymes production at low temperatures revealed that the Antarctic environment contains metabolically diverse cultivable yeasts, which represent potential tools for biotechnological applications. While most the isolates proved to produce 2-4 of the investigated exoenzymes, two of them evidenced the six evaluated enzymatic activities: Pichia caribbica and Guehomyces pullulans, which were characterized as psycrotolerant and psycrophilic, respectively. In addition, P. caribbica could assimilate several n-alkanes and diesel fuel. The enzyme production profile and hydrocarbons assimilation capacity, combined with its high level of biomass production and the extended exponential growth phase make P. caribbica a promising tool for cold environments biotechnological purposes in the field of cold-enzymes production and oil spills bioremediation as well.</t>
  </si>
  <si>
    <t>[Martha Martorell, Maria; Mauro Ruberto, Lucas Adolfo; Mac Cormack, Walter Patricio] Consejo Nacl Invest Cient &amp; Tecn, IAA, Junin 956, Buenos Aires, DF, Argentina; [Mauro Ruberto, Lucas Adolfo; Mac Cormack, Walter Patricio] Univ Buenos Aires, Buenos Aires, DF, Argentina; [Mauro Ruberto, Lucas Adolfo; Mac Cormack, Walter Patricio] UBA, CONICET, NANOBIOTEC, Inst Nanobiotecnol, Buenos Aires, DF, Argentina; [Marcelo Fernandez, Pablo; Castellanos de Figueroa, Lucia Ines] Consejo Nacl Invest Cient &amp; Tecn, Planta Piloto Proc Ind Microbiol, PROIMI, San Miguel De Tucuman, Tucuman, Argentina; [Castellanos de Figueroa, Lucia Ines] UNT, San Miguel De Tucuman, Tucuman, Argentina</t>
  </si>
  <si>
    <t>Consejo Nacional de Investigaciones Cientificas y Tecnicas (CONICET); University of Buenos Aires; Consejo Nacional de Investigaciones Cientificas y Tecnicas (CONICET); University of Buenos Aires; Consejo Nacional de Investigaciones Cientificas y Tecnicas (CONICET); Universidad Nacional de Tucuman</t>
  </si>
  <si>
    <t>Martorell, MM (corresponding author), Consejo Nacl Invest Cient &amp; Tecn, IAA, Junin 956, Buenos Aires, DF, Argentina.</t>
  </si>
  <si>
    <t>mariamartha86@hotmail.com</t>
  </si>
  <si>
    <t>MARTORELL, MARIA MARTHA/0000-0002-4266-8629; Mac Cormack, Walter/0000-0002-5280-5463; Fernandez, Pablo Marcelo/0000-0003-0094-5058; Ruberto, Lucas Adolfo Mauro/0000-0001-5604-772X</t>
  </si>
  <si>
    <t>Instituto Antartico Argentino/Direccion Nacional del Antartico; Universidad Nacional de Tucuman; Universidad de Buenos Aires; Consejo Nacional de Investigaciones Cientificas y Tecnicas; Agencia Nacional de Promocion Cientifica y Tecnologica</t>
  </si>
  <si>
    <t>Instituto Antartico Argentino/Direccion Nacional del Antartico; Universidad Nacional de Tucuman; Universidad de Buenos Aires(University of Buenos Aires); Consejo Nacional de Investigaciones Cientificas y Tecnicas(Consejo Nacional de Investigaciones Cientificas y Tecnicas (CONICET)); Agencia Nacional de Promocion Cientifica y Tecnologica(ANPCyTSpanish Government)</t>
  </si>
  <si>
    <t>0233-111X</t>
  </si>
  <si>
    <t>1521-4028</t>
  </si>
  <si>
    <t>J BASIC MICROB</t>
  </si>
  <si>
    <t>J. Basic Microbiol.</t>
  </si>
  <si>
    <t>10.1002/jobm.201700021</t>
  </si>
  <si>
    <t>EX1NM</t>
  </si>
  <si>
    <t>WOS:000402991000005</t>
  </si>
  <si>
    <t>Leal, PP; Hurd, CL; Fernández, PA; Roleda, MY</t>
  </si>
  <si>
    <t>Leal, Pablo P.; Hurd, Catriona L.; Fernandez, Pamela A.; Roleda, Michael Y.</t>
  </si>
  <si>
    <t>OCEAN ACIDIFICATION AND KELP DEVELOPMENT: REDUCED PH HAS NO NEGATIVE EFFECTS ON MEIOSPORE GERMINATION AND GAMETOPHYTE DEVELOPMENT OF MACROCYSTIS PYRIFERA AND UNDARIA PINNATIFIDA</t>
  </si>
  <si>
    <t>JOURNAL OF PHYCOLOGY</t>
  </si>
  <si>
    <t>gametophyte; germination; hydrogen ion concentration; Laminariales; Macrocystis; microscopic stages; Undaria</t>
  </si>
  <si>
    <t>INORGANIC CARBON ACQUISITION; SEA-SURFACE TEMPERATURE; GIANT-KELP; CLIMATE-CHANGE; INVASIVE KELP; NEW-ZEALAND; GRACILARIA-VERMICULOPHYLLA; CONCENTRATING MECHANISMS; NEUTRAL LIPIDS; LIFE-HISTORY</t>
  </si>
  <si>
    <t>The absorption of anthropogenic CO2 by the oceans is causing a reduction in the pH of the surface waters termed ocean acidification (OA). This could have substantial effects on marine coastal environments where fleshy (non-calcareous) macroalgae are dominant primary producers and ecosystem engineers. Few OA studies have focused on the early life stages of large macroalgae such as kelps. This study evaluated the effects of seawater pH on the ontogenic development of meiospores of the native kelp Macrocystis pyrifera and the invasive kelp Undaria pinnatifida, in south-eastern New Zealand. Meiospores of both kelps were released into four seawater pH treatments (pH(T) 7.20, extreme OA predicted for 2300; pH(T) 7.65, OA predicted for 2100; pH(T) 8.01, ambient pH; and pH(T) 8.40, pre-industrial pH) and cultured for 15d. Meiospore germination, germling growth rate, and gametophyte size and sex ratio were monitored and measured. Exposure to reduced pH(T) (7.20 and 7.65) had positive effects on germling growth rate and gametophyte size in both M.pyrifera and U.pinnatifida, whereas, higher pH(T) (8.01 and 8.40) reduced the gametophyte size in both kelps. Sex ratio of gametophytes of both kelps was biased toward females under all pH(T) treatments, except for U.pinnatifida at pH(T) 7.65. Germling growth rate under OA was significantly higher in M.pyrifera compared to U.pinnatifida but gametophyte development was equal for both kelps under all seawater pH(T) treatments, indicating that the microscopic stages of the native M.pyrifera and the invasive U.pinnatifida will respond similarly to OA.</t>
  </si>
  <si>
    <t>[Leal, Pablo P.; Hurd, Catriona L.; Fernandez, Pamela A.; Roleda, Michael Y.] Univ Otago, Dept Bot, 479 Great King St, Dunedin 9016, New Zealand; [Leal, Pablo P.; Hurd, Catriona L.; Fernandez, Pamela A.] Univ Tasmania, Inst Marine &amp; Antarctic Studies, 20 Castray Esplanade, Hobart, Tas 7004, Australia; [Roleda, Michael Y.] Norwegian Inst Bioecon Res, Kudalsveien 6, N-8049 Bodo, Norway</t>
  </si>
  <si>
    <t>University of Otago; University of Tasmania; Norwegian Institute of Bioeconomy Research</t>
  </si>
  <si>
    <t>Leal, PP (corresponding author), Univ Otago, Dept Bot, 479 Great King St, Dunedin 9016, New Zealand.;Leal, PP (corresponding author), Univ Tasmania, Inst Marine &amp; Antarctic Studies, 20 Castray Esplanade, Hobart, Tas 7004, Australia.</t>
  </si>
  <si>
    <t>pablo.sandoval@otago.ac.nz</t>
  </si>
  <si>
    <t>Roleda, Michael Y./H-9645-2019; Fernandez, Pamela/AAX-1676-2021; Leal, Pablo P./N-3927-2019; Fernandez, Pamela Andrea/K-2021-2014; Hurd, Catriona/J-2411-2013</t>
  </si>
  <si>
    <t>Roleda, Michael Y./0000-0003-0568-9081; Fernandez, Pamela/0000-0003-3122-0084; Leal, Pablo P./0000-0002-7616-1850; Fernandez, Pamela Andrea/0000-0003-3122-0084; Hurd, Catriona/0000-0001-9965-4917</t>
  </si>
  <si>
    <t>Royal Society of New Zealand Mardsen grant [UOO0914]</t>
  </si>
  <si>
    <t>Royal Society of New Zealand Mardsen grant(Royal Society of New Zealand)</t>
  </si>
  <si>
    <t>Pablo P. Leal received founding from the BECAS CHILE-CONICYT programme. This investigation was also supported by a Royal Society of New Zealand Mardsen grant to Catriona L. Hurd (UOO0914). We also thank all the anonymous reviewers for their thoughtful and constructive comments.</t>
  </si>
  <si>
    <t>0022-3646</t>
  </si>
  <si>
    <t>1529-8817</t>
  </si>
  <si>
    <t>J PHYCOL</t>
  </si>
  <si>
    <t>J. Phycol.</t>
  </si>
  <si>
    <t>10.1111/jpy.12518</t>
  </si>
  <si>
    <t>Plant Sciences; Marine &amp; Freshwater Biology</t>
  </si>
  <si>
    <t>EW7FN</t>
  </si>
  <si>
    <t>WOS:000402675300008</t>
  </si>
  <si>
    <t>King, AJ; Schofield, PF; Russell, SS</t>
  </si>
  <si>
    <t>King, A. J.; Schofield, P. F.; Russell, S. S.</t>
  </si>
  <si>
    <t>Type 1 aqueous alteration in CM carbonaceous chondrites: Implications for the evolution of water-rich asteroids</t>
  </si>
  <si>
    <t>METEORITICS &amp; PLANETARY SCIENCE</t>
  </si>
  <si>
    <t>X-RAY-DIFFRACTION; OXYGEN ISOTOPIC COMPOSITION; FINE-GRAINED RIMS; PARENT BODY; MODAL MINERALOGY; THERMAL METAMORPHISM; HYDROUS ASTEROIDS; ORGANIC-MATTER; TAGISH LAKE; MU-M</t>
  </si>
  <si>
    <t>The CM carbonaceous chondrite meteorites experienced aqueous alteration in the early solar system. They range from mildly altered type 2 to almost completely hydrated type 1 chondrites, and offer a record of geochemical conditions on water-rich asteroids. We show that CM1 chondrites contain abundant (84-91vol%) phyllosilicate, plus olivine (4-8vol%), magnetite (2-3vol%), Fe-sulfide (&lt;5vol%), and calcite (&lt;2vol%). The CM1/2 chondrites contain phyllosilicate (71-88vol%), olivine (4-20vol%), enstatite (2-6vol%), magnetite (2-3vol%), Fe-sulfides (1-2vol%), and calcite (similar to 1vol%). As aqueous alteration progressed, the abundance of Mg-serpentine and magnetite in the CM chondrites increased. In contrast, calcite abundances in the CM1/2 and CM1 chondrites are often depleted relative to the CM2s. The modal data support the model, whereby metal and Fe-rich matrix were the first components to be altered on the CM parent body(ies), before further hydration attacked the coarser Mg-rich silicates found in chondrules and fragments. Based on the absence of tochilinite, we suggest that CM1 chondrites experienced increased alteration due to elevated temperatures (&gt;120 degrees C), although higher water/rock ratios may also have played a role. The modal data provide constraints for interpreting the composition of asteroids and the mineralogy of samples returned from these bodies. We predict that CM1-like asteroids, as has been proposed for Bennutarget for the OSIRIS-REx missionwill have a high abundance of Mg-rich phyllosilicates and Fe-oxides, but be depleted in calcite.</t>
  </si>
  <si>
    <t>[King, A. J.; Schofield, P. F.; Russell, S. S.] Nat Hist Museum, Dept Earth Sci, Cromwell Rd, London SW7 5BD, England</t>
  </si>
  <si>
    <t>Natural History Museum London</t>
  </si>
  <si>
    <t>King, AJ (corresponding author), Nat Hist Museum, Dept Earth Sci, Cromwell Rd, London SW7 5BD, England.</t>
  </si>
  <si>
    <t>a.king@nhm.ac.uk</t>
  </si>
  <si>
    <t>Schofield, Paul/0000-0003-0902-0588; King, Ashley/0000-0001-6113-5417; Russell, Sara/0000-0001-5531-7847</t>
  </si>
  <si>
    <t>NSF; NASA; Science and Technology Facilities Council (STFC), UK [ST/J001473/1]; Science and Technology Facilities Council [ST/M00094X/1, ST/J001473/1] Funding Source: researchfish; STFC [ST/M00094X/1, ST/J001473/1] Funding Source: UKRI</t>
  </si>
  <si>
    <t>NSF(National Science Foundation (NSF)); NASA(National Aeronautics &amp; Space Administration (NASA)); Science and Technology Facilities Council (STFC), UK(UK Research &amp; Innovation (UKRI)Science &amp; Technology Facilities Council (STFC)); Science and Technology Facilities Council(UK Research &amp; Innovation (UKRI)Science &amp; Technology Facilities Council (STFC)); STFC(UK Research &amp; Innovation (UKRI)Science &amp; Technology Facilities Council (STFC))</t>
  </si>
  <si>
    <t>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Hot desert meteorite samples were provided by Laurence Garvie at the Center for Meteorite Studies, Arizona State University, USA. Jens Najorka is thanked for assistance with the PSD-XRD analysis, as are Paula Lindgren, Pierre Beck, and Adrian Brearley for their thoughtful comments and suggestions that helped improve this manuscript. This work was supported by the Science and Technology Facilities Council (STFC), UK, through grant ST/J001473/1.</t>
  </si>
  <si>
    <t>1086-9379</t>
  </si>
  <si>
    <t>1945-5100</t>
  </si>
  <si>
    <t>METEORIT PLANET SCI</t>
  </si>
  <si>
    <t>Meteorit. Planet. Sci.</t>
  </si>
  <si>
    <t>10.1111/maps.12872</t>
  </si>
  <si>
    <t>EW8ZU</t>
  </si>
  <si>
    <t>Green Published, hybrid, Green Accepted</t>
  </si>
  <si>
    <t>WOS:000402807400012</t>
  </si>
  <si>
    <t>Gerum, RC; Richter, S; Fabry, B; Zitterbart, DP</t>
  </si>
  <si>
    <t>Gerum, Richard C.; Richter, Sebastian; Fabry, Ben; Zitterbart, Daniel P.</t>
  </si>
  <si>
    <t>ClickPoints: an expandable toolbox for scientific image annotation and analysis</t>
  </si>
  <si>
    <t>METHODS IN ECOLOGY AND EVOLUTION</t>
  </si>
  <si>
    <t>ground truth; image annotation; image evaluation; labelling; open source; Python; time-series data; visual data processing</t>
  </si>
  <si>
    <t>PLATFORM; CELLS; CCD</t>
  </si>
  <si>
    <t>1. Optical recordings are ubiquitous in current scientific research. As recording and storing images and videos have become simpler and cheaper over the past years, new and more efficient tools are needed to analyse the growing amount of data. While current scientific image analysis tools focus on medical 3D data sets, a tool for efficiently handling large-scale 2D time-series recordings is still missing. 2. We developed Click Points, an expandable, open-source, Python-based software to fill this gap. ClickPoints combines and streamlines the three main steps of image analysis - visualization, annotation and evaluation - in one program. 3. ClickPoints enables the user to (i) efficiently review large data sets of images and videos, (ii) annotate interesting findings and (iii) facilitate manual and automatic evaluations. ClickPoints is highly versatile, ranging from clicking and selecting objects with simple markers, drawing masks and computing trajectories, up to (iv) custom-written Python add-ons for adapting or extending the available features. These add-ons (v) reduce development time by utilizing Click Points' display, interface and storage solutions. In addition, ClickPoints provides an (vi) extensive data base application programming interface to facilitate efficient storage and retrieval of results. 4. ClickPoints is designed to simplify repetitive and labour-intensive scientific tasks, especially when dealing with large image and video time-series recordings. ClickPoints offers cross-platform support for Windows and Linux and is released under the GPLv3 license. Download, documentation and numerous examples are available at http://clickpoints.readthedocs.io.</t>
  </si>
  <si>
    <t>[Gerum, Richard C.; Richter, Sebastian; Fabry, Ben; Zitterbart, Daniel P.] Univ Erlangen Nurnberg, BioPhys Grp, Erlangen, Germany; [Zitterbart, Daniel P.] Woods Hole Oceanog Inst, Appl Ocean Phys &amp; Engn, Woods Hole, MA 02543 USA; [Zitterbart, Daniel P.] Helmholtz Ctr Polar &amp; Marine Res, Alfred Wegener Inst, Bremerhaven, Germany</t>
  </si>
  <si>
    <t>University of Erlangen Nuremberg; Woods Hole Oceanographic Institution; Helmholtz Association; Alfred Wegener Institute, Helmholtz Centre for Polar &amp; Marine Research</t>
  </si>
  <si>
    <t>Gerum, RC (corresponding author), Univ Erlangen Nurnberg, BioPhys Grp, Erlangen, Germany.</t>
  </si>
  <si>
    <t>richard.gerum@fau.de</t>
  </si>
  <si>
    <t>Gerum, Richard Carl/AAW-8732-2021; Fabry, Ben/C-5496-2013; Zitterbart, Daniel P/N-7489-2013</t>
  </si>
  <si>
    <t>Gerum, Richard Carl/0000-0001-5893-2650; Fabry, Ben/0000-0003-1737-0465; Zitterbart, Daniel/0000-0001-9429-4350</t>
  </si>
  <si>
    <t>European Research Council [MINATRAN 211166]; Deutsche Forschungsgemeinschaft (DFG) [FA336/5-1]</t>
  </si>
  <si>
    <t>European Research Council(European Research Council (ERC)); Deutsche Forschungsgemeinschaft (DFG)(German Research Foundation (DFG))</t>
  </si>
  <si>
    <t>We thank our collaboration partners for kindly providing example data sets from ongoing projects: Nadja Gerlitz for plant root images, Claus Metzner for the infrared bird tracking, and Celine Le Bohec, Anna Nesterova and Francesco Bonadonna for the Adelie and King Penguin recordings. This study was funded by the European Research Council Starting Grant MINATRAN 211166 and the Deutsche Forschungsgemeinschaft (DFG) grant FA336/5-1 in the framework of the priority program Antarctic research with comparative investigations in Arctic ice areas.</t>
  </si>
  <si>
    <t>2041-210X</t>
  </si>
  <si>
    <t>2041-2096</t>
  </si>
  <si>
    <t>METHODS ECOL EVOL</t>
  </si>
  <si>
    <t>Methods Ecol. Evol.</t>
  </si>
  <si>
    <t>10.1111/2041-210X.12702</t>
  </si>
  <si>
    <t>EX0NW</t>
  </si>
  <si>
    <t>WOS:000402919100009</t>
  </si>
  <si>
    <t>Cowan, ZL; Ling, SD; Dworjanyn, SA; Caballes, CF; Pratchett, MS</t>
  </si>
  <si>
    <t>Cowan, Zara-Louise; Ling, Scott D.; Dworjanyn, Symon A.; Caballes, Ciemon F.; Pratchett, Morgan S.</t>
  </si>
  <si>
    <t>Interspecific variation in potential importance of planktivorous damselfishes as predators of Acanthaster sp eggs</t>
  </si>
  <si>
    <t>CORAL REEFS</t>
  </si>
  <si>
    <t>Acanthaster; Chemical defence; Coral reefs; Predation; Saponins</t>
  </si>
  <si>
    <t>OF-THORNS STARFISH; GREAT-BARRIER-REEF; POPULATION REGULATION; INVERTEBRATE LARVAE; STEROIDAL SAPONINS; PLANCI L; FISH; CROWN; PALATABILITY; BIOSYNTHESIS</t>
  </si>
  <si>
    <t>Coral-eating crown-of-thorns starfish (Acanthaster sp.) often exhibit dramatic population outbreaks, suggesting that their local abundance may be relatively unchecked by predators. This may be due to high concentrations of anti-predator chemicals (saponins and plancitoxins), but the effectiveness of chemical deterrents in protecting Acanthaster sp., especially spawned eggs, from predation remains controversial. We show that planktivorous damselfishes will readily consume food pellets with low proportions (ae80%) of eggs of crown-of-thorns starfish. However, all fishes exhibited increasing rejection of food pellets with higher proportions of starfish eggs, suggesting that chemicals in eggs of crown-of-thorns starfish do deter potential predators. Interestingly, palatability thresholds varied greatly among the nine species of planktivorous fish tested. Most notably, Amblyglyphidodon curacao consumed food pellets comprising 100% starfish eggs 1.5 times more than any other fish species, and appeared largely insensitive to increases in the concentration of starfish eggs. After standardising for size, smaller fish species consumed a disproportionate amount of pellets comprising high proportions of starfish eggs, indicating that abundant small-bodied fishes could be particularly important in regulating larval abundance and settlement success of crown-of-thorns starfish. Collectively, this study shows that reef fishes vary in their tolerance to anti-predator chemicals in crown-of-thorns starfish and may represent important predators on early life-history stages.</t>
  </si>
  <si>
    <t>[Cowan, Zara-Louise; Caballes, Ciemon F.; Pratchett, Morgan S.] James Cook Univ, ARC Ctr Excellence Coral Reef Studies, Townsville, Qld 4811, Australia; [Ling, Scott D.] Univ Tasmania, Inst Marine &amp; Antarctic Studies, Hobart, Tas 7001, Australia; [Dworjanyn, Symon A.] Southern Cross Univ, Natl Marine Sci Ctr, Coffs Harbour, VA 2450 USA</t>
  </si>
  <si>
    <t>James Cook University; University of Tasmania</t>
  </si>
  <si>
    <t>Cowan, ZL (corresponding author), James Cook Univ, ARC Ctr Excellence Coral Reef Studies, Townsville, Qld 4811, Australia.</t>
  </si>
  <si>
    <t>zaralouise.cowan@my.jcu.edu.au</t>
  </si>
  <si>
    <t>Pratchett, Morgan/AAW-5179-2020; Caballes, Ciemon Frank/D-7846-2016; dworjanyn, symon/O-5633-2017; Ling, Scott/J-7161-2014</t>
  </si>
  <si>
    <t>Pratchett, Morgan/0000-0002-1862-8459; Caballes, Ciemon Frank/0000-0003-1865-6713; dworjanyn, symon/0000-0002-6690-8033; Ling, Scott/0000-0002-5544-8174; Cowan, Zara-Louise/0000-0002-3862-7111</t>
  </si>
  <si>
    <t>Ian Potter Foundation by the Australian Museum Lizard Island Research Station</t>
  </si>
  <si>
    <t>This project was funded by an Ian Potter Foundation 50th Anniversary Commemorative Grant awarded to ZLC by the Australian Museum Lizard Island Research Station, in addition to a research allocation supplied by the ARC Centre of Excellence for Coral Reef Studies. We would like to thank Jordi Boada Garcia, Vanessa Messmer, Ben Mos and Molly Scott for field and laboratory assistance. Research was conducted in accordance with the James Cook University animal ethics guidelines. Fish were collected under Great Barrier Reef Marine Park Authority Permit Number G13/35909.1.</t>
  </si>
  <si>
    <t>0722-4028</t>
  </si>
  <si>
    <t>1432-0975</t>
  </si>
  <si>
    <t>Coral Reefs</t>
  </si>
  <si>
    <t>10.1007/s00338-017-1556-y</t>
  </si>
  <si>
    <t>EV2ZW</t>
  </si>
  <si>
    <t>WOS:000401627400029</t>
  </si>
  <si>
    <t>Bocking, S</t>
  </si>
  <si>
    <t>Bocking, Stephen</t>
  </si>
  <si>
    <t>Dispatches from Continent Seven: An Anthology of Antarctic Science</t>
  </si>
  <si>
    <t>ISIS</t>
  </si>
  <si>
    <t>Book Review</t>
  </si>
  <si>
    <t>[Bocking, Stephen] Trent Univ, Trent Sch Environm, Environm Hist &amp; Policy, Peterborough, ON, Canada</t>
  </si>
  <si>
    <t>Trent University</t>
  </si>
  <si>
    <t>Bocking, S (corresponding author), Trent Univ, Trent Sch Environm, Environm Hist &amp; Policy, Peterborough, ON, Canada.</t>
  </si>
  <si>
    <t>UNIV CHICAGO PRESS</t>
  </si>
  <si>
    <t>CHICAGO</t>
  </si>
  <si>
    <t>1427 E 60TH ST, CHICAGO, IL 60637-2954 USA</t>
  </si>
  <si>
    <t>0021-1753</t>
  </si>
  <si>
    <t>1545-6994</t>
  </si>
  <si>
    <t>Isis</t>
  </si>
  <si>
    <t>+</t>
  </si>
  <si>
    <t>10.1086/692366</t>
  </si>
  <si>
    <t>History &amp; Philosophy Of Science</t>
  </si>
  <si>
    <t>Science Citation Index Expanded (SCI-EXPANDED); Social Science Citation Index (SSCI); Arts &amp; Humanities Citation Index (A&amp;HCI)</t>
  </si>
  <si>
    <t>History &amp; Philosophy of Science</t>
  </si>
  <si>
    <t>EW0FW</t>
  </si>
  <si>
    <t>WOS:000402165100027</t>
  </si>
  <si>
    <t>Lee, CW; Park, SH; Lee, SG; Shin, SC; Han, SJ; Kim, HW; Park, HH; Kim, S; Kim, HJ; Park, H; Park, H; Lee, JH</t>
  </si>
  <si>
    <t>Lee, Chang Woo; Park, Sun-Ha; Lee, Sung Gu; Shin, Seung Chul; Han, Se Jong; Kim, Han-Woo; Park, Hyun Ho; Kim, Sunghwan; Kim, Hak Jun; Park, Hyun; Park, HaJeung; Lee, Jun Hyuck</t>
  </si>
  <si>
    <t>Crystal structure of the inactive state of the receiver domain of Spo0A from Paenisporosarcina sp TG-14, a psychrophilic bacterium isolated from an Antarctic glacier</t>
  </si>
  <si>
    <t>JOURNAL OF MICROBIOLOGY</t>
  </si>
  <si>
    <t>analytical ultracentrifugation; Paenisporosarcina sp TG-14; spore formation; Spo0A; X-ray crystallography</t>
  </si>
  <si>
    <t>RESPONSE REGULATOR PHOP; BACILLUS-SUBTILIS; STREPTOCOCCUS-PNEUMONIAE; ESCHERICHIA-COLI; DIMERIZATION INTERFACE; CONFORMATIONAL-CHANGES; HISTIDINE KINASES; SPORULATION; INITIATION; BINDING</t>
  </si>
  <si>
    <t>The two-component phosphorelay system is the most prevalent mechanism for sensing and transducing environmental signals in bacteria. Spore formation, which relies on the two-component phosphorelay system, enables the long-term survival of the glacial bacterium Paenisporosarcina sp. TG-14 in the extreme cold environment. Spo0A is a key response regulator of the phosphorelay system in the early stage of spore formation. The protein is composed of a regulatory N-terminal phospho-receiver domain and a DNA-binding C-terminal activator domain. We solved the three-dimensional structure of the unphosphorylated (inactive) form of the receiver domain of Spo0A (PaSpo0A-R) from Paenisporosarcina sp. TG-14. A structural comparison with phosphorylated (active form) Spo0A from Bacillus stearothermophilus (BsSpo0A) showed minor notable differences. A molecular dynamics study of a model of the active form and the crystal structures revealed significant differences in the alpha 4 helix and the preceding loop region where phosphorylation occurs. Although an oligomerization study of PaSpo0A-R by analytical ultracentrifugation (AUC) has shown that the protein is in a monomeric state in solution, both crosslinking and crystal-packing analyses indicate the possibility of weak dimer formation by a previously undocumented mechanism. Collectively, these observations provide insight into the mechanism of phosphorylation-dependent activation unique to Spo0A.</t>
  </si>
  <si>
    <t>[Lee, Chang Woo; Park, Sun-Ha; Lee, Sung Gu; Shin, Seung Chul; Kim, Han-Woo; Park, Hyun; Lee, Jun Hyuck] Korea Polar Res Inst, Unit Polar Genom, Incheon 21990, South Korea; [Lee, Chang Woo; Lee, Sung Gu; Han, Se Jong; Kim, Han-Woo; Park, Hyun; Lee, Jun Hyuck] Korea Univ Sci &amp; Technol, Dept Polar Sci, Incheon 21990, South Korea; [Han, Se Jong] Korea Polar Res Inst, Div Life Sci, Incheon 21990, South Korea; [Park, Hyun Ho] Yeungnam Univ, Sch Biotechnol, Dept Biochem, Gyongsan 38541, South Korea; [Park, Hyun Ho] Yeungnam Univ, Grad Sch Biochem, Gyongsan 38541, South Korea; [Kim, Sunghwan] Daegu Gyungpook Med Innovat Fdn, New Drug Dev Ctr, Daegu 41061, South Korea; [Kim, Hak Jun] Pukyong Natl Univ, Dept Chem, Busan 608739, South Korea; [Park, HaJeung] Scripps Res Inst, Xray Core, TRI, Jupiter, FL 33458 USA</t>
  </si>
  <si>
    <t>Korea Polar Research Institute (KOPRI); Korea Polar Research Institute (KOPRI); Yeungnam University; Yeungnam University; Pukyong National University; State University System of Florida; University of Florida; Herbert Wertheim UF Scripps Institute for Biomedical Innovation &amp; Technology</t>
  </si>
  <si>
    <t>Lee, JH (corresponding author), Korea Polar Res Inst, Unit Polar Genom, Incheon 21990, South Korea.;Lee, JH (corresponding author), Korea Univ Sci &amp; Technol, Dept Polar Sci, Incheon 21990, South Korea.;Park, H (corresponding author), Scripps Res Inst, Xray Core, TRI, Jupiter, FL 33458 USA.</t>
  </si>
  <si>
    <t>hajpark@scripps.edu; junhyucklee@kopri.re.kr</t>
  </si>
  <si>
    <t>park, hyun ho/D-2627-2011; Lee, Chang-Woo/L-5093-2015</t>
  </si>
  <si>
    <t>Kim, Sunghwan/0000-0002-1927-9617; HAN, Se Jong/0000-0001-9576-2179; park, hyun ho/0000-0001-9928-0847; Park, Hyun/0000-0002-8055-2010</t>
  </si>
  <si>
    <t>Korea Polar Research Institute (KOPRI) [PE16390]</t>
  </si>
  <si>
    <t>Korea Polar Research Institute (KOPRI)(Korea Polar Research Institute of Marine Research Placement (KOPRI))</t>
  </si>
  <si>
    <t>We would like to thank the staff at the X-ray core facility of Korea Basic Science Institute (KBSI) (Ochang, Korea) and BL-7A of the Pohang Accelerator Laboratory (Pohang, Korea) for their kind help with data collection. This work was supported by the Korea Polar Research Institute (KOPRI; grant No. PE16390 to JHL).</t>
  </si>
  <si>
    <t>MICROBIOLOGICAL SOCIETY KOREA</t>
  </si>
  <si>
    <t>SEOUL</t>
  </si>
  <si>
    <t>KOREA SCIENCE &amp; TECHNOLOGY CENTER 803, 635-4 YEOGSAM-DONG, KANGNAM-KU, SEOUL 135-703, SOUTH KOREA</t>
  </si>
  <si>
    <t>1225-8873</t>
  </si>
  <si>
    <t>1976-3794</t>
  </si>
  <si>
    <t>J MICROBIOL</t>
  </si>
  <si>
    <t>J. Microbiol.</t>
  </si>
  <si>
    <t>10.1007/s12275-017-6599-9</t>
  </si>
  <si>
    <t>EW0BA</t>
  </si>
  <si>
    <t>WOS:000402151800009</t>
  </si>
  <si>
    <t>Hellmer, HH; Kauker, F; Timmermann, R; Hattermann, T</t>
  </si>
  <si>
    <t>Hellmer, Hartmut H.; Kauker, Frank; Timmermann, Ralph; Hattermann, Tore</t>
  </si>
  <si>
    <t>The Fate of the Southern Weddell Sea Continental Shelf in a Warming Climate</t>
  </si>
  <si>
    <t>JOURNAL OF CLIMATE</t>
  </si>
  <si>
    <t>CIRCUMPOLAR DEEP-WATER; BASAL MELT RATES; ICE-SHELF; CIRCULATION; GLACIER; OCEAN; ANTARCTICA; TRANSPORT; INFLOW; GYRE</t>
  </si>
  <si>
    <t>Warm water of open ocean origin on the continental shelf of the Amundsen and Bellingshausen Seas causes the highest basal melt rates reported for Antarctic ice shelves with severe consequences for the ice shelf/ice sheet dynamics. Ice shelves fringing the broad continental shelf in theWeddell and Ross Seas melt at rates orders ofmagnitude smaller. However, simulations using coupled ice-ocean models forced with the atmospheric output of the HadCM3 SRES-A1B scenario run (CO2 concentration in the atmosphere reaches 700 ppmv by the year 2100 and stays at that level for an additional 100 years) show that the circulation in the southern Weddell Sea changes during the twenty-first century. Derivatives of Circumpolar Deep Water are directed southward underneath the Filchner-Ronne Ice Shelf, warming the cavity and dramatically increasing basal melting. To find out whether the open ocean will always continue to power the melting, the authors extend their simulations, applying twentieth-century atmospheric forcing, both alone and together with prescribed basal mass flux at the end of (or during) the SRES-A1B scenario run. The results identify a tipping point in the southern Weddell Sea: once warm water flushes the ice shelf cavity a positive meltwater feedback enhances the shelf circulation and the onshore transport of open ocean heat. The process is irreversible with a recurrence to twentieth-century atmospheric forcing and can only be halted through prescribing a return to twentieth-century basal melt rates. This finding might have strong implications for the stability of the Antarctic ice sheet.</t>
  </si>
  <si>
    <t>[Hellmer, Hartmut H.; Kauker, Frank; Timmermann, Ralph; Hattermann, Tore] Alfred Wegener Inst, Helmholtz Ctr Polar &amp; Marine Res, Bremerhaven, Germany; [Kauker, Frank] OASys, Hamburg, Germany</t>
  </si>
  <si>
    <t>Helmholtz Association; Alfred Wegener Institute, Helmholtz Centre for Polar &amp; Marine Research</t>
  </si>
  <si>
    <t>Hellmer, HH (corresponding author), Alfred Wegener Inst, Helmholtz Ctr Polar &amp; Marine Res, Bremerhaven, Germany.</t>
  </si>
  <si>
    <t>hartmut.hellmer@awi.de</t>
  </si>
  <si>
    <t>Hattermann, Tore/0000-0002-5538-2267; Hellmer, Hartmut/0000-0002-9357-9853</t>
  </si>
  <si>
    <t>Helmholtz Climate Initiative REKLIM (Regional Climate Change), a joint research project of the Helmholtz Association of German research centers (HGF); European Union [226375]</t>
  </si>
  <si>
    <t>Helmholtz Climate Initiative REKLIM (Regional Climate Change), a joint research project of the Helmholtz Association of German research centers (HGF); European Union(European Union (EU))</t>
  </si>
  <si>
    <t>We thank C. Wubber and W. Cohrs for providing a stable computer performance at the Alfred Wegener Institute Helmholtz Centre for Polar and Marine Research (AWI), the ice2sea community for helpful discussions during project meetings, M. V. Caspel for constructive comments during preparation of the manuscript, and K. Nicholls for critical reading and many suggestions for improvement of the submission. Present funding for R.T. by the Helmholtz Climate Initiative REKLIM (Regional Climate Change), a joint research project of the Helmholtz Association of German research centers (HGF), is gratefully acknowledged. This work was supported by funding to the ice2sea program from the European Union Seventh Framework Programme Grant 226375.</t>
  </si>
  <si>
    <t>0894-8755</t>
  </si>
  <si>
    <t>1520-0442</t>
  </si>
  <si>
    <t>J CLIMATE</t>
  </si>
  <si>
    <t>J. Clim.</t>
  </si>
  <si>
    <t>10.1175/JCLI-D-16-0420.1</t>
  </si>
  <si>
    <t>EW3FB</t>
  </si>
  <si>
    <t>Green Submitted</t>
  </si>
  <si>
    <t>WOS:000402379600001</t>
  </si>
  <si>
    <t>Chung, CTY; Power, SB; Santoso, A; Wang, GM</t>
  </si>
  <si>
    <t>Chung, Christine T. Y.; Power, Scott B.; Santoso, Agus; Wang, Guomin</t>
  </si>
  <si>
    <t>Multiyear Variability in the Tasman Sea and Impacts on Southern Hemisphere Climate in CMIP5 Models</t>
  </si>
  <si>
    <t>EAST AUSTRALIAN CURRENT; ANTARCTIC OSCILLATION; SYSTEM; OCEAN; PREDICTABILITY; THERMOCLINE; DYNAMICS</t>
  </si>
  <si>
    <t>Naturally occurring multiyear to decadal variability is evident in rainfall, temperature, severe weather, and flood frequency around the globe. It is therefore important to understand the cause of this variability and the extent to which it can be predicted. Here internally generated decadal climate variability and its predictability potential in an ensemble of CMIP5 models are assessed. Global hot spots of subsurface ocean decadal variability are identified, revealing variability in the southern Tasman Sea that is coherent with variability in much of the Pacific Ocean and Southern Hemisphere. It is found that subsurface temperature variability in the southern Tasman Sea primarily arises in response to preceding changes in Southern Hemisphere winds. This variability is multiyear to decadal in character and is coherent with surface temperature in parts of the Southern Hemisphere up to several years later. This provides some degree of potential predictability to surface temperature in the southern Tasman Sea and surrounding regions. A few models exhibit significant correlation between subsurface variability in the southern Tasman Sea and zonally averaged precipitation south of 50 degrees S; however, the multimodel mean does not exhibit any significant correlation between subsurface variability and precipitation. Models that exhibit stronger subsurface variability in the southern Tasman Sea also have a stronger interdecadal Pacific oscillation signal in the Pacific.</t>
  </si>
  <si>
    <t>[Chung, Christine T. Y.; Power, Scott B.; Wang, Guomin] Bur Meteorol, Melbourne, Vic, Australia; [Santoso, Agus] Univ New South Wales, Australian Res Council Ctr Excellence Climate Sys, Sydney, NSW, Australia</t>
  </si>
  <si>
    <t>Bureau of Meteorology - Australia; University of New South Wales Sydney</t>
  </si>
  <si>
    <t>Chung, CTY (corresponding author), Bur Meteorol, Melbourne, Vic, Australia.</t>
  </si>
  <si>
    <t>christine.chung@bom.gov.au</t>
  </si>
  <si>
    <t>Power, Scott Brendan/AAF-3370-2019; Santoso, Agus/J-7350-2012; Santoso, Agus/P-1918-2019</t>
  </si>
  <si>
    <t>Power, Scott Brendan/0000-0002-9596-4368; Santoso, Agus/0000-0001-7749-8124; Wang, Guomin/0000-0002-1158-2427</t>
  </si>
  <si>
    <t>Australian Climate Change Science Program (ACCSP); National Environmental Science Program (NESP); Australian Government</t>
  </si>
  <si>
    <t>Australian Climate Change Science Program (ACCSP); National Environmental Science Program (NESP); Australian Government(Australian Government)</t>
  </si>
  <si>
    <t>The authors thank Michael Grose, Andrew Marshall, Terry O'Kane, and Francois Delage for their detailed reviews of the manuscript. The authors also thank Francois Delage and Harvey Ye for processing some of the CMIP5 data. This research was supported by the Australian Climate Change Science Program (ACCSP) and the National Environmental Science Program (NESP). We acknowledge the World Climate Research Programme's Working Group on Coupled Modelling, which is responsible for CMIP, and we thank the climate modeling groups (listed in Table 1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This research was undertaken with the assistance of resources from the National Computational Infrastructure (NCI), which is supported by the Australian Government.</t>
  </si>
  <si>
    <t>10.1175/JCLI-D-16-0862.1</t>
  </si>
  <si>
    <t>WOS:000402379600005</t>
  </si>
  <si>
    <t>Smith, DM; Dunstone, NJ; Scaife, AA; Fiedler, EK; Copsey, D; Hardiman, SC</t>
  </si>
  <si>
    <t>Smith, Doug M.; Dunstone, Nick J.; Scaife, Adam A.; Fiedler, Emma K.; Copsey, Dan; Hardiman, Steven C.</t>
  </si>
  <si>
    <t>Atmospheric Response to Arctic and Antarctic Sea Ice: The Importance of Ocean-Atmosphere Coupling and the Background State</t>
  </si>
  <si>
    <t>STRATOSPHERIC POLAR VORTEX; NORTHERN-HEMISPHERE; CIRCULATION RESPONSE; PLANETARY-WAVES; COLD WINTERS; CLIMATE; IMPACTS; OSCILLATION; PROPAGATION; PREDICTIONS</t>
  </si>
  <si>
    <t>The atmospheric response to Arctic and Antarctic sea ice changes typical of the present day and coming decades is investigated using the Hadley Centre global climate model (HadGEM3). The response is diagnosed from ensemble simulations of the period 1979 to 2009 with observed and perturbed sea ice concentrations. The experimental design allows the impacts of ocean-atmosphere coupling and the background atmospheric state to be assessed. The modeled response can be very different to that inferred from statistical relationships, showing that the response cannot be easily diagnosed from observations. Reduced Arctic sea ice drives a local low pressure response in boreal summer and autumn. Increased Antarctic sea ice drives a poleward shift of the Southern Hemisphere midlatitude jet, especially in the cold season. Coupling enables surface temperature responses to spread to the ocean, amplifying the atmospheric response and revealing additional impacts including warming of the North Atlantic in response to reduced Arctic sea ice, with a northward shift of the Atlantic intertropical convergence zone and increased Sahel rainfall. The background state controls the sign of the North Atlantic Oscillation (NAO) response via the refraction of planetary waves. This could help to resolve differences in previous studies, and potentially provides an emergent constraint'' to narrow the uncertainties in the NAO response, highlighting the need for future multimodel coordinated experiments.</t>
  </si>
  <si>
    <t>[Smith, Doug M.; Dunstone, Nick J.; Scaife, Adam A.; Fiedler, Emma K.; Copsey, Dan; Hardiman, Steven C.] Met Off Hadley Ctr, Exeter, Devon, England</t>
  </si>
  <si>
    <t>Met Office - UK; Hadley Centre</t>
  </si>
  <si>
    <t>Smith, DM (corresponding author), Met Off Hadley Ctr, Exeter, Devon, England.</t>
  </si>
  <si>
    <t>doug.smith@metoffice.gov.uk</t>
  </si>
  <si>
    <t>Smith, Doug/ABD-5204-2021; Dunstone, Nick J/G-6304-2012; Hardiman, Steven/HDO-0165-2022</t>
  </si>
  <si>
    <t>DECC/Defra Met Office Hadley Centre Climate Programme [GA01101]; EU FP7 SPECS project; EU H2020 APPLICATE project</t>
  </si>
  <si>
    <t>DECC/Defra Met Office Hadley Centre Climate Programme; EU FP7 SPECS project; EU H2020 APPLICATE project</t>
  </si>
  <si>
    <t>This work was supported by the joint DECC/Defra Met Office Hadley Centre Climate Programme (GA01101), and the EU FP7 SPECS and H2020 APPLICATE projects. ECMWF ERA-Interim data used in this study have been obtained from the ECMWF data server. NCEP reanalyses were obtained from the NOAA-ESRL Physical Sciences Division, Boulder Colorado from their Web site at http://www.esrl.noaa.gov/psd/. We thank Professor James Screen and two anonymous reviewers for their thoughtful comments.</t>
  </si>
  <si>
    <t>45 BEACON ST, BOSTON, MA 02108-3693, UNITED STATES</t>
  </si>
  <si>
    <t>10.1175/JCLI-D-16-0564.1</t>
  </si>
  <si>
    <t>WOS:000402379600013</t>
  </si>
  <si>
    <t>Thomas, AC; Nelson, BW; Lance, MM; Deagle, BE; Trites, AW</t>
  </si>
  <si>
    <t>Thomas, Austen C.; Nelson, Benjamin W.; Lance, Monique M.; Deagle, Bruce E.; Trites, Andrew W.</t>
  </si>
  <si>
    <t>Harbour seals target juvenile salmon of conservation concern</t>
  </si>
  <si>
    <t>CANADIAN JOURNAL OF FISHERIES AND AQUATIC SCIENCES</t>
  </si>
  <si>
    <t>PREDATOR-PREY INTERACTIONS; SAN-JUAN ISLANDS; PHOCA-VITULINA; CHINOOK SALMON; BRITISH-COLUMBIA; SOCKEYE-SALMON; DEPENDENT PREDATION; MOLECULAR-DETECTION; DIETARY ANALYSIS; LIFE-HISTORY</t>
  </si>
  <si>
    <t>Knowing the species and life stages of prey that predators consume is important for understanding the impacts that predation may have on prey populations, but traditional methods for determining diets often cannot provide sufficient detail. We combined data from two methods of scat analysis (DNA metabarcoding and morphological prey ID) to quantify the species and life stages of salmon (Oncorhynchus spp.) consumed by harbour seals (Phoca vitulina) in the Strait of Georgia, Canada, where juvenile Chinook (Oncorhynchus tshawytscha) and coho (Oncorhynchus kisutch) salmon survival is poor. Harbour seals primarily consumed adult salmon of lesser conservation concern in the fall (August-November): chum (Oncorhynchus keta: 18.4%), pink (Oncorhynchus gorbuscha: 12.6%), sockeye (Oncorhynchus nerka: 7.4%), Chinook (7.1%), and coho (1.8%). However, the opposite species trend occurred during the spring when seals preferred juvenile salmon of greater conservation concern (April-July): coho (2.9%), Chinook (2.9%), sockeye (2.5%), pink (1.4%), and chum (0.8%)-percentages that can equate to many individuals consumed. Our data suggest that harbour seals select juveniles of salmon species that out-migrate at ages &gt;1 year and provide evidence of a potential causal relationship between harbour seal predation and juvenile salmon survival trends.</t>
  </si>
  <si>
    <t>[Thomas, Austen C.; Nelson, Benjamin W.] Univ British Columbia, Inst Oceans &amp; Fisheries, Dept Zool, Vancouver, BC, Canada; [Thomas, Austen C.; Nelson, Benjamin W.] Univ British Columbia, Inst Oceans &amp; Fisheries, Marine Mammal Res Unit, Vancouver, BC, Canada; [Lance, Monique M.] Washington Dept Fish &amp; Wildlife, Wildlife Sci Program, Lakewood, WA USA; [Deagle, Bruce E.] Australian Antarctic Div, Channel Highway, Kingston, Tas, Australia; [Trites, Andrew W.] Univ British Columbia, Inst Oceans &amp; Fisheries, Marine Mammal Res Unit, Vancouver, BC, Canada; [Thomas, Austen C.] Smith Root Inc, 16603 NE 50th Ave, Vancouver, WA 98686 USA</t>
  </si>
  <si>
    <t>University of British Columbia; University of British Columbia; Washington Department of Fish &amp; Wildlife (WDFW); Australian Antarctic Division; University of British Columbia</t>
  </si>
  <si>
    <t>Thomas, AC (corresponding author), Univ British Columbia, Inst Oceans &amp; Fisheries, Dept Zool, Vancouver, BC, Canada.;Thomas, AC (corresponding author), Univ British Columbia, Inst Oceans &amp; Fisheries, Marine Mammal Res Unit, Vancouver, BC, Canada.;Thomas, AC (corresponding author), Smith Root Inc, 16603 NE 50th Ave, Vancouver, WA 98686 USA.</t>
  </si>
  <si>
    <t>a.thomas@oceans.ubc.ca</t>
  </si>
  <si>
    <t>Trites, Andrew/K-5648-2012; Deagle, Bruce E/R-2999-2019</t>
  </si>
  <si>
    <t>Deagle, Bruce E/0000-0001-7651-3687; Trites, Andrew/0000-0003-0342-5322</t>
  </si>
  <si>
    <t>Pacific Salmon Foundation; Pacific Salmon Commission's Southern Endowment Fund via Long Live the Kings; Washington State</t>
  </si>
  <si>
    <t>We are grateful to the many volunteers who assisted with seal scat collections and laboratory processing during the 2 years of study. We thank Ilai Karen for assistance in merging the seal diet data sets and Brian McConeghy for refining the molecular laboratory protocols. We also thank Marc Trudel, Carl Walters, and Anthony Sinclair for providing useful feedback on several early drafts of this manuscript and the reviewers for their constructive comments and suggestions. The harbour seal scats were collected under Fisheries and Oceans Canada Marine Mammal Research License (MML 2011-10) and a University of British Columbia Animal Care Permit (A11-0072). This is Publication Number 4 from the Salish Sea Marine Survival Project (marinesurvivalproject.com). Funding was provided by the Pacific Salmon Foundation, the Pacific Salmon Commission's Southern Endowment Fund via Long Live the Kings, by Washington State with equal in-kind contributions by those participating in the research.</t>
  </si>
  <si>
    <t>CANADIAN SCIENCE PUBLISHING</t>
  </si>
  <si>
    <t>OTTAWA</t>
  </si>
  <si>
    <t>65 AURIGA DR, SUITE 203, OTTAWA, ON K2E 7W6, CANADA</t>
  </si>
  <si>
    <t>0706-652X</t>
  </si>
  <si>
    <t>1205-7533</t>
  </si>
  <si>
    <t>CAN J FISH AQUAT SCI</t>
  </si>
  <si>
    <t>Can. J. Fish. Aquat. Sci.</t>
  </si>
  <si>
    <t>10.1139/cjfas-2015-0558</t>
  </si>
  <si>
    <t>EV9XK</t>
  </si>
  <si>
    <t>WOS:000402140000011</t>
  </si>
  <si>
    <t>Kuhn, G; Hillenbrand, CD; Kasten, S; Smith, JA; Nitsche, FO; Frederichs, T; Wiers, S; Ehrmann, W; Klages, JP; Mogollón, JM</t>
  </si>
  <si>
    <t>Kuhn, Gerhard; Hillenbrand, Claus-Dieter; Kasten, Sabine; Smith, James A.; Nitsche, Frank O.; Frederichs, Thomas; Wiers, Steffen; Ehrmann, Werner; Klages, Johann P.; Mogollon, Jose M.</t>
  </si>
  <si>
    <t>Evidence for a palaeo-subglacial lake on the Antarctic continental shelf</t>
  </si>
  <si>
    <t>NATURE COMMUNICATIONS</t>
  </si>
  <si>
    <t>ICE-SHEET; WEST ANTARCTICA; SEDIMENT CORES; WATER-SYSTEM; SEA; BENEATH; GLACIER; OCEAN; GROUNDWATER; ATLANTIC</t>
  </si>
  <si>
    <t>Subglacial lakes are widespread beneath the Antarctic Ice Sheet but their control on ice-sheet dynamics and their ability to harbour life remain poorly characterized. Here we present evidence for a palaeo-subglacial lake on the Antarctic continental shelf. A distinct sediment facies recovered from a bedrock basin in Pine Island Bay indicates deposition within a low-energy lake environment. Diffusive-advection modelling demonstrates that low chloride concentrations in the pore water of the corresponding sediments can only be explained by initial deposition of this facies in a freshwater setting. These observations indicate that an active subglacial meltwater network, similar to that observed beneath the extant ice sheet, was also active during the last glacial period. It also provides a new framework for refining the exploration of these unique environments.</t>
  </si>
  <si>
    <t>[Kuhn, Gerhard; Kasten, Sabine; Klages, Johann P.] Alfred Wegener Inst, Helmholtz Zentrum Polar &amp; Meeresforsch, Dept Geosci, D-27568 Bremerhaven, Germany; [Hillenbrand, Claus-Dieter; Smith, James A.] British Antarctic Survey, Madingley Rd, Cambridge CB3 0ET, England; [Nitsche, Frank O.] Columbia Univ, Lamont Doherty Earth Observ, Palisades, NY 10964 USA; [Frederichs, Thomas; Wiers, Steffen] Univ Bremen, Dept Geosci, D-28359 Bremen, Germany; [Ehrmann, Werner] Univ Leipzig, Inst Geophys &amp; Geol, D-04103 Leipzig, Germany; [Mogollon, Jose M.] Univ Utrecht, Dept Earth Sci Geochem, Fac Geosci, NL-3584 CC Utrecht, Netherlands</t>
  </si>
  <si>
    <t>Helmholtz Association; Alfred Wegener Institute, Helmholtz Centre for Polar &amp; Marine Research; UK Research &amp; Innovation (UKRI); Natural Environment Research Council (NERC); NERC British Antarctic Survey; Columbia University; University of Bremen; Leipzig University; Utrecht University</t>
  </si>
  <si>
    <t>Kuhn, G (corresponding author), Alfred Wegener Inst, Helmholtz Zentrum Polar &amp; Meeresforsch, Dept Geosci, D-27568 Bremerhaven, Germany.</t>
  </si>
  <si>
    <t>gerhard.kuhn@awi.de</t>
  </si>
  <si>
    <t>Nitsche, Frank O/A-9343-2009; Wiers, Steffen/AAT-6610-2020</t>
  </si>
  <si>
    <t>Nitsche, Frank O/0000-0002-4137-547X; Klages, Johann Philipp/0000-0003-0968-1183; Kuhn, Gerhard/0000-0001-6069-7485; Mogollon, Jose Manuel/0000-0002-7110-5470; Kasten, Sabine/0000-0001-7453-5137; Wiers, Steffen/0000-0002-3564-6747; Smith, James/0000-0002-1333-2544</t>
  </si>
  <si>
    <t>AWI (Helmholtz Association); Natural Environment Research Council (NERC); NSF [ANT-0838735]; Utrecht University; NERC [bas0100030] Funding Source: UKRI; Natural Environment Research Council [bas0100030] Funding Source: researchfish</t>
  </si>
  <si>
    <t>AWI (Helmholtz Association); Natural Environment Research Council (NERC)(UK Research &amp; Innovation (UKRI)Natural Environment Research Council (NERC)); NSF(National Science Foundation (NSF)); Utrecht University; NERC(UK Research &amp; Innovation (UKRI)Natural Environment Research Council (NERC)); Natural Environment Research Council(UK Research &amp; Innovation (UKRI)Natural Environment Research Council (NERC))</t>
  </si>
  <si>
    <t>We thank the captains, crews and scientists who participated in all the research cruises that collected the data for this study. This study is part of the Alfred Wegener Institute (AWI) Helmholtz Centre for Polar and Marine Research research programme Polar Regions and Coasts in the changing Earth System (PACES II; G.K., S.K., J.P.K.) and the British Antarctic Survey Polar Science for Planet Earth Programme (C.-D.H., J.A.S.). It was funded by AWI (Helmholtz Association) and the Natural Environment Research Council (NERC). G.K., C.-D.H., J.A.S., and J.P.K. were supported for conferences and networking travel by the European Commission under the 7th Framework Programme through the Action IMCONet (FP7 IRSES, action no. 318718). F.O.N. was funded through NSF grant ANT-0838735. J.M.M. was funded by Utrecht University through its strategic theme Sustainabiity, sub-theme Water, Climate, and Ecosystems. We thank Rita Frohlking and Susanne Wiebe (both AWI) and Hilary Blagbrough and Jamie Oliver (both BAS) for technical support.</t>
  </si>
  <si>
    <t>NATURE PUBLISHING GROUP</t>
  </si>
  <si>
    <t>MACMILLAN BUILDING, 4 CRINAN ST, LONDON N1 9XW, ENGLAND</t>
  </si>
  <si>
    <t>2041-1723</t>
  </si>
  <si>
    <t>NAT COMMUN</t>
  </si>
  <si>
    <t>Nat. Commun.</t>
  </si>
  <si>
    <t>10.1038/ncomms15591</t>
  </si>
  <si>
    <t>Multidisciplinary Sciences</t>
  </si>
  <si>
    <t>Science &amp; Technology - Other Topics</t>
  </si>
  <si>
    <t>EW4ZE</t>
  </si>
  <si>
    <t>Green Accepted, Green Published, Green Submitted, gold</t>
  </si>
  <si>
    <t>WOS:000402513400001</t>
  </si>
  <si>
    <t>Angulo-Preckler, C; Leiva, C; Avila, C; Taboada, S</t>
  </si>
  <si>
    <t>Angulo-Preckler, Carlos; Leiva, Carlos; Avila, Conxita; Taboada, Sergi</t>
  </si>
  <si>
    <t>Macroinvertebrate communities from the shallow soft-bottoms of Deception Island (Southern Ocean): A paradise for opportunists</t>
  </si>
  <si>
    <t>MARINE ENVIRONMENTAL RESEARCH</t>
  </si>
  <si>
    <t>Polychaeta; Benthic communities; Antarctic invertebrates; Opportunistic species; Organic matter</t>
  </si>
  <si>
    <t>KING-GEORGE-ISLAND; MARINE BENTHIC COMMUNITIES; SHETLAND-ISLANDS; ADMIRALTY BAY; MARTEL-INLET; QUANTITATIVE-ANALYSIS; MCMURDO-STATION; NEARSHORE ZONE; ANTARCTICA; BIOMASS</t>
  </si>
  <si>
    <t>Deception Island (South Shetland Islands) is an atypical spot in its Antarctic context, being a still active volcano with a submerged caldera. Although the sea-floor of its enclosed bay, Port Foster, has been extensively studied from 40 m down, little is known about the macrozoobenthic composition of its shallower areas. The aim of this study was to characterize the so far unexplored soft-bottom marine macroinvertebrate communities living within the first few meters depth in Port Foster. Eight sampling stations were selected, and three replicates per station and depth (5 and 15 m) were collected by SCUBA diving using 0.008 m(-2) corers. Six clusters of samples were distinguished, showing a high variability in the composition of the shallow-water macrofauna. This heterogeneity did not appear to be related to the proximity of the sites to the open sea (entrance of the caldera) or depth, nor to the sediment type or the organic matter content. Overall, the assemblages within each cluster were generally dominated by highly abundant opportunistic species, including the annelids Capitella perarmata, Mesospio moorei, Leitoscoloplos kerguelensis, Apistobranchus glacierae, and Tharyx cincinnata, the amphipod Cheiritnedon femoratus, and the bivalve Aequiyoldia eightsii. The remarkably high densities reported in several stations, suggest that the shallow-water environment of Port Foster is highly productive. In light of these results, we propose a general trophic web for the shallow waters of Port Foster linking the unusually high densities of macroinvertebrates with the also high occurrence of megafaunal echinoderms present in this area. (C) 2017 Elsevier Ltd. All rights reserved.</t>
  </si>
  <si>
    <t>[Angulo-Preckler, Carlos; Leiva, Carlos; Avila, Conxita] Univ Barcelona, Dept Evolutionary Biol Ecol &amp; Environm Sci, Av Diagonal 643, E-08028 Barcelona, Catalonia, Spain; [Angulo-Preckler, Carlos; Leiva, Carlos; Avila, Conxita] Biodivers Res Inst IrBIO, Av Diagonal 643, Barcelona 08028, Catalonia, Spain; [Taboada, Sergi] Nat Hist Museum London, Dept Life Sci, Cromwell Rd, London SW7 5BD, England</t>
  </si>
  <si>
    <t>University of Barcelona; Natural History Museum London</t>
  </si>
  <si>
    <t>Taboada, S (corresponding author), Nat Hist Museum London, Dept Life Sci, Cromwell Rd, London SW7 5BD, England.</t>
  </si>
  <si>
    <t>sergiotab@gmail.com</t>
  </si>
  <si>
    <t>Avila, Conxita/B-9466-2008; Angulo_Preckler, Carlos/A-6456-2011; Leiva, Carlos/ACB-7534-2022; Taboada, Sergi/AAB-9390-2021</t>
  </si>
  <si>
    <t>Avila, Conxita/0000-0002-5489-8376; Angulo_Preckler, Carlos/0000-0001-9028-274X; Taboada, Sergi/0000-0003-1669-1152</t>
  </si>
  <si>
    <t>ACTIQUIM-II research project [CTM2010-17415]; FPU Program from the Spanish Government [AP2009-2081]; Departmental Collaboration Grants Program by the Spanish Government</t>
  </si>
  <si>
    <t>ACTIQUIM-II research project; FPU Program from the Spanish Government; Departmental Collaboration Grants Program by the Spanish Government</t>
  </si>
  <si>
    <t>Thank are due to F.J. Cristobo, L. Nunez-Pons, J. Moles, A. Riesgo, M. Bas, M. Ballesteros, P. Fontanals, and J.C. Perez for their support during the Antarctic cruise and sample processing. Thanks are also due to the crew of BAE Gabriel de Castilla for their logistic support during the Antarctic cruise. This work was developed within the ACTIQUIM-II research project (CTM2010-17415), C. Angulo-Preckler was funded by the FPU Program (AP2009-2081) from the Spanish Government and C. Leiva was funded by the Departmental Collaboration Grants Program by the Spanish Government. This work is part of AntECO (State of the Antarctic Ecosystem) Scientific Research Programme.</t>
  </si>
  <si>
    <t>0141-1136</t>
  </si>
  <si>
    <t>1879-0291</t>
  </si>
  <si>
    <t>MAR ENVIRON RES</t>
  </si>
  <si>
    <t>Mar. Environ. Res.</t>
  </si>
  <si>
    <t>10.1016/j.marenvres.2017.03.008</t>
  </si>
  <si>
    <t>Environmental Sciences; Marine &amp; Freshwater Biology; Toxicology</t>
  </si>
  <si>
    <t>Environmental Sciences &amp; Ecology; Marine &amp; Freshwater Biology; Toxicology</t>
  </si>
  <si>
    <t>EW0WR</t>
  </si>
  <si>
    <t>WOS:000402212400007</t>
  </si>
  <si>
    <t>Sorokina, ES; Rösel, D; Häger, T; Mertz-Kraus, R; Saul, JM</t>
  </si>
  <si>
    <t>Sorokina, Elena S.; Roesel, Delia; Haeger, Tobias; Mertz-Kraus, Regina; Saul, John M.</t>
  </si>
  <si>
    <t>LA-ICP-MS U-Pb dating of rutile inclusions within corundum (ruby and sapphire): new constraints on the formation of corundum deposits along the Mozambique belt</t>
  </si>
  <si>
    <t>MINERALIUM DEPOSITA</t>
  </si>
  <si>
    <t>Rutile; Corundum; U-Pb LA-ICP-MSdating; Mozambique belt; Kenya; Tanzania</t>
  </si>
  <si>
    <t>GRANULITE-FACIES METAMORPHISM; HIGH-PRESSURE GRANULITES; EASTERN TANZANIA; SHEAR ZONE; DIFFUSION; ZIRCON; BEARING; MARBLE; AGES; AREA</t>
  </si>
  <si>
    <t>Direct dating of corundum and the establishment of age constraints for corundum crystal growth are restricted due to the absence of a geochronometer. Syngenetic mineral inclusions may help define minimum ages for corundum growth. Here, we present results of in situ LA-ICP-MS U-Pb dating applied to rutile inclusions in corundum from localities along the Mozambique belt. U-Pb dating of rutile inclusions gave ages of 533 +/- 11 Ma (2 sigma) for the Gitonga pit (John Saul ruby mine) and 526 +/- 13 Ma for the Aqua Ruby mine, both in the Mangari area of Kenya, and an age of 499 +/- 12 Ma for ruby from the Morogoro area, Tanzania. These ages are interpreted as cooling ages that set a minimum age for corundum growth following metamorphism along the East-African Antarctic Orogen, and might be used for petrogenetic tracing of corundum in placer deposits.</t>
  </si>
  <si>
    <t>[Sorokina, Elena S.] Gemol Inst Amer, 5355 Armada Dr, Carlsbad, CA 92008 USA; [Sorokina, Elena S.] Russian Acad Sci GEOKHI, Vernadsky Inst Geochem &amp; Analyt Chem, 19 Kosygin St, Moscow 119991, Russia; [Roesel, Delia; Haeger, Tobias; Mertz-Kraus, Regina] Johannes Gutenberg Univ Mainz JGU, Inst Geosci, J-J Becher Weg 21, D-55128 Mainz, Germany; [Roesel, Delia] TU Bergakad Freiberg, Inst Geol, Bernhard von Cotta Str 2 Humboldt Bau, D-09599 Freiberg, Germany; [Saul, John M.] Swala Gem Traders, Arusha 11063, Tanzania</t>
  </si>
  <si>
    <t>Russian Academy of Sciences; Vernadsky Institute of Geochemistry &amp; Analytical Chemistry; Johannes Gutenberg University of Mainz; Technical University Freiberg</t>
  </si>
  <si>
    <t>Sorokina, ES (corresponding author), Gemol Inst Amer, 5355 Armada Dr, Carlsbad, CA 92008 USA.;Sorokina, ES (corresponding author), Russian Acad Sci GEOKHI, Vernadsky Inst Geochem &amp; Analyt Chem, 19 Kosygin St, Moscow 119991, Russia.</t>
  </si>
  <si>
    <t>elensorokina@mail.ru</t>
  </si>
  <si>
    <t>Mertz-Kraus, Regina/K-3558-2014; Sorokina, Elena S/C-5917-2014</t>
  </si>
  <si>
    <t>Saul, John M./0000-0002-2282-2430; Sorokina, Elena/0000-0002-6665-3958</t>
  </si>
  <si>
    <t>German Academic Exchange Service (DAAD) [A-13-00099]; Institute for Geosciences of JGU</t>
  </si>
  <si>
    <t>German Academic Exchange Service (DAAD)(Deutscher Akademischer Austausch Dienst (DAAD)); Institute for Geosciences of JGU</t>
  </si>
  <si>
    <t>We are thankful to the vice president of Johannes Gutenberg University Mainz (JGU), Prof. Dr. Wolfgang Hofmeister, and the Institute for Geosciences of JGU for providing samples used in this study. The research has been supported by scholarship A-13-00099 of the German Academic Exchange Service (DAAD) and Institute for Geosciences of JGU. We also thank reviewer Dr. Thomas Zack for helpful suggestions and Prof. Dr. Bernd Lehmann for editing the manuscript.</t>
  </si>
  <si>
    <t>ONE NEW YORK PLAZA, SUITE 4600, NEW YORK, NY, UNITED STATES</t>
  </si>
  <si>
    <t>0026-4598</t>
  </si>
  <si>
    <t>1432-1866</t>
  </si>
  <si>
    <t>MINER DEPOSITA</t>
  </si>
  <si>
    <t>Miner. Depos.</t>
  </si>
  <si>
    <t>10.1007/s00126-017-0732-x</t>
  </si>
  <si>
    <t>Geochemistry &amp; Geophysics; Mineralogy</t>
  </si>
  <si>
    <t>EV9RM</t>
  </si>
  <si>
    <t>WOS:000402123100001</t>
  </si>
  <si>
    <t>Makabe, R; Tanimura, A; Tamura, T; Hirano, D; Shimada, K; Hashihama, F; Fukuchi, M</t>
  </si>
  <si>
    <t>Makabe, Ryosuke; Tanimura, Atsushi; Tamura, Takeshi; Hirano, Daisuke; Shimada, Keishi; Hashihama, Fuminori; Fukuchi, Mitsuo</t>
  </si>
  <si>
    <t>Meso-zooplankton abundance and spatial distribution off Lutzow-Holm Bay during austral summer 2007-2008</t>
  </si>
  <si>
    <t>POLAR SCIENCE</t>
  </si>
  <si>
    <t>Zooplankton; Small copepods; Sea ice; Lutzow-Holm Bay</t>
  </si>
  <si>
    <t>SOUTHERN-OCEAN; SCOTIA SEA; COMMUNITY STRUCTURE; CONTINENTAL-SLOPE; WATER MASSES; WEDDELL SEA; COPEPODS; ICE; CIRCULATION; ANTARCTICA</t>
  </si>
  <si>
    <t>To elucidate spatial differences in mesozooplankton community structure in local scale, vertical hauls using a 60-mu m mesh closing net were carried out off Lutzow-Holm Bay in January 2008. All of the zooplankton samples collected from three layers (0-100, 100-200, and 200-500 m) at seven stations were dominated by Oithona spp., Oncaea spp., Ctenocalanus citer, Microcalanus pygmaeus, and copepod nauplii. The cluster analysis of mesozooplankton abundances showed three distinct groups according to sampling depth, which appeared to be due to the preferential vertical distribution of dominant copepods. The other cluster analysis on integrated abundance upper 500 m revealed that mesozooplankton community structures at stations located on the western and eastern edges of the observation area (Cluster A) differed from those at the central stations (Cluster B). Abundance of copepod nauplii, Oithona spp., and C. citer differed between Clusters A and B, which was likely caused by differences in recruitment and early development in the dominant copepods, being associated with the timing and duration of ice edge blooms. This suggests that such heterogeneity in abundance and recruitment/development of dominant taxa was likely caused by local heterogeneity in sea ice dynamics. This may affect our understanding of zooplankton distribution. (C) 2016 Elsevier B.V. and NIPR. All rights reserved.</t>
  </si>
  <si>
    <t>[Makabe, Ryosuke; Tanimura, Atsushi; Tamura, Takeshi; Hirano, Daisuke; Fukuchi, Mitsuo] Natl Inst Polar Res, 10-3 Midori Cho, Tachikawa, Tokyo 1908518, Japan; [Makabe, Ryosuke; Tanimura, Atsushi; Tamura, Takeshi] Grad Univ Adv Studies SOKENDAI, Dept Polar Sci, 10-3 Midori Cho, Tachikawa, Tokyo 1908518, Japan; [Tamura, Takeshi] Univ Tasmania, Antarctic Climate &amp; Ecosyst Cooperat Res Ctr, Hobart, Tas 7001, Australia; [Shimada, Keishi] Tokyo Univ Marine Sci &amp; Technol, Observat &amp; Res Ctr Ocean Syst, Minato Ku, 4-5-7 Konan, Tokyo 1088477, Japan; [Hashihama, Fuminori] Tokyo Univ Marine Sci &amp; Technol, Dept Ocean Sci, Minato Ku, 4-5-7 Konan, Tokyo 1088477, Japan</t>
  </si>
  <si>
    <t>Research Organization of Information &amp; Systems (ROIS); National Institute of Polar Research (NIPR) - Japan; Graduate University for Advanced Studies - Japan; University of Tasmania; Antarctic Climate &amp; Ecosystems Cooperative Research Centre (ACE CRC); Tokyo University of Marine Science &amp; Technology; Tokyo University of Marine Science &amp; Technology</t>
  </si>
  <si>
    <t>Makabe, R (corresponding author), Natl Inst Polar Res, 10-3 Midori Cho, Tachikawa, Tokyo 1908518, Japan.</t>
  </si>
  <si>
    <t>makabe@nipr.ac.jp</t>
  </si>
  <si>
    <t>Hirano, Daisuke/P-3963-2019; Hashihama, Fuminori/O-1924-2014</t>
  </si>
  <si>
    <t>Hashihama, Fuminori/0000-0003-3835-7681</t>
  </si>
  <si>
    <t>Japanese Antarctic Research Expedition (DARE) under the Ministry of Education, Culture, Sports, Science and Technology (MEXT); MEXT and Research Project Funds of National Institute of Polar Research [16101001, KP-308]; Grants-in-Aid for Scientific Research [17H01618, 16101001, 17K12811, 17H04710, 17H06317, 26740007] Funding Source: KAKEN</t>
  </si>
  <si>
    <t>Japanese Antarctic Research Expedition (DARE) under the Ministry of Education, Culture, Sports, Science and Technology (MEXT); MEXT and Research Project Funds of National Institute of Polar Research; Grants-in-Aid for Scientific Research(Ministry of Education, Culture, Sports, Science and Technology, Japan (MEXT)Japan Society for the Promotion of ScienceGrants-in-Aid for Scientific Research (KAKENHI))</t>
  </si>
  <si>
    <t>We thank the captain and crew of the TRV Umitaka Maru for their support during the cruises. The SSM/I sea ice concentration data were provided by the National Snow and Ice Data Center, University of Colorado. This study was supported by the Japanese Antarctic Research Expedition (DARE) under the Ministry of Education, Culture, Sports, Science and Technology (MEXT). This study was also supported by Grant-in-Aid for Scientific Research (Grant No. 16101001) from the MEXT and Research Project Funds of National Institute of Polar Research (Grant No. KP-308).</t>
  </si>
  <si>
    <t>1873-9652</t>
  </si>
  <si>
    <t>1876-4428</t>
  </si>
  <si>
    <t>POLAR SCI</t>
  </si>
  <si>
    <t>Polar Sci.</t>
  </si>
  <si>
    <t>10.1016/j.polar.2016.09.002</t>
  </si>
  <si>
    <t>Ecology; Geosciences, Multidisciplinary</t>
  </si>
  <si>
    <t>EW2UF</t>
  </si>
  <si>
    <t>WOS:000402350800005</t>
  </si>
  <si>
    <t>Tachibana, A; Watanabe, Y; Moteki, M; Hosie, GW; Ishimaru, T</t>
  </si>
  <si>
    <t>Tachibana, Aiko; Watanabe, Yuko; Moteki, Masato; Hosie, Graham W.; Ishimaru, Takashi</t>
  </si>
  <si>
    <t>Community structure of copepods in the oceanic and neritic waters off Adelie and George V Land, East Antarctica, during the austral summer of 2008</t>
  </si>
  <si>
    <t>Zooplankton; Cluster analysis; Vertical distributions; Indian Ocean sector; Meso- and bathypelagic layers</t>
  </si>
  <si>
    <t>CONTINUOUS PLANKTON RECORDER; CALANUS-PROPINQUUS COPEPODA; SOUTHERN-OCEAN; EUPHAUSIA-SUPERBA; DISTRIBUTION PATTERNS; CALANOIDES-ACUTUS; ZOOPLANKTON COMMUNITIES; MESOSCALE DISTRIBUTION; RHINCALANUS-GIGAS; SLOPE FRONT</t>
  </si>
  <si>
    <t>Copepods are one of the most important components of the Southern Ocean food web, and are widely distributed from surface to deeper waters. We conducted discrete depth sampling to clarify the community structure of copepods from the epi- to bathypelagic layers of the oceanic and neritic waters off Adelie and George V Land, East Antarctica, in the austral summer of 2008. Notably high diversity and species numbers were observed in the meso- and bathypelagic layers. Cluster analysis based on the similarity of copepod communities identified seven cluster groups, which corresponded well with water masses. In the epi- and upper- mesopelagic layers of the oceanic zone, the SB (Southern Boundary of the Antarctic Circumpolar Current) divided copepod communities. Conversely, in the lower meso- and bathypelagic layers (500-2000 m depth), communities were consistent across the SB. In these layers, the distributions of copepod species were separated by habitat depth ranges and feeding behaviour. The different food webs occur in the epipelagic layer with habitat segregation by zooplankton in their horizontal distribution ranges. (C) 2016 Elsevier B.V. and NIPR. All rights reserved.</t>
  </si>
  <si>
    <t>[Tachibana, Aiko; Watanabe, Yuko; Moteki, Masato; Ishimaru, Takashi] Tokyo Univ Marine Sci &amp; Technol, Grad Sch, Minato Ku, 4-5-7 Konan, Tokyo 1088477, Japan; [Hosie, Graham W.] Australian Antarctic Div, Channel Highway, Kingston, Tas 7050, Australia; [Tachibana, Aiko] Univ Tokyo, Atmosphere &amp; Ocean Res Inst, 5-1-5 Kashiwanoha, Kashiwa, Chiba 2778564, Japan</t>
  </si>
  <si>
    <t>Tokyo University of Marine Science &amp; Technology; Australian Antarctic Division; University of Tokyo</t>
  </si>
  <si>
    <t>Tachibana, A (corresponding author), Tokyo Univ Marine Sci &amp; Technol, Grad Sch, Minato Ku, 4-5-7 Konan, Tokyo 1088477, Japan.;Tachibana, A (corresponding author), Univ Tokyo, Atmosphere &amp; Ocean Res Inst, 5-1-5 Kashiwanoha, Kashiwa, Chiba 2778564, Japan.</t>
  </si>
  <si>
    <t>t.aiko@aori.u-tokyo.ac.jp</t>
  </si>
  <si>
    <t>Tachibana, Aiko/0000-0002-6855-6297</t>
  </si>
  <si>
    <t>Japan Society for the Promotion of Science [114255012, 19255014, 24570020]; National Institute of Polar Research through General Collaboration Project [23-38]; Grants-in-Aid for Scientific Research [17H01618, 24570020, 19255014] Funding Source: KAKEN</t>
  </si>
  <si>
    <t>Japan Society for the Promotion of Science(Ministry of Education, Culture, Sports, Science and Technology, Japan (MEXT)Japan Society for the Promotion of Science); National Institute of Polar Research through General Collaboration Project; Grants-in-Aid for Scientific Research(Ministry of Education, Culture, Sports, Science and Technology, Japan (MEXT)Japan Society for the Promotion of ScienceGrants-in-Aid for Scientific Research (KAKENHI))</t>
  </si>
  <si>
    <t>We would like to thank the crew and officers of the TV Umitaka-maru. We also thank our scientific colleagues from a wide variety of institutes in Australia, France, Belgium and Japan for help with processing samples and hydrographic observations on board. We are also grateful to Daisuke Hirano (TUMSAT) for assistance in understanding water masses and oceanic fronts. Atsushi Ono and Ryoji Toda (TUMSAT) kindly provided information on the biology and identification of euphausiacea and siphonophore, respectively. This survey was conducted as part of CEAMARC programme, and was supported by a Grant-in-Aid for Scientific Research from the Japan Society for the Promotion of Science (Nos. 114255012 and 19255014 for T. Ishimaru and No. 24570020 for M. Moteki) and the National Institute of Polar Research through General Collaboration Project no. 23-38.</t>
  </si>
  <si>
    <t>10.1016/j.polar.2016.06.007</t>
  </si>
  <si>
    <t>WOS:000402350800006</t>
  </si>
  <si>
    <t>Takahashi, KT; Hosie, GW; Odate, T</t>
  </si>
  <si>
    <t>Takahashi, Kunio T.; Hosie, Graham W.; Odate, Tsuneo</t>
  </si>
  <si>
    <t>Intra-annual seasonal variability of surface zooplankton distribution patterns along a 110°E transect of the Southern Ocean in the austral summer of 2011/12</t>
  </si>
  <si>
    <t>Continuous Plankton Recorder (CPR); Copepods; Community structure</t>
  </si>
  <si>
    <t>CONTINUOUS PLANKTON RECORDER; DIEL VERTICAL MIGRATION; METRIDIA-LUCENS; COPEPODS; SEA; COMMUNITIES; ASSEMBLAGES; ANTARCTICA; SUCCESSION; INDICATOR</t>
  </si>
  <si>
    <t>Seasonal cycles can provide insight into the interactions between zooplankton and the environment. However, few intra-annual seasonal studies have been undertaken in the Southern Ocean. We investigated the composition, distribution, and abundance of micro- and meso-zooplankton along the 110 degrees E meridian with three transects in December 2011, January and March 2012 using a Continuous Plankton Recorder. High zooplankton abundance was recorded in the Polar Frontal Zone (PFZ) and the Antarctic Zone (AZ) in both day and night at all transects with 179.0-300.9 ind. m(-3). The small copepods Oithona similis, Ctenocalanus citer, and copepodites indet (copepod indeterminable) were dominant in the PFZ and AZ communities. Total zooplankton abundance was comparatively consistent among transects. Nighttime abundance levels remained high in the AZ in March with high abundance of copepodites indet. This seasonal fluctuation appeared to be influenced by recruitment of new populations. Most core species/taxa, except for O. similis, C. citer, and foraminiferans in the AZ area in early January, exhibited a diel decrease in abundance. A multi-ship intra-annual seasonal survey. will help detect their various regional and/or seasonal distribution patterns, and the impacts, of environmental change on Southern Ocean pelagic ecosystems. (C) 2016 Elsevier B.V. and NIPR. All rights reserved.</t>
  </si>
  <si>
    <t>[Takahashi, Kunio T.; Odate, Tsuneo] Natl Inst Polar Res, 10-3 Midori Cho, Tachikawa, Tokyo 1908518, Japan; [Takahashi, Kunio T.; Odate, Tsuneo] SOKENDAI Grad Univ Adv Studies, 10-3 Midori Cho, Tachikawa, Tokyo 1908518, Japan; [Hosie, Graham W.] Australian Antarctic Div, Channel Highway, Kingston, Tas 7050, Australia</t>
  </si>
  <si>
    <t>Research Organization of Information &amp; Systems (ROIS); National Institute of Polar Research (NIPR) - Japan; Graduate University for Advanced Studies - Japan; Australian Antarctic Division</t>
  </si>
  <si>
    <t>Takahashi, KT (corresponding author), Natl Inst Polar Res, 10-3 Midori Cho, Tachikawa, Tokyo 1908518, Japan.</t>
  </si>
  <si>
    <t>takahashi.kunio@nipr.ac.jp</t>
  </si>
  <si>
    <t>Japanese Antarctic Research Expedition (JARE); National Institute of Polar Research (NIPR) through Project Research [KP-4]; Grants-in-Aid for Scientific Research [17H01618, 16H02970] Funding Source: KAKEN</t>
  </si>
  <si>
    <t>Japanese Antarctic Research Expedition (JARE); National Institute of Polar Research (NIPR) through Project Research; Grants-in-Aid for Scientific Research(Ministry of Education, Culture, Sports, Science and Technology, Japan (MEXT)Japan Society for the Promotion of ScienceGrants-in-Aid for Scientific Research (KAKENHI))</t>
  </si>
  <si>
    <t>The authors thank Dr. Takahiro Iida for collecting samples. We express our heartfelt appreciation to all members of the 53rd Japanese Antarctic Research Expedition (JARE) for their support. We are also grateful to the officers and crew of the ice-breaker Shirase and the T/V Umitaka-maru for their assistance during the cruise. This research was supported in part by the National Institute of Polar Research (NIPR) through Project Research no. KP-4. The study is also part of the Science Program of JARE AMB-2.</t>
  </si>
  <si>
    <t>10.1016/j.polar.2016.06.009</t>
  </si>
  <si>
    <t>WOS:000402350800007</t>
  </si>
  <si>
    <t>Ono, A; Moteki, M</t>
  </si>
  <si>
    <t>Ono, Atsushi; Moteki, Masato</t>
  </si>
  <si>
    <t>Spatial distribution of Salpa thompsoni in the high Antarctic area off Adelie Land, East Antarctica during the austral summer 2008</t>
  </si>
  <si>
    <t>Salpa thompsoni; Population structure; Spatial distribution; Indian Ocean sector; Southern Ocean</t>
  </si>
  <si>
    <t>KRILL-COPEPOD INTERACTIONS; SEA-ICE EXTENT; SOUTHERN-OCEAN; EUPHAUSIA-SUPERBA; COMMUNITY STRUCTURE; SALP/KRILL INTERACTIONS; POPULATION-STRUCTURE; ATLANTIC SECTOR; CARBON FLUX; ABUNDANCE</t>
  </si>
  <si>
    <t>The salp Salpa thompsoni has the potential to alter the Southern Ocean ecosystem through competition with krill Euphausia superba. Information on the reproductive status of S. thompsoni in the high Southern Ocean is thus essential to understanding salp population growth and predicting changes in the Southern Ocean ecosystem. We carried out stratified and quantitative sampling from the surface to a depth of 2000 m during the austral summer of 2008 to determine the spatial distribution and population structure of S. thompsoni in the Southern Ocean off Adelie Land. We found two salp species, S. thompsoni and Ihlea racovitzai, with the former being dominant. S. thompsoni was distributed north of the continental slope area, while I. racovitzai was observed in the neritic zone. Mature aggregates and solitary specimens of S. thompsoni were found south of the Southern Boundary of the Antarctic Circumpolar Current, suggesting that S. thompsoni is able to complete its life cycle in high Antarctic waters during the austral summer. However, S. thompsoni was sparsely distributed in the continental slope area, and absent south of the Antarctic Slope Front, suggesting that it is less competitive with krill for food in the slope area off Adelie Land, where krill is densely distributed during the austral summer. (C) 2016 Elsevier B.V. and NIPR. All rights reserved.</t>
  </si>
  <si>
    <t>[Ono, Atsushi; Moteki, Masato] Tokyo Univ Marine Sci &amp; Technol, Dept Ocean Sci, Minato Ku, 4-5-7 Konan, Tokyo 1088477, Japan; [Ono, Atsushi] Marine Works Japan Ltd, Marine Chem Sect 1, Off Marine Chem, Dept Marine &amp; Earth Sci, 2-15 Natsushima, Yokosuka, Kanagawa 2370061, Japan</t>
  </si>
  <si>
    <t>Tokyo University of Marine Science &amp; Technology</t>
  </si>
  <si>
    <t>Ono, A (corresponding author), Tokyo Univ Marine Sci &amp; Technol, Dept Ocean Sci, Minato Ku, 4-5-7 Konan, Tokyo 1088477, Japan.;Ono, A (corresponding author), Marine Works Japan Ltd, Marine Chem Sect 1, Off Marine Chem, Dept Marine &amp; Earth Sci, 2-15 Natsushima, Yokosuka, Kanagawa 2370061, Japan.</t>
  </si>
  <si>
    <t>onoa@mwj.co.jp</t>
  </si>
  <si>
    <t>[14255012]; [19255014]; [15H05239]; Grants-in-Aid for Scientific Research [17H01618] Funding Source: KAKEN</t>
  </si>
  <si>
    <t>; ; ; Grants-in-Aid for Scientific Research(Ministry of Education, Culture, Sports, Science and Technology, Japan (MEXT)Japan Society for the Promotion of ScienceGrants-in-Aid for Scientific Research (KAKENHI))</t>
  </si>
  <si>
    <t>We thank the captain, officers and crew of the TV Umitaka-maru (TUMSAT) and all on-board students in the Advanced Course for Marine Science and Technology for their outstanding assistance in sample collections. We also thank our scientific colleagues from various institutes for help with processing the samples and with the on-board hydrographic observations. The survey in 2008 was conducted as a part of the Collaborative East Antarctic Marine Census (CEAMARC) program. The present study was supported by Grants-in-Aid for Science (Nos. 14255012 and 19255014 for T. Ishimaru of TUMSAT and No. 15H05239 for M. Moteki). Finally, we would like to thank T. Ishimaru and G. W. Hosie (Australian Antarctic Division), who encouraged our study as the cruise leader and CEAMARC leader, respectively.</t>
  </si>
  <si>
    <t>10.1016/j.polar.2016.11.005</t>
  </si>
  <si>
    <t>WOS:000402350800009</t>
  </si>
  <si>
    <t>Amakasu, K; Mukai, T; Moteki, M</t>
  </si>
  <si>
    <t>Amakasu, Kazuo; Mukai, Tohru; Moteki, Masato</t>
  </si>
  <si>
    <t>Measurement of the volume-backscattering spectrum from an aggregation of Antarctic krill and inference of their length-frequency distribution</t>
  </si>
  <si>
    <t>Least-squares inversion; Prolate spheroid; Signal-to-noise ratio; Target strength; Theoretical scattering model</t>
  </si>
  <si>
    <t>POST-PROCESSING TECHNIQUE; EUPHAUSIA-SUPERBA; BROAD-BAND; TARGET STRENGTH; ACOUSTIC-SCATTERING; EAST ANTARCTICA; SOUND-SCATTERING; FISH ORIENTATION; BACKGROUND-NOISE; AUSTRAL SUMMER</t>
  </si>
  <si>
    <t>Antarctic krill, Euphausia superba, were observed using a broadband echosounder and their length density distribution was inferred from the echo data through a least square inversion. The observation was conducted in the Indian Ocean sector of the Southern Ocean in January 2014. The transmit signal was a 10-ms linear frequency-modulated signal with a frequency sweep of 20-200 kHz. A large aggregation of Antarctic krill was observed at a sampling station over the continental shelf. The volume-backscattering strengths in the frequency range of 85-187 kHz were determined from the observed echoes. In addition, the signal-to-noise ratio at each frequency was estimated and the measured volume-backscattering strengths were evaluated before inversion for accurate inferences. In this inversion, Antarctic krill were modeled as prolate spheroids and the target strengths were predicted by the distorted-wave Born approximation. The acoustically inferred mean length was in good agreement with the mode length determined by a net sampling performed immediately after the echo sampling. Also, the acoustically inferred length-frequency distribution was in reasonable agreement with the determined one from the net samples. (C) 2017 Elsevier B.V. and NIPR. All rights reserved.</t>
  </si>
  <si>
    <t>[Amakasu, Kazuo; Moteki, Masato] Tokyo Univ Marine Sci &amp; Technol, Minato Ku, 4-5-7 Konan, Tokyo 1088477, Japan; [Mukai, Tohru] Hokkaido Univ, Fac Fisheries Sci, 3-1-1 Minato, Hakodate, Hokkaido 0418611, Japan; [Moteki, Masato] Natl Inst Polar Res, 10-3 Midori Cho, Tachikawa, Tokyo 1908518, Japan</t>
  </si>
  <si>
    <t>Tokyo University of Marine Science &amp; Technology; Hokkaido University; Research Organization of Information &amp; Systems (ROIS); National Institute of Polar Research (NIPR) - Japan</t>
  </si>
  <si>
    <t>Amakasu, K (corresponding author), Tokyo Univ Marine Sci &amp; Technol, Minato Ku, 4-5-7 Konan, Tokyo 1088477, Japan.</t>
  </si>
  <si>
    <t>amakasu@kaiyodai.ac.jp</t>
  </si>
  <si>
    <t>AMAKASU, Kazuo/O-1857-2014; Mukai, Tohru/F-9143-2012</t>
  </si>
  <si>
    <t>MUKAI, TOHRU/0000-0002-7211-9727</t>
  </si>
  <si>
    <t>JSPS [23686127, 24570020]; National Institute of Polar Research through General Collaboration Project [23-38]; Grants-in-Aid for Scientific Research [23686127, 17H01618, 24570020] Funding Source: KAKEN</t>
  </si>
  <si>
    <t>JSPS(Ministry of Education, Culture, Sports, Science and Technology, Japan (MEXT)Japan Society for the Promotion of Science); National Institute of Polar Research through General Collaboration Project; Grants-in-Aid for Scientific Research(Ministry of Education, Culture, Sports, Science and Technology, Japan (MEXT)Japan Society for the Promotion of ScienceGrants-in-Aid for Scientific Research (KAKENHI))</t>
  </si>
  <si>
    <t>The authors thank the officers, crew, cadets, coordinators of Observation and Research Center for Ocean Systems of TUMSAT, and fellow researchers on the TV Umitaka-maru for their cooperation in the field observation. In particular, N. Hirose and A. Takeishi, who are former graduate students of the TUMSAT, are thanked for their contributions to this study. The authors also thank T. Sasakura and Y. Abe of Fusion Inc. for their kind support in the construction of the broadband echosounder. The officers and crew of the Training ship Ushio Maru and a former graduate student Y. Fukuda of Hokkaido University are thanked for their cooperation in the previous sea trial before the field observation in the Southern Ocean. This work was supported by the JSPS Grant Numbers 23686127 for K. Amakasu and 24570020 for M. Moteki, and the National Institute of Polar Research through General Collaboration Project no. 23-38.</t>
  </si>
  <si>
    <t>10.1016/j.polar.2017.02.007</t>
  </si>
  <si>
    <t>WOS:000402350800010</t>
  </si>
  <si>
    <t>Moteki, M; Tsujimura, E; Hulley, PA</t>
  </si>
  <si>
    <t>Moteki, Masato; Tsujimura, Eri; Hulley, Percy-Alexander</t>
  </si>
  <si>
    <t>Developmental intervals during the larval and juvenile stages of the Antarctic myctophid fish Electrona antarctica in relation to changes in feeding and swimming functions</t>
  </si>
  <si>
    <t>Early life history; Myctophidae; Osteological development; Southern Ocean; Transformation stage</t>
  </si>
  <si>
    <t>APPARATUS; PATTERNS</t>
  </si>
  <si>
    <t>The Antarctic myctophid fish species Electrona antarctica is believed to play a key role in the Southern Ocean food web, but there have been few studies on its early life history. This study examined the developmental changes in the external morphology and osteology of E. antarctica from the early larva to juvenile stages through the transformation phase and inferred changes in its behaviour and feeding mode. Once the larvae reached 12-13 mm body length (BL), they adopted a primordial suction feeding mode along with the acquisition of early swimming capabilities. Thereafter, both swimming and feeding functions were enhanced through fin development and ossification and acquisition of elements of the jaw and suspensorium. These processes indicate that larvae transition from the planktonic to nektonic phase upon reaching 12-13 mm BL when they enhance their both swimming and feeding abilities with growth. Transformation occurred when larvae reached 19-21 mm BL with changes such as discontinuous increases in eye diameter and upper jaw length and the appearance of photophores and dense body pigmentation. Osteological development of swimming- and feeding-related structures were mostly complete after transformation. Rapid changes in external morphology and osteology during the transformation stage are most likely related to ontogenetic vertical migration into deep waters. (C) 2017 Elsevier B.V. and NIPR. All rights reserved.</t>
  </si>
  <si>
    <t>[Moteki, Masato; Tsujimura, Eri] Tokyo Univ Marine Sci &amp; Technol, Dept Ocean Sci, Minato Ku, 4-5-7 Konan, Tokyo 1088477, Japan; [Moteki, Masato] Natl Inst Polar Res, 10-3 Midori Cho, Tachikawa, Tokyo 1908518, Japan; [Hulley, Percy-Alexander] Iziko South African Museum, POB 61, ZA-8000 Cape Town, South Africa</t>
  </si>
  <si>
    <t>Tokyo University of Marine Science &amp; Technology; Research Organization of Information &amp; Systems (ROIS); National Institute of Polar Research (NIPR) - Japan</t>
  </si>
  <si>
    <t>Moteki, M (corresponding author), Tokyo Univ Marine Sci &amp; Technol, Dept Ocean Sci, Minato Ku, 4-5-7 Konan, Tokyo 1088477, Japan.</t>
  </si>
  <si>
    <t>masato@kaiyodai.ac.jp</t>
  </si>
  <si>
    <t>National Institute of Polar Research [KP-4]; [15H05239]; Grants-in-Aid for Scientific Research [17H01618] Funding Source: KAKEN</t>
  </si>
  <si>
    <t>National Institute of Polar Research(National Institute of Polar Research (NIPR) - Japan); ; Grants-in-Aid for Scientific Research(Ministry of Education, Culture, Sports, Science and Technology, Japan (MEXT)Japan Society for the Promotion of ScienceGrants-in-Aid for Scientific Research (KAKENHI))</t>
  </si>
  <si>
    <t>We are grateful to the captain, officers and crew of TV Umitakamaru. This study was supported in part by a Grant-in-Aid for Science (No. 15H05239 for M. Moteki) and by the National Institute of Polar Research through project research no. KP-4.</t>
  </si>
  <si>
    <t>10.1016/j.polar.2017.02.006</t>
  </si>
  <si>
    <t>WOS:000402350800011</t>
  </si>
  <si>
    <t>Thamban, M</t>
  </si>
  <si>
    <t>Thamban, Meloth</t>
  </si>
  <si>
    <t>Antarctic Palaeoclimatic Reconstruction Using Ice Cores: Indian Initiatives During 2008-2016</t>
  </si>
  <si>
    <t>PROCEEDINGS OF THE INDIAN NATIONAL SCIENCE ACADEMY</t>
  </si>
  <si>
    <t>DRONNING MAUD LAND; CLIMATE-CHANGE; RECORDS</t>
  </si>
  <si>
    <t>Study of ice core proxy records provide one of the most direct and accurate method to study the Antarctic climate change beyond the instrumental limits. Understanding the Antarctic climate variability on millennial, centennial to decadal level is crucial to our knowledge on the role and response of Antarctic ice sheets to the global climate variability. The Indian ice core studies have made significant contributions to the understanding of Antarctic climate variability and the various factors involved. The proxy environmental parameters used include temporal variability of stable isotopes, trace metal chemistry, ionic composition, dust particulates, and microbial components that are indicators of environmental change in the coastal Antarctica. Ice core proxy based reconstruction revealed significant changes in Southern Hemispheric climate during the past several hundreds of years. The study also revealed the utility of shallow ice cores in reconstructing the past changes in major climatic modes like the El Nino Southern Oscillation (ENSO) and Southern Annular Mode (SAM).</t>
  </si>
  <si>
    <t>[Thamban, Meloth] ESSO Natl Ctr Antarctic &amp; Ocean Res, Headland Sada 403004, Goa, India</t>
  </si>
  <si>
    <t>Ministry of Earth Sciences (MoES) - India; National Centre for Polar and Ocean Research (NCPOR)</t>
  </si>
  <si>
    <t>Thamban, M (corresponding author), ESSO Natl Ctr Antarctic &amp; Ocean Res, Headland Sada 403004, Goa, India.</t>
  </si>
  <si>
    <t>meloth@ncaor.gov.in</t>
  </si>
  <si>
    <t>Thamban, Meloth/0000-0003-3379-8189</t>
  </si>
  <si>
    <t>Ministry of Earth Sciences (New Delhi)</t>
  </si>
  <si>
    <t>Ministry of Earth Sciences (New Delhi) is acknowledged for the financial support. The author is grateful to the large efforts made by various scientists at National Centre for Antarctic and Ocean Research and Geological Survey of India to retrieve the ice cores and conduct painstaking analyses. Special thanks are to: Arun Chaturvedi (GSI), A. Rajakumar (IIT-Kharagpur), Prakash Shrivastava (GSI), Sushant Naik (NIO), C.M. Laluraj (NCAOR), Waliur Rahaman (NCAOR), K. Mahalinganathan (NCAOR), B. L. Redkar ( NCAOR), and Ashish Paiguinkar (NCAOR). This is the NCAOR contribution No. 37/2016.</t>
  </si>
  <si>
    <t>INDIAN NAT SCI ACAD</t>
  </si>
  <si>
    <t>NEW DELHI</t>
  </si>
  <si>
    <t>BAHADUR SHAH ZAFAR MARG, NEW DELHI 110002, INDIA</t>
  </si>
  <si>
    <t>0370-0046</t>
  </si>
  <si>
    <t>P INDIAN NATL SCI AC</t>
  </si>
  <si>
    <t>Proc. Indian Natl. Sci. Acad.</t>
  </si>
  <si>
    <t>10.16943/ptinsa/2017/48944</t>
  </si>
  <si>
    <t>Emerging Sources Citation Index (ESCI)</t>
  </si>
  <si>
    <t>EV1YI</t>
  </si>
  <si>
    <t>WOS:000401547500002</t>
  </si>
  <si>
    <t>Shrivastava, PK; Roy, SK; Bhai, HY</t>
  </si>
  <si>
    <t>Shrivastava, Prakash K.; Roy, Sandip K.; Bhai, Hamza Y.</t>
  </si>
  <si>
    <t>Antarctic Glacier Monitoring</t>
  </si>
  <si>
    <t>Polar ice is an important component of the natural system, affecting global climate on large as well as small scale. The Antarctic ice sheet has undergone significant changes in the past and governed the earth's climatic system. This ice sheet appears to have been very dynamic and yet, not much is known about the processes involved for this dynamism. Glaciological studies in parts of Central Donning Maud Land (cDML) of East Antarctica include monitoring the changes of Antarctic ice sheet overriding the Schirmacher Oasis, measurement of snow accumulation on the ice sheet, study of subsurface topography and ice sheet dynamics. In the last three decades, Dakshin Gangotri (DG) glacier snout, which is a part of East Antarctic Ice sheet (EAIS) overriding Schirmacher Oasis shows continuous recession. There are major peaks of recession in every five year cycle. The higher average annual surface air temperature leads to the greater recession in the next year. Interestingly, this recessional trend of DG snout does not show perfect correlation with the meteorological parameters (such as surface air temperature, ground temperature, wind speed, etc.) of this area. This all reflect towards the existence of very complex equation for the recession of ice sheet and snow and ice characterization in this part of Antarctica. The vector component of ice sheet shows differential movement all along the southern edge of Schirmacher Oasis. The average annual recession of snout has shown positive correlation with the mean annual runoff and negative correlation with annual mass balance of the area.</t>
  </si>
  <si>
    <t>[Shrivastava, Prakash K.; Roy, Sandip K.; Bhai, Hamza Y.] Geol Survey India, Polar Studies Div, Faridabad 121001, India</t>
  </si>
  <si>
    <t>Geological Survey India</t>
  </si>
  <si>
    <t>Shrivastava, PK (corresponding author), Geol Survey India, Polar Studies Div, Faridabad 121001, India.</t>
  </si>
  <si>
    <t>pks.shri@gmail.com</t>
  </si>
  <si>
    <t>10.16943/ptinsa/2017/48945</t>
  </si>
  <si>
    <t>WOS:000401547500003</t>
  </si>
  <si>
    <t>Pant, NC; Roy, S; Ravikant, V; Ravindra, R</t>
  </si>
  <si>
    <t>Pant, Naresh C.; Roy, Sandip; Ravikant, V.; Ravindra, Rasik</t>
  </si>
  <si>
    <t>Recent Contributions to the Antarctic Geology - An Indian Perspective</t>
  </si>
  <si>
    <t>EAST-AFRICAN OROGEN; DRONNING MAUD LAND; SCHIRMACHER OASIS; LARSEMANN HILLS; SIZE DISTRIBUTION; GRAIN; LAKE; GEOCHEMISTRY; GRANULITES; PROMONTORY</t>
  </si>
  <si>
    <t>Indian geoscientists have been studying Antarctic geology for three and a half decades in Antarctica. The studies were mainly carried out in campaign mode for long but have now assumed greater focus as these have started investigating scientific questions of global interests. Starting from early report of anorogenic magmatism in the central Dronning Maud Land (cDML), identification and description of magmatic charnockites representing a chemically distinct magma to characterizing and confirming the continuation of East African Orogen in Antarctica. These studies represent some of the key contributions besides providing the baseline geological maps of the cDML area. The establishment of permanent station at the Larsemann Hills has allowed wider India-Antarctica geological correlation. The land-sea-ice interface in the cDML and use of marine sediments as archives of ice-sheet fluctuations as well as providing clues to the sub-ice geology is demonstrated from the Wilkes Land sector in east Antarctica. These ice-sheet proximal deposits allow reconstruction of time-constrained advance and retreat of the east Antarctic ice sheet. The contributions include study of Quaternary deposits, especially the lake deposits which have significant bearing on understanding the ice sheet behavior during late Quaternary. Increasing participation in global scientific programs, multidisciplinary studies and active involvement in Scientific Committee on Antarctic Research (SCAR) specially in geoscience augurs well for future progress of Antarctic geoscience studies in India.</t>
  </si>
  <si>
    <t>[Pant, Naresh C.] Univ Delhi, Dept Geol, Delhi 110007, India; [Roy, Sandip] Geol Survey India, NH 5P, Nit Faridabad 121001, India; [Ravikant, V.] Indian Inst Technol, Kharagpur 721302, W Bengal, India; [Ravindra, Rasik] Minist Earth Sci, New Delhi 110003, India</t>
  </si>
  <si>
    <t>University of Delhi; Geological Survey India; Indian Institute of Technology System (IIT System); Indian Institute of Technology (IIT) - Kharagpur; Ministry of Earth Sciences (MoES) - India</t>
  </si>
  <si>
    <t>Pant, NC (corresponding author), Univ Delhi, Dept Geol, Delhi 110007, India.</t>
  </si>
  <si>
    <t>pantnc@gmail.com</t>
  </si>
  <si>
    <t>10.16943/ptinsa/2017/48948</t>
  </si>
  <si>
    <t>WOS:000401547500004</t>
  </si>
  <si>
    <t>Nair, A; Mohan, R</t>
  </si>
  <si>
    <t>Nair, Abhilash; Mohan, Rahul</t>
  </si>
  <si>
    <t>Paleoclimatic Signals from the Proxy Records of the Southern Ocean : A Review</t>
  </si>
  <si>
    <t>MAJOR DIATOM TAXA; INDIAN SECTOR; SURFACE SEDIMENTS; LATE QUATERNARY; PALAEOCEANOGRAPHIC IMPLICATIONS; PLANKTIC FORAMINIFERA; GLOBIGERINA-BULLOIDES; IRON FERTILIZATION; FRONTAL SYSTEMS; OXYGEN</t>
  </si>
  <si>
    <t>Antarctic sea-ice extent and oceanic frontal systems are of primary importance to the marine biota since their marked meridional gradients in physical and chemical properties strongly regulate the phytoplankton contribution to primary productivity. Antarctic sea ice extent along with the Southern Ocean (SO) biological productivity varied considerably during glacial-interglacial periods, and both are known to have played a considerable role in regulating atmospheric CO 2 variations in the past. In the present review paper, we seek to understand the past latitudinal variability of the Southern Ocean frontal systems and Antarctic sea-ice extent based on a multi-proxy approach. The first aspect of this paper concentrates on the diatom based reconstructions of paleo sea-ice and hydrographic changes in the Southern Ocean and its impact on diatom sizes and productivity. Secondly, emphasis would be placed on the studies based on the morphology and isotopic composition of foraminifera and its paleoceanographic implication. The foraminifera shell preserved in the sediments provide unparalleled archives of morphological change, faunal variations, and habitat characteristics as a result of hydrographic changes. To sum up, the advantage of a mulitproxy approach including the magnetic, geochemical and sedimentological parameters have been discussed in understanding the Southern Ocean paleoclimate.</t>
  </si>
  <si>
    <t>[Nair, Abhilash; Mohan, Rahul] Govt India, Minist Earth Sci, ESSO, Antarctic Sci Div,Natl Ctr Antarctic &amp; Ocean Res, Vasco Da Gama 403804, Goa, India</t>
  </si>
  <si>
    <t>Ministry of Earth Sciences (MoES) - India; National Centre for Polar and Ocean Research (NCPOR); Earth System Science Organization (ESSO)</t>
  </si>
  <si>
    <t>Mohan, R (corresponding author), Govt India, Minist Earth Sci, ESSO, Antarctic Sci Div,Natl Ctr Antarctic &amp; Ocean Res, Vasco Da Gama 403804, Goa, India.</t>
  </si>
  <si>
    <t>rahulmohan@ncaor.gov.in</t>
  </si>
  <si>
    <t>NCAOR; Ministry of Earth Sciences (MoES), India</t>
  </si>
  <si>
    <t>We wish to thank the Director, NCAOR, and Ministry of Earth Sciences (MoES), India, for providing the funds for the research program at ESSO-NCAOR. We would also like to express our gratitude toward the members of the pilot expedition to the Southern Ocean, Dr. Shailesh Nayak, Distinguished Scientist, Ministry of Earth Sciences for encouraging us to write this review article. A special thanks to the anonymous reviewers and Antarctic Sciences division, ESSO-NCAOR for the contributions made toward this study. This is NCAOR contribution number 41/2016.</t>
  </si>
  <si>
    <t>10.16943/ptinsa/2017/48949</t>
  </si>
  <si>
    <t>WOS:000401547500005</t>
  </si>
  <si>
    <t>Sinha, AK; Dhar, A; Singh, AK; Behera, JK; Gurubaran, S</t>
  </si>
  <si>
    <t>Sinha, Ashwini K.; Dhar, Ajay; Singh, Anand K.; Behera, Jayanta K.; Gurubaran, S.</t>
  </si>
  <si>
    <t>India′s Contribution to Geomagnetism and Allied Studies in Antarctica - A Review</t>
  </si>
  <si>
    <t>ATMOSPHERIC ELECTRICAL PARAMETERS; COSMIC NOISE ABSORPTION; HIGH-LATITUDE SUBSTORMS; EQUATORWARD BOUNDARY; IMAGING RIOMETER; MAGNETIC-FIELD; STATION MAITRI; AURORAL OVAL; SOLAR-WIND; THUNDERSTORMS</t>
  </si>
  <si>
    <t>In this paper, we review the progress in Geomagnetism and allied areas based on the past thirty five Indian Antarctic expeditions and summarize the scientific results obtained in the last decade. Various dynamic processes in the near-Earth space environment, driven by the transient changes in geomagnetic field such as storms and substorms, severely affect the space weather over the Polar Regions. Magnetopsheric substorms lead to the intensification of ionospheric currents and auroral outbursts within the auroral oval, causing energetic charged particles in the auroral region to come down to D-region ionosphere, which is reflected as Cosmic Noise Absorption (CNA) as monitored by imaging RIOmeter at Indian Antarctic station, Maitri (Geog. 70.75 degrees S, 11.73 degrees E; Geom. 66.84 degrees S, 56.29 degrees E). A systematic rapid decline in The Earths complex main magnetic field at Maitri (similar to 110 nT/yr) is important for monitoring the evolution of reverse magnetic flux patches due to physical processes occurring in the outer core of the Earth. The Global Electric Circuit (GEC) studies were started to understand the solar-terrestrial relationship and associated changes in surface weather and the near-earth electrical environment. Schumann resonances (SRs), the AC part of GEC reveal a strong UT variation of amplitude in seasonal as well as yearly time scales. The observed diurnal variation is explained in terms of the dominant thunderstorm activity centered over the three convectively active regions, viz. Asia/Maritime Continent (Indonesia), South America and Africa. The velocity and strain distribution of Schirmarchaer Glacier was investigated during two GPS campaigns in the year 2003 and 2004. The studies indicate that the horizontal velocity is in the range of 1.89-10.88 ma(-1) with an average velocity of 6.21 ma(-1).</t>
  </si>
  <si>
    <t>[Sinha, Ashwini K.; Dhar, Ajay; Behera, Jayanta K.; Gurubaran, S.] Indian Inst Geomagnetism, Plot 5,Sect 18, New Panvel W 410218, Navi Mumbai, India; [Singh, Anand K.] ESSO NCAOR, Vasco Da Gama, Goa, India</t>
  </si>
  <si>
    <t>Department of Science &amp; Technology (India); Indian Institute of Geomagnetism (IIG); Ministry of Earth Sciences (MoES) - India; National Centre for Polar and Ocean Research (NCPOR)</t>
  </si>
  <si>
    <t>Sinha, AK (corresponding author), Indian Inst Geomagnetism, Plot 5,Sect 18, New Panvel W 410218, Navi Mumbai, India.</t>
  </si>
  <si>
    <t>sinha.ashwini@gmail.com</t>
  </si>
  <si>
    <t>Sinha, Ashwini Kumar/0000-0003-1329-6579</t>
  </si>
  <si>
    <t>Indian Institute of Geomagnetism</t>
  </si>
  <si>
    <t>Indian Institute of Geomagnetism(Department of Science &amp; Technology (India))</t>
  </si>
  <si>
    <t>The authors are grateful to Indian Institute of Geomagnetism for encouragement and support to Antarctic Geomagnetism project. The hard work and efforts of all the scientists from IIG, who have participated in Indian Antarctic Expeditions, collected good quality geomagnetic data on a regular basis and contributed to these studies and their contributions are gratefully acknowledged. We are grateful to ESSO-NCAOR for arranging annual Antarctic expeditions and providing full logistic support to enable participating scientific organizations to carry out scientific studies.</t>
  </si>
  <si>
    <t>10.16943/ptinsa/2017/48955</t>
  </si>
  <si>
    <t>WOS:000401547500007</t>
  </si>
  <si>
    <t>Gantait, VV; Chandra, K</t>
  </si>
  <si>
    <t>Gantait, Viswa Venkat; Chandra, Kailash</t>
  </si>
  <si>
    <t>Faunal Diversity in Antarctica: Contributions of Zoological Survey of India</t>
  </si>
  <si>
    <t>Antarctica, the fifth largest continent of the planet covers an area of about 14 million square kilometres. Topographically it is divided into two geographic regions: West Antarctica and East Antarctica. It is also divided into three main ecological zones with distinctive climatic and biotic characteristics: the Continental, Maritime and Sub-Antarctic zone. Only about 2% of ice-free area; harsh climatic conditions; combinations of freezing temperatures, poor soil quality, lack of moisture and sunlight inhibit the faunal composition in the continent. Over 150 years of biological researches on Antarctic region recorded more than 1500 species of invertebrates and about 200 species of vertebrates. The major common groups of invertebrates known to occur are Protozoa, Acarina, Nematoda, Collembola, Rotifera and Tardigrada. Vertebrate fauna includes different species of fishes, birds, mammals etc. Though Indian Scientific Expedition to Antarctica started in 1981, Zoological Survey of India joined the mission of Antarctic Expedition in 1989. Since then, thirteen scientists successfully participated in thirteen different expeditions. Their sincere endeavour and zeal to work in the extreme inhospitable climatic conditions of the continent resulted in the description of 5 new species, first records of 5 families, 25 genera and 92 species of different invertebrate and vertebrate groups. Though some works have been done on taxonomic and ecological studies on different invertebrate groups by ZSI scientists, yet more studies are needed to explore the terrestrial and moss inhabiting invertebrate fauna from the continent.</t>
  </si>
  <si>
    <t>[Gantait, Viswa Venkat; Chandra, Kailash] Zool Survey India, M Block, Kolkata 700053, India</t>
  </si>
  <si>
    <t>Zoological survey of India</t>
  </si>
  <si>
    <t>Gantait, VV (corresponding author), Zool Survey India, M Block, Kolkata 700053, India.</t>
  </si>
  <si>
    <t>v.gantait@rediffmail.com</t>
  </si>
  <si>
    <t>CHANDRA, KAILASH/AAU-5395-2020</t>
  </si>
  <si>
    <t>CHANDRA, KAILASH/0000-0001-9076-5442</t>
  </si>
  <si>
    <t>2454-9983</t>
  </si>
  <si>
    <t>10.16943/ptinsa/2017/48959</t>
  </si>
  <si>
    <t>WOS:000401547500009</t>
  </si>
  <si>
    <t>Anilkumar, N; Sabu, P</t>
  </si>
  <si>
    <t>Anilkumar, N.; Sabu, P.</t>
  </si>
  <si>
    <t>Physical Process Influencing the Ecosystem of the Indian Sector of Southern Ocean-An Overview</t>
  </si>
  <si>
    <t>ANTARCTIC CIRCUMPOLAR CURRENT; AUSTRAL SUMMER; WATER MASSES; BOTTOM WATER; PRYDZ BAY; THERMOHALINE STRUCTURE; HYDROGRAPHIC SECTION; FRONTAL STRUCTURE; SEA; VARIABILITY</t>
  </si>
  <si>
    <t>The Antarctic Circumpolar Current (ACC) is the key current system in the Southern Ocean (SO) which connects three major oceans. The eastward flowing ACC in the Indian sector of SO (IOSO) influences by the southwest Indian ridge and Weddell gyre which results a southward shift of the core of ACC. This brings warm water to the coastal Antarctica and may cause glacier/sea-ice melting and further warming and freshening of bottom water masses. Additionally eddies in IOSO are the principal mechanism which transfer heat, salt, and carbon poleward across the zonal ACC and contribute to the mixing of water masses. The southward intrusions of Subtropical Surface Water as well as the upward movement of Antarctic Intermediate Water are attributed to the influence of anticyclonic and cyclonic eddies respectively. Presence of upwelling in the coastal waters of Antarctica (Prydz Bay), increased sea ice extant and subsequent enhanced melting in positive Southern Annular Mode (SAM) events causes high chlorophyll a in the coastal waters as well as south of Polar Front during austral summer, which perhaps makes the IOSO a potential site for CO2 sink. Further, the bottom waters from this region may bring the dissolved CO2 which is getting ventilated in subtropics. However detailed investigations covering seasons are required to be implemented using Models and Observations (Both satellite and in-situ) for a better understanding about the IOSO ecosystem and it's links to Tropical Ocean.</t>
  </si>
  <si>
    <t>[Anilkumar, N.; Sabu, P.] Earth Syst Sci Org, Natl Ctr Antarctic &amp; Ocean Res, Vasco Da Gama 403804, Goa, India</t>
  </si>
  <si>
    <t>Earth System Science Organization (ESSO); Ministry of Earth Sciences (MoES) - India; National Centre for Polar and Ocean Research (NCPOR)</t>
  </si>
  <si>
    <t>Anilkumar, N (corresponding author), Earth Syst Sci Org, Natl Ctr Antarctic &amp; Ocean Res, Vasco Da Gama 403804, Goa, India.</t>
  </si>
  <si>
    <t>anil@ncaor.gov.in</t>
  </si>
  <si>
    <t>Ministry of Earth Sciences, Government of India</t>
  </si>
  <si>
    <t>Ministry of Earth Sciences, Government of India(Ministry of Earth Science (MoES), Government of India)</t>
  </si>
  <si>
    <t>The authors are thankful to Ministry of Earth Sciences, Government of India for all support provided to implement this programme. We are also thankful to Director, NCAOR for his constant support and encouragement. This is NCAOR contribution number 36/2016.</t>
  </si>
  <si>
    <t>10.16943/ptinsa/2017/48960</t>
  </si>
  <si>
    <t>WOS:000401547500010</t>
  </si>
  <si>
    <t>Soares, MA; Anilkumar, N</t>
  </si>
  <si>
    <t>Soares, Melena A.; Anilkumar, N.</t>
  </si>
  <si>
    <t>Indian Contributions to Chemical Studies in the Indian Sector of Southern Ocean</t>
  </si>
  <si>
    <t>AUSTRAL SUMMER 2004; CARBON-DIOXIDE; PLANKTIC FORAMINIFERA; ATMOSPHERIC CO2; ORGANIC-MATTER; SURFACE WATERS; OXYGEN; PRODUCTIVITY; FRONTS; SEA</t>
  </si>
  <si>
    <t>Southern Ocean is a crucial oceanic regime for understanding the role of biogeochemical cycles in influencing the global climatic changes, as this is a region where signatures of global changes are more pronounced. For an Improved understanding of the link between Southern Ocean processes, biogeochemical cycles and the global climate, scientific research was commenced. Some remarkable research work has been accomplished by Indian Scientific community in the Indian sector of the Southern Ocean (ISSO). A total of six successful multi-disciplinary and multi-institutional expeditions were carried out from the year 2009 to 2015 in the ISSO, with the pilot expedition launched in the year 2004. During the last decade, an understanding of different aspects of the ocean processes has been achieved using chemical studies and proxies. Studies in the ISSO focused on shifts in the oceanic fronts, the carbon and nutrient dynamics, as well as the food web dynamics across the different fronts. The spatial-temporal variation of nutrients, dissolved oxygen, dissolved inorganic carbon and the factors regulating their distribution in the ISSO has also been addressed. Attempts were made to understand the atmosphere-ocean interaction of CO2 and biogeochemical processes. Some experimental work have been undertaken to assess the nitrogen uptake and influence of micronutrients on phytoplankton. Similarly, stable isotope of oxygen has been used as a proxy in some early studies in the ISSO. Isotopic and molecular investigations have been commenced to understand the biogeochemical processes within the water column, as the biological pump and particulate organic matter (POM) have a major role to play in carbon sequestration and further influencing the global climate variability. Detailed studies on dissolved and particulate organic matter are being carried out to gain knowledge of the biological pump and the factors responsible for climate variability and ocean acidification.</t>
  </si>
  <si>
    <t>[Soares, Melena A.; Anilkumar, N.] Earth Syst Sci Org, Natl Ctr Antarctic &amp; Ocean Res, Vasco Da Gama 403804, Goa, India</t>
  </si>
  <si>
    <t>Soares, MA (corresponding author), Earth Syst Sci Org, Natl Ctr Antarctic &amp; Ocean Res, Vasco Da Gama 403804, Goa, India.</t>
  </si>
  <si>
    <t>smelena7@gmail.com</t>
  </si>
  <si>
    <t>Ministry of Earth Sciences</t>
  </si>
  <si>
    <t>Our sincere thanks to the Ministry of Earth Sciences for funding the Indian Southern Ocean Program. The authors would like to acknowledge Director, NCAOR for the continued support. We appreciate and thank all the authors whose contribution towards Indian Southern Ocean studies have been compiled in this article. This is ESSO-NCAOR's contribution number 40/2016.</t>
  </si>
  <si>
    <t>10.16943/ptinsa/2017/48961</t>
  </si>
  <si>
    <t>WOS:000401547500011</t>
  </si>
  <si>
    <t>Tripathy, SC; Mishra, RK; Naik, RK</t>
  </si>
  <si>
    <t>Tripathy, S. C.; Mishra, R. K.; Naik, R. K.</t>
  </si>
  <si>
    <t>Progress in Southern Ocean Biology from the Indian Sector: Half-decadal (2009-13) Overview</t>
  </si>
  <si>
    <t>AUSTRAL SUMMER; PRIMARY PRODUCTIVITY; SUBTROPICAL FRONT; POLAR FRONT; PHYTOPLANKTON; VARIABILITY</t>
  </si>
  <si>
    <t>This manuscript reviews the scientific insight gained from biological studies performed during Indian Southern Ocean Expeditions (ISOE) in the last 5 years. India's research activities in the Southern Ocean (SO) region emphasize the importance of enhanced understanding of the SO processes, biogeochemical cycles, marine productivity and global climate change scenario. Under the aegis of Ministry of Earth Sciences, Government of India, concerted efforts are put in place by NCAOR to carryout research in Indian sector of the SO since 2004, with a primary focus to comprehend the role (response) of the SO in regional and global climate variability. The findings discussed here are based on of a wide array of biological data collected during different expeditions (4th to 7th expedition conducted during 2009-13) which highlights: causal mechanisms of variability in phytoplankton community structure and productivity among frontal regions (i.e., Subtropical Front (STF), Subantarctic Front (SAF) and Polar Front (PF)), patterns of phytoplankton biomass distribution within and among the fronts, role of diatoms in deciphering environmental change, food-web dynamics, bio-optical characterisation of water column, response of bacteria and phytoplankton to micronutrient amendments, biochemical profiling of squids, distribution of Antarctic krill, and occurrence of different marine mammals/birds in the above frontal regions. Here, we attempt to succinctly capture the findings of published literature engendered from ISOE to put forward our present perception of this lesser-understood region in the SO. This document is expected to contribute to an increased understanding of the Indian sector of SO, besides providing the much needed visibility to our ongoing scientific endeavours among the international community.</t>
  </si>
  <si>
    <t>[Tripathy, S. C.; Mishra, R. K.; Naik, R. K.] Earth Syst Sci Org, Natl Ctr Antarctic &amp; Ocean Res, Vasco Da Gama 403804, Goa, India</t>
  </si>
  <si>
    <t>Tripathy, SC (corresponding author), Earth Syst Sci Org, Natl Ctr Antarctic &amp; Ocean Res, Vasco Da Gama 403804, Goa, India.</t>
  </si>
  <si>
    <t>sarat@ncaor.gov.in</t>
  </si>
  <si>
    <t>NAIK, KARAMTOT KRISHNA/JBS-6669-2023</t>
  </si>
  <si>
    <t>NAIK, KARAMTOT KRISHNA/0000-0003-0165-2695; Tripathy, Dr. Sarat Chandra/0000-0002-2437-8660</t>
  </si>
  <si>
    <t>10.16943/ptinsa/2017/48962</t>
  </si>
  <si>
    <t>WOS:000401547500012</t>
  </si>
  <si>
    <t>Tiwari, AK</t>
  </si>
  <si>
    <t>Tiwari, Anoop Kumar</t>
  </si>
  <si>
    <t>Environmental Monitoring Around Indian Antarctic Stations</t>
  </si>
  <si>
    <t>SCHIRMACHER OASIS; LONG-TERM; MERCURY; IMPACTS; NOISE</t>
  </si>
  <si>
    <t>Environmental monitoring is integral part of Environmental Impact Assessment (EIA). Continuous efforts of Scientific\Committee on Antarctic Research (SCAR), Committee for Environmental Protection (CEP), Council of Managers of National Antarctic Programme (COMNAP) and establishment of Convention for Conservation of Marine Living Resources (CCAMLR) has given impetus to establish scientific approach towards environmental monitoring thus formed a core part of Antarctica Treaty System (ATS). Adoption of Madrid Protocol in 1998 brought forward guidelines for environmental monitoring and environmental impact assessment defining indicators for assessment of contamination in the environment due to anthropogenic activities. Continuous presence of human and activities in Antarctica no longer justify the meaning of Sustainable Development in order to safeguard the pristine nature of continent. Indian scientists successfully laid the foundation of scientific research in Antarctica during the maiden expedition in 1981-82. Owing to prevailing requirement, Environmental Monitoring of Maitri station carried out by, the Bhabha Atomic Research Centre, Mumbai (BARC) in air, water, terrestrial and biological environment during austral summer of VIII, IX and X- Indian Antarctic Scientific Expeditions in the year 1988, 1989 and 1990, respectively. Comprehensive environmental monitoring carried out at Maitri station in year 1999, in which air, water, noise, soil and biological indicator selected to form baseline as well as to compare individual indicators, with those assessed in the past from same locations. Black carbon concentration at site showed the range of carbon concentration as 26.5 +/- 16.2 ng/m(3) at Bharati station while average concentration recorded was 13 +/- 5 ng/m(3) at Maitri station. PM2.5 values recorded in the range of 1.0-7.0 mu g/m(3), whereas Suspended Particute Matter (SPM) variation recorded in the range of 7.7 +/- 6.0 mu g/m(3) at Maitri station.</t>
  </si>
  <si>
    <t>[Tiwari, Anoop Kumar] ESSO Natl Ctr Antarctic &amp; Ocean Res, Vasco Da Gama 403804, Goa, India</t>
  </si>
  <si>
    <t>Tiwari, AK (corresponding author), ESSO Natl Ctr Antarctic &amp; Ocean Res, Vasco Da Gama 403804, Goa, India.</t>
  </si>
  <si>
    <t>anooptiwari@ncaor.gov.in</t>
  </si>
  <si>
    <t>TIWARI, ANOOP KUMAR/AAY-8915-2021</t>
  </si>
  <si>
    <t>10.16943/ptinsa/2017/48964</t>
  </si>
  <si>
    <t>WOS:000401547500013</t>
  </si>
  <si>
    <t>Oza, SR; Rajak, DR; Dash, MK; Bahuguna, IM; Kumar, R</t>
  </si>
  <si>
    <t>Oza, Sandip R.; Rajak, D. R.; Dash, Mihir K.; Bahuguna, I. M.; Kumar, Raj</t>
  </si>
  <si>
    <t>Advances in Antarctic Sea Ice Studies in India</t>
  </si>
  <si>
    <t>EXTENT; VARIABILITY; TRENDS; MSMR; BEHAVIOR; SECTOR; EDGE</t>
  </si>
  <si>
    <t>Sea ice cover plays a key role in regulating the Earth's climate by influencing the global atmospheric and oceanic circulation through various feedback mechanisms. The only viable source for the continuous monitoring of sea ice cover, its variability and characterization in the vast and remote polr region is the utilization of data acquired by orbiting satellites supported by Ship based observations. India has been contributing significantly in the development of techniques for extraction of sea ice from state-of-art Indian sensors and other international missions. Significant progress has been made towards understanding sea ice variability in the Antarctic region. Based on various studies in polar regions, it has been observed that during last few decades, Arctic is showing the consistent decline of summer sea ice cover, in contrast to Antarctica which is showing regional anomalies with positive and negative trends. Role of sea ice concentration in Indian monsoon has also been examined. Relation of El Nino Southern Oscillation (ENSO) and sea ice extents have been studied. A climatic dataset of Sea Ice Occurrence Probability (SIOP) generated for the Antarctic region was used to compare the climatic sea ice growth and melt patterns in the eastern and the western regions of the Antarctic. This paper reviews the recent contributions mainly by Indian scientists in the studies of sea ice with inclusion of a few international scientific contributions.</t>
  </si>
  <si>
    <t>[Oza, Sandip R.; Rajak, D. R.; Bahuguna, I. M.; Kumar, Raj] Space Applicat Ctr, Ahmadabad 380025, Gujarat, India; [Dash, Mihir K.] Indian Inst Technol, Kharagpur 721302, W Bengal, India</t>
  </si>
  <si>
    <t>Department of Space (DoS), Government of India; Indian Space Research Organisation (ISRO); Space Applications Centre (SAC); Indian Institute of Technology System (IIT System); Indian Institute of Technology (IIT) - Kharagpur</t>
  </si>
  <si>
    <t>Bahuguna, IM (corresponding author), Space Applicat Ctr, Ahmadabad 380025, Gujarat, India.</t>
  </si>
  <si>
    <t>imbahuguna@sac.isro.gov.in</t>
  </si>
  <si>
    <t>kumar, Raj/JFS-5911-2023; Kumar, Rajendra/KCK-1621-2024</t>
  </si>
  <si>
    <t>10.16943/ptinsa/2017/48947</t>
  </si>
  <si>
    <t>WOS:000401547500015</t>
  </si>
  <si>
    <t>Babu, SS</t>
  </si>
  <si>
    <t>Babu, S. Suresh</t>
  </si>
  <si>
    <t>Aerosol Studies on and Around Antarctica</t>
  </si>
  <si>
    <t>SIZE DISTRIBUTION; BLACK CARBON; CONDENSATION NUCLEI; SUMMER AEROSOLS; EAST ANTARCTICA; PALMER STATION; SOUTH-POLE; SULFUR; MAITRI; DISTRIBUTIONS</t>
  </si>
  <si>
    <t>Antarctica provides an excellent environment to examine the natural and background aerosols in the atmosphere over snow and ice. The Indian efforts (metrological measurements) at Antarctica were initiated with the establishment of the first Antarctic station in Eastern Antarctica during the first Indian Scientific Expedition to Antarctica (ISEA) in 1981. The detailed and systematic characterization of physical and optical properties of coastal Antarctic aerosols over Indian Antarctic stations Maitri and Bharati were initiated during the International Polar Year (IPY) 2007 to 2009. Since then, several scientific publications were emerged from the Indian side on Antarctic aerosols. This article provides a brief review of the Indian efforts on Antarctic aerosols.</t>
  </si>
  <si>
    <t>[Babu, S. Suresh] Vikram Sarabhai Space Ctr, Space Phys Lab, Thiruvananthapuram 695022, Kerala, India</t>
  </si>
  <si>
    <t>Department of Space (DoS), Government of India; Indian Space Research Organisation (ISRO); Vikram Sarabhai Space Center (VSSC)</t>
  </si>
  <si>
    <t>Babu, SS (corresponding author), Vikram Sarabhai Space Ctr, Space Phys Lab, Thiruvananthapuram 695022, Kerala, India.</t>
  </si>
  <si>
    <t>s_sureshbabu@vssc.gov.in</t>
  </si>
  <si>
    <t>10.16943/ptinsa/2017/48952</t>
  </si>
  <si>
    <t>WOS:000401547500017</t>
  </si>
  <si>
    <t>Singh, SM; Nayaka, S</t>
  </si>
  <si>
    <t>Singh, Shiv Mohan; Nayaka, Sanjeeva</t>
  </si>
  <si>
    <t>Contributions to the Floral Diversity of Schirmacher Oasis and Larsemann Hills, Antarctica</t>
  </si>
  <si>
    <t>DRONNING-MAUD LAND; EAST ANTARCTICA; CONTINENTAL ANTARCTICA; CYANOBACTERIA; COMMUNITIES; THELEBOLUS; ADDITIONS; ALGAE</t>
  </si>
  <si>
    <t>In continental Antarctica, algae, fungi, lichen and mosses are the major floristic elements. To understand their distribution and diversity pattern in ice free areas of Schirmacher Oasis and Larsemann Hills investigations were conducted during various Indian Antarctic Expeditions. Due to the extreme environmental conditions in Antarctica, lichens and bryophytes undergo sever morphological changes and occur in mostly in sterile condition that makes them difficult group to identify. A total of 69 species of lichens were encountered in the Schirmacher Oasis and 25 species in the region of Larsemann Hills. Most lichens known from these two areas are microlichens. The ecophysiological studies on lichens indicated Rhizoplaca melanophthalma as the most desiccation tolerant species in Schirmacher Oasis. The studies on moss flora contributed only 12 species under eight genera and five families from Schirmacher Oasis. The sub-fossil moss Pohlia nutans of Holocene period was recorded from lake sediment cores from Schirmacher Oasis. There are several studies on algal flora of Schirmacher Oasis and in one of the studies a total of 109 species of cyanobacteria belonging to 30 genera and 9 families were recorded from Schirmacher Oasis. Similarly, a total of 19 species of fungi belonging to 13 genera and seven families were recorded from Schirmacher Oasis soils and 5 species of yeasts were recorded from Larsemann Hills. Furthermore, Thelebolus microsporus was characterized for adaptation strategies and biotechnological potentials.</t>
  </si>
  <si>
    <t>[Singh, Shiv Mohan] Earth Syst Sci Org, Natl Ctr Antarctic &amp; Ocean Res, Vasco Da Gama 403804, Goa, India; [Nayaka, Sanjeeva] Natl Bot Res Inst, CSIR, Lucknow 226001, Uttar Pradesh, India</t>
  </si>
  <si>
    <t>Ministry of Earth Sciences (MoES) - India; National Centre for Polar and Ocean Research (NCPOR); Earth System Science Organization (ESSO); Council of Scientific &amp; Industrial Research (CSIR) - India; CSIR - National Botanical Research Institute (NBRI)</t>
  </si>
  <si>
    <t>Singh, SM (corresponding author), Earth Syst Sci Org, Natl Ctr Antarctic &amp; Ocean Res, Vasco Da Gama 403804, Goa, India.</t>
  </si>
  <si>
    <t>smsingh@ncaor.gov.in</t>
  </si>
  <si>
    <t>Nayaka, Sanjeeva/AAT-4850-2020</t>
  </si>
  <si>
    <t>Nayaka, Sanjeeva/0000-0001-6541-2362</t>
  </si>
  <si>
    <t>10.16943/ptinsa/2017/48957</t>
  </si>
  <si>
    <t>WOS:000401547500020</t>
  </si>
  <si>
    <t>Luis, AJ; Lotlikar, VR</t>
  </si>
  <si>
    <t>Luis, Alvarinho J.; Lotlikar, Vinit R.</t>
  </si>
  <si>
    <t>Hydrographic Characteristics of a Coastal Antarctic Transect in the Indian Ocean Sector</t>
  </si>
  <si>
    <t>BOTTOM WATER FORMATION; PRYDZ BAY; WEDDELL SEA; NEW-ZEALAND; CIRCULATION; REGION; OCEANOGRAPHY; FRONTS; SLOPE</t>
  </si>
  <si>
    <t>We address results of the hydrographic measurements obtained from Expendable CTD (XCTD) probes deployed along a coastal Antarctic transect between Prydz Bay and India Bay during austral summer of 2013. The thermal structure indicated two upwelling zones: one centered at 38 degrees E and another at 60 degrees E; these entrain Circumpolar Deep Water (CDW) to shallow depths. The two bays are influenced by cyclonic circulation adjacent to the Amery Ice Shelf and in the Weddell Sea. The former promotes a cold front at 70 degrees E which extends to deeper depths, while the latter promotes a cold front at 40 degrees E in the upper 400 m. We encountered deep mixed layer (&gt; 100 m) in low weak wind speed condition. The temperature and salinity profiles capture signatures of super cooled water in the Prydz Bay between 90-164 m and Antarctic Bottom Water at deeper depths (&gt; 900m). CDW is the voluminous water mass detected in the study area. The research work, which is first of its kind pertaining to the coastal Antarctic sector by deploying XCTDs, will serve as benchmark for planning a detail survey in this region using a dedicated research vessel for deeper penetration of hydrographic recording instruments for a broader and 3-dimensional picture of the circulation and water mass transformation.</t>
  </si>
  <si>
    <t>[Luis, Alvarinho J.; Lotlikar, Vinit R.] NCAOR, ESSO, Headland Sada 403804, Goa, India</t>
  </si>
  <si>
    <t>Luis, AJ (corresponding author), NCAOR, ESSO, Headland Sada 403804, Goa, India.</t>
  </si>
  <si>
    <t>alvluis@ncaor.gov.in</t>
  </si>
  <si>
    <t>Ministry of Earth Sciences (MoES), Government of India</t>
  </si>
  <si>
    <t>Ministry of Earth Sciences (MoES), Government of India(Ministry of Earth Science (MoES), Government of India)</t>
  </si>
  <si>
    <t>The Ministry of Earth Sciences (MoES), Government of India, financed the XCTD probes deployed during the 32nd Indian Scientific Expedition to Antarctica. We are grateful to Dr. Shailesh Nayak, former Secretary, MoES, for his support and encouragement to pursue this study. Former NCAOR Directors, Shri Rasik Ravindra and Dr. S. Rajan are acknowledged for making the facilities available for the research. We thank Shri. Mirza J. Beg, Project Director (Logistics), for extending the requisite logistics support for making the observations during the expedition. We thank two anonymous reviewers for their constructive comments on the earlier draft of this manuscript. This is NCAOR contribution 43/2016.</t>
  </si>
  <si>
    <t>10.16943/ptinsa/2017/48963</t>
  </si>
  <si>
    <t>WOS:000401547500022</t>
  </si>
  <si>
    <t>Chaturvedi, S</t>
  </si>
  <si>
    <t>Chaturvedi, Sanjay</t>
  </si>
  <si>
    <t>Indian Contributions to Antarctic Social Sciences</t>
  </si>
  <si>
    <t>The term 'social sciences' encompasses a diverse group of disciplines and fields of study and not simply the study of politics and policy. The Scientific Committee on Antarctic Research (SCAR) Humanities and Social Sciences Experts Group (HASSEG), the body representing the Antarctic social scientists, is an outstanding example of emphatic acknowledgment -in this case by SCAR-of critically important interface/interaction between natural sciences and social sciences. In case of India, both the Ministry of Earth Sciences (MoES), New Delhi and the National Centre for Antarctic and Ocean Research (NCAOR), Goa have welcomed and encouraged not onlypolicy-oriented, critically-informed social science research on a range of issues related to Antarctic governance (e.g. bioprospecting, climate change, tourism) but also the presence of social scientists in Indian delegations to the Antarctic Treaty Consultative Meetings (ATCMs). The presence and participation of an Indian social scientist in the Executive Committee of HASSEG, representing the field of Geopolitics, has opened up valuable space for India to engage in innovative, cutting edge international collaborative research in Antarctic social sciences. This article provides a synoptic overview of Antarctic social science research in India over past decade or so thematically rather than chronologically.</t>
  </si>
  <si>
    <t>[Chaturvedi, Sanjay] Panjab Univ, Ctr Study Geopolit, Chandigarh 160014, India</t>
  </si>
  <si>
    <t>Panjab University</t>
  </si>
  <si>
    <t>Chaturvedi, S (corresponding author), Panjab Univ, Ctr Study Geopolit, Chandigarh 160014, India.</t>
  </si>
  <si>
    <t>csgiorg@gmail.com</t>
  </si>
  <si>
    <t>10.16943/ptinsa/2017/48965</t>
  </si>
  <si>
    <t>WOS:000401547500023</t>
  </si>
  <si>
    <t>Badgeley, JA; Pettit, EC; Carr, CG; Tulaczyk, S; Mikucki, JA; Lyons, WB</t>
  </si>
  <si>
    <t>Badgeley, Jessica A.; Pettit, Erin C.; Carr, Christina G.; Tulaczyk, Slawek; Mikucki, Jill A.; Lyons, W. Berry</t>
  </si>
  <si>
    <t>MIDGE Sci Team</t>
  </si>
  <si>
    <t>An englacial hydrologic system of brine within a cold glacier: Blood Falls, McMurdo Dry Valleys, Antarctica</t>
  </si>
  <si>
    <t>JOURNAL OF GLACIOLOGY</t>
  </si>
  <si>
    <t>Antarctic glaciology; glacier hydrology; radio echo sounding</t>
  </si>
  <si>
    <t>TAYLOR GLACIER; BONNEY DRIFT; ICE; CREVASSES; NETWORKS</t>
  </si>
  <si>
    <t>Taylor Glacier hosts an active englacial hydrologic system that feeds Blood Falls, a supraglacial outflow of iron-rich subglacial brine at the terminus, despite mean annual air temperatures of -17 degrees C and limited surface melt. Taylor Glacier is an outlet glacier of the East Antarctic ice sheet that terminates in Lake Bonney, McMurdo Dry Valleys. To image and map the brine feeding Blood Falls, we used radio echo sounding to delineate a subhorizontal zone of englacial brine upstream from Blood Falls and elongated in the ice flow direction. We estimate volumetric brine content in excess of 13% within 2 m of the central axis of this zone, and likely much higher at its center. Brine content decreases, but remains detectable, up to 45 m away along some transects. Hence, we infer a network of subparallel basal crevasses allowing injection of pressurized subglacial brine into the ice. Subglacial brine is routed towards Blood Falls by hydraulic potential gradients associated with deeply incised supraglacial valleys. The brine remains liquid within the subglacial and englacial environments through latent heat of freezing coupled with elevated salt content. Our findings suggest that cold glaciers could support freshwater hydrologic systems through localized warming by latent heat alone.</t>
  </si>
  <si>
    <t>[Badgeley, Jessica A.] Colorado Coll, Dept Geol, Colorado Springs, CO 80903 USA; [Badgeley, Jessica A.] Univ Washington, Seattle, WA 98195 USA; [Pettit, Erin C.; Carr, Christina G.] Univ Alaska Fairbanks, Dept Geosci, Fairbanks, AK USA; [Tulaczyk, Slawek] Univ Calif Santa Cruz, Dept Earth &amp; Planetary Sci, Santa Cruz, CA 95064 USA; [Mikucki, Jill A.] Univ Tennessee, Dept Microbiol, Knoxville, TN 37996 USA; [Lyons, W. Berry] Ohio State Univ, Byrd Polar Res Ctr, Columbus, OH 43210 USA; [Lyons, W. Berry] Ohio State Univ, Dept Geol Sci, Columbus, OH 43210 USA</t>
  </si>
  <si>
    <t>Colorado College; University of Washington; University of Washington Seattle; University of Alaska System; University of Alaska Fairbanks; University of California System; University of California Santa Cruz; University of Tennessee System; University of Tennessee Knoxville; University System of Ohio; Ohio State University; University System of Ohio; Ohio State University</t>
  </si>
  <si>
    <t>Badgeley, JA (corresponding author), Colorado Coll, Dept Geol, Colorado Springs, CO 80903 USA.;Badgeley, JA (corresponding author), Univ Washington, Seattle, WA 98195 USA.</t>
  </si>
  <si>
    <t>badgeley@uw.edu</t>
  </si>
  <si>
    <t>Carr, Chris G./AAZ-4273-2021; Tulaczyk, Slawek/O-7375-2018</t>
  </si>
  <si>
    <t>Carr, Chris G./0000-0002-9273-8584; Tulaczyk, Slawek/0000-0002-9711-4332; Pettit, Erin Christine/0000-0002-6765-9841</t>
  </si>
  <si>
    <t>US National Science Foundation Division of Polar Programs [1144177, 1144192, 1619795, 1144176]; NSF-PLR grants [0230338, 0233823]; National Science Foundation (NSF) under NSF [EAR-0735156, 1255679, 1053220]; US NSF; S.T. Lee Young Research Travel Award; DLR Space Administration [50NA1206 to 50NA1211]; Directorate For Geosciences [1144192] Funding Source: National Science Foundation; Directorate For Geosciences; Division Of Earth Sciences [1255679] Funding Source: National Science Foundation; Office of Polar Programs (OPP) [1144192] Funding Source: National Science Foundation; Office of Polar Programs (OPP); Directorate For Geosciences [1053220, 1144176, 1727387, 1144177] Funding Source: National Science Foundation; Office of Polar Programs (OPP); Directorate For Geosciences [1619795] Funding Source: National Science Foundation</t>
  </si>
  <si>
    <t>US National Science Foundation Division of Polar Programs(National Science Foundation (NSF)); NSF-PLR grants; National Science Foundation (NSF) under NSF(National Science Foundation (NSF)); US NSF(National Science Foundation (NSF)); S.T. Lee Young Research Travel Award; DLR Space Administration; Directorate For Geosciences(National Science Foundation (NSF)NSF - Directorate for Geosciences (GEO)); Directorate For Geosciences; Division Of Earth Sciences(National Science Foundation (NSF)NSF - Directorate for Geosciences (GEO)); Office of Polar Programs (OPP)(National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</si>
  <si>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This work was funded by the US National Science Foundation Division of Polar Programs with grants to E.C.P. (1144177), S.T. (1144192), J.A.M. (1619795), and W.B.L (1144176). Some preliminary data and ideas stemmed from observations made by E.C.P in 2004-06 supported by NSF-PLR grants to B. Hallet (0230338) and A. Fountain (0233823). Some of this material is based on data and equipment services provided by the UNAVCO Facility with support from the National Science Foundation (NSF) under NSF Cooperative Agreement No. EAR-0735156, 1255679, 1053220. The US NSF additionally awarded a Research Experience for Undergraduates Fellowship to J. A. B. through the University of Alaska Fairbanks. C.G.C. was funded by the S.T. Lee Young Research Travel Award to process the GPS data at the Antarctic Research Centre, Victoria University of Wellington. Colorado College provided the facilities and ESRI ArcGIS software for some of the data analysis. J. A. B. was originally inspired to study glaciers through the Girls on Ice program founded by E.C.P. E.C.P., S.T., J. A. M., and W. B. L. conceived the project and developed the field plan. E.C.P. supervised the project. E.C.P., C.G.C., and J. A. B. conducted the fieldwork and processed the data under E.C.P.'s supervision. Cecelia Mortenson provided mountaineering support during data collection. All authors contributed to development of the analyses, interpretation of the results, and extensive manuscript editing. The MIDGE Science team provided further support and input; the MIDGE Science team includes: Jill Mikucki, Erin Pettit, Slawek Tulaczyk, Bernd Dachwald, W. Berry Lyons, Jessica Badgeley, Richard Campen, Christina Carr, Michelle Chua, Ryan Davis, Ilya Digel, Clemens Espe, Marco Feldmann, Gero Francke, Neil Foley, Tiffany Green, Dirk Heinen, Julia Kowalski, Matthew Tuttle, Jacob Walter, and Kathleen Welch. This work was conducted in cooperation with Enceladus Explorer (EnEx) project (PI Bernd Dachwald). The EnEx project (grants 50NA1206 to 50NA1211) is funded by the DLR Space Administration.</t>
  </si>
  <si>
    <t>CAMBRIDGE</t>
  </si>
  <si>
    <t>EDINBURGH BLDG, SHAFTESBURY RD, CB2 8RU CAMBRIDGE, ENGLAND</t>
  </si>
  <si>
    <t>0022-1430</t>
  </si>
  <si>
    <t>1727-5652</t>
  </si>
  <si>
    <t>J GLACIOL</t>
  </si>
  <si>
    <t>J. Glaciol.</t>
  </si>
  <si>
    <t>10.1017/jog.2017.16</t>
  </si>
  <si>
    <t>EV3HI</t>
  </si>
  <si>
    <t>WOS:000401649100001</t>
  </si>
  <si>
    <t>Lundin, JMD; Stevens, CM; Arthern, R; Buizert, C; Orsi, A; Ligtenberg, SRM; Simonsen, SB; Cummings, E; Essery, R; Leahy, W; Harris, P; Helsen, MM; Waddington, ED</t>
  </si>
  <si>
    <t>Lundin, Jessica M. D.; Stevens, C. Max; Arthern, Robert; Buizert, Christo; Orsi, Anais; Ligtenberg, Stefan R. M.; Simonsen, Sebastian B.; Cummings, Evan; Essery, Richard; Leahy, Will; Harris, Paul; Helsen, Michiel M.; Waddington, Edwin D.</t>
  </si>
  <si>
    <t>Firn Model Intercomparison Experiment (FirnMICE)</t>
  </si>
  <si>
    <t>ice-sheet modelling; mass balance; polar firn</t>
  </si>
  <si>
    <t>GREENLAND ICE-SHEET; ELEVATION CHANGE; MASS-BALANCE; TAYLOR DOME; DENSIFICATION; AIR; AGE; COMPACTION; DENSITY; ACCUMULATION</t>
  </si>
  <si>
    <t>Evolution of cold dry snow and firn plays important roles in glaciology; however, the physical formulation of a densification law is still an active research topic. We forced eight firn-densification models and one seasonal-snow model in six different experiments by imposing step changes in temperature and accumulation-rate boundary conditions; all of the boundary conditions were chosen to simulate firn densification in cold, dry environments. While the intended application of the participating models varies, they are describing the same physical system and should in principle yield the same solutions. The firn models all produce plausible depth-density profiles, but the model outputs in both steady state and transient modes differ for quantities that are of interest in ice core and altimetry research. These differences demonstrate that firn-densification models are incorrectly or incompletely representing physical processes. We quantitatively characterize the differences among the results from the various models. For example, we find depth-integrated porosity is unlikely to be inferred with confidence from a firn model to better than 2 m in steady state at a specific site with known accumulation rate and temperature. Firn Model Intercomparison Experiment can provide a benchmark of results for future models, provide a basis to quantify model uncertainties and guide future directions of firn-densification modeling.</t>
  </si>
  <si>
    <t>[Lundin, Jessica M. D.; Stevens, C. Max; Leahy, Will; Harris, Paul; Waddington, Edwin D.] Univ Washington, Dept Earth &amp; Space Sci, Seattle, WA 98195 USA; [Arthern, Robert] British Antarctic Survey, Nat Environm Res Council, Cambridge, England; [Buizert, Christo] Oregon State Univ, Coll Earth Ocean &amp; Atmospher Sci, Corvallis, OR 97331 USA; [Orsi, Anais] Lab Sci Climat &amp; Environm, St Aubin, Essonne, France; [Ligtenberg, Stefan R. M.; Helsen, Michiel M.] Inst Marine &amp; Atmospher Res Utrecht IMAU, Utrecht, Netherlands; [Simonsen, Sebastian B.] Tech Univ Denmark, DTU Space, Lyngby, Denmark; [Cummings, Evan] Univ Montana, Dept Comp Sci, Missoula, MT 59812 USA; [Essery, Richard] Univ Edinburgh, Sch Geosci, Edinburgh, Midlothian, Scotland</t>
  </si>
  <si>
    <t>University of Washington; University of Washington Seattle; UK Research &amp; Innovation (UKRI); Natural Environment Research Council (NERC); NERC British Antarctic Survey; Oregon State University; CEA; Centre National de la Recherche Scientifique (CNRS); Universite Paris Saclay; Utrecht University; Technical University of Denmark; University of Montana System; University of Montana; University of Edinburgh</t>
  </si>
  <si>
    <t>Waddington, ED (corresponding author), Univ Washington, Dept Earth &amp; Space Sci, Seattle, WA 98195 USA.</t>
  </si>
  <si>
    <t>edw@uw.edu</t>
  </si>
  <si>
    <t>Ligtenberg, Stefan/AAF-8290-2020; Simonsen, Sebastian Bjerregaard/F-4791-2013</t>
  </si>
  <si>
    <t>Simonsen, Sebastian Bjerregaard/0000-0001-9569-1294; Cummings, Evan/0000-0001-5394-0256; Stevens, Christopher Max/0000-0003-2005-0876</t>
  </si>
  <si>
    <t>National Science Foundation Partnerships in International Research and Education (PIRE) [0968391]; NERC [bas0100030, NE/H000437/1] Funding Source: UKRI; Natural Environment Research Council [NE/H000437/1, bas0100030] Funding Source: researchfish; Office Of Internatl Science &amp;Engineering; Office Of The Director [0968391] Funding Source: National Science Foundation</t>
  </si>
  <si>
    <t>National Science Foundation Partnerships in International Research and Education (PIRE); NERC(UK Research &amp; Innovation (UKRI)Natural Environment Research Council (NERC)); Natural Environment Research Council(UK Research &amp; Innovation (UKRI)Natural Environment Research Council (NERC)); Office Of Internatl Science &amp;Engineering; Office Of The Director(National Science Foundation (NSF)NSF - Office of the Director (OD))</t>
  </si>
  <si>
    <t>We are grateful to Jeff Severinghaus and Ed Brook for inspiring the idea for this intercomparison. We acknowledge Michiel van den Broeke's leadership and contributions to IMAU firn modeling. This work was supported by National Science Foundation Partnerships in International Research and Education (PIRE) grant 0968391.</t>
  </si>
  <si>
    <t>10.1017/jog.2016.114</t>
  </si>
  <si>
    <t>Green Published, gold</t>
  </si>
  <si>
    <t>WOS:000401649100002</t>
  </si>
  <si>
    <t>Horton, S; Jamieson, B</t>
  </si>
  <si>
    <t>Horton, Simon; Jamieson, Bruce</t>
  </si>
  <si>
    <t>Spectral measurements of surface hoar crystals</t>
  </si>
  <si>
    <t>avalanches; frost; remote sensing; snow</t>
  </si>
  <si>
    <t>SHORTWAVE INFRARED ALBEDO; GRAIN-SIZE; REFLECTANCE MEASUREMENTS; ANTARCTIC PLATEAU; IN-SITU; SNOW; AREA; RETRIEVAL; SHAPE; PHOTOGRAPHY</t>
  </si>
  <si>
    <t>Surface hoar crystals are common on the surface of mountain snow covers. Once buried, layers of large plate-shaped surface hoar crystals are prone to releasing dangerous snow-slab avalanches. Since snow microstructure influences the optical properties of snow, remote sensors could potentially detect the formation of surface hoar and other snow types associated with avalanche release. The spectral reflectance of 377 snow samples was measured with a field spectrometer between 750 and 2500 nm, including 161 samples of surface hoar. Morphological snow shapes associated with critical avalanche layers (surface hoar, near-surface faceted particles and depth hoar) had lower average reflectance factors than non-critical snow shapes at infrared wavelengths. Needle-shaped surface hoar was more reflective than plate-shaped surface hoar, but there were no significant differences between different sizes of surface hoar. Normalizeddifference indices calculated with reflectance from two wavelength bands is presented as a potential method to classify critical snow surfaces remotely, although melt-freeze crusts near the surface complicated the classification. Accordingly, further studying on the effect of melt-freeze crusts and quantification of the bidirectional reflective properties of critical snow types is needed.</t>
  </si>
  <si>
    <t>[Horton, Simon; Jamieson, Bruce] Univ Calgary, Dept Civil Engn, Calgary, AB T2N 1N4, Canada</t>
  </si>
  <si>
    <t>University of Calgary</t>
  </si>
  <si>
    <t>Horton, S (corresponding author), Univ Calgary, Dept Civil Engn, Calgary, AB T2N 1N4, Canada.</t>
  </si>
  <si>
    <t>horton.simon@gmail.com</t>
  </si>
  <si>
    <t>Horton, Simon/0000-0003-2936-8688</t>
  </si>
  <si>
    <t>TECTERRA; Canadian Pacific; Canadian Avalanche Association; NSERC; HeliCat Canada; Canadian Avalanche Foundation; Parks Canada; Mike Wiegele Helicopter Skiing; Canada West Ski Areas Association; Backcountry Lodges of BC Association; Association of Canadian Mountain Guides; Teck Mining Company; Canadian Ski Guide Association; Backcountry Access; BC Ministry of Transportation and Infrastructure Avalanche and Weather Programs</t>
  </si>
  <si>
    <t>TECTERRA; Canadian Pacific; Canadian Avalanche Association; NSERC(Natural Sciences and Engineering Research Council of Canada (NSERC)); HeliCat Canada; Canadian Avalanche Foundation; Parks Canada; Mike Wiegele Helicopter Skiing; Canada West Ski Areas Association; Backcountry Lodges of BC Association; Association of Canadian Mountain Guides; Teck Mining Company; Canadian Ski Guide Association; Backcountry Access; BC Ministry of Transportation and Infrastructure Avalanche and Weather Programs</t>
  </si>
  <si>
    <t>We thank Alexandre Langlois and his team at the University of Sherbrooke for lending their field spectrometer and TECTERRA for providing a hyperspectral camera for additional experiments on this topic. For the financial support we thank TECTERRA, Canadian Pacific, Canadian Avalanche Association, NSERC, HeliCat Canada, Canadian Avalanche Foundation, Parks Canada, Mike Wiegele Helicopter Skiing, Canada West Ski Areas Association, Backcountry Lodges of BC Association, Association of Canadian Mountain Guides, Teck Mining Company, Canadian Ski Guide Association, Backcountry Access and the BC Ministry of Transportation and Infrastructure Avalanche and Weather Programs. We also thank Michael Smith for proofreading this paper and the reviewers for their helpful feedback.</t>
  </si>
  <si>
    <t>10.1017/jog.2017.6</t>
  </si>
  <si>
    <t>WOS:000401649100007</t>
  </si>
  <si>
    <t>Mccarthy, M; Pritchard, H; Willis, I; King, E</t>
  </si>
  <si>
    <t>Mccarthy, Michael; Pritchard, Hamish; Willis, Ian; King, Edward</t>
  </si>
  <si>
    <t>Ground-penetrating radar measurements of debris thickness on Lirung Glacier, Nepal</t>
  </si>
  <si>
    <t>debris-covered glaciers; debris thickness; ground-penetrating radar; supraglacial debris</t>
  </si>
  <si>
    <t>ENERGY-BALANCE MODEL; COVERED GLACIERS; SUPRAGLACIAL DEBRIS; INTERNAL STRUCTURE; EVEREST REGION; MASS-BALANCE; ICE MELT; RESOLUTION; HIMALAYA; LAYER</t>
  </si>
  <si>
    <t>Supraglacial debris thickness is a key control on the surface energy balance of debris-covered glaciers, yet debris thickness measurements are sparse due to difficulties of data collection. Here we use ground-penetrating radar (GPR) to measure debris thickness on the ablation zone of Lirung Glacier, Nepal. We observe a strong, continuous reflection, which we interpret as the ice surface, through debris layers of 0.1 to at least 2.3 m thick, provided that appropriate acquisition parameters were used while surveying. GPR measurements of debris thickness correlate well with pit measurements of debris thickness (r = 0.91, RMSE = 0.04 m) and two-way travel times are consistent at tie points (r = 0.97). 33% of measurements are &lt;0.5 m, so sub-debris melting is likely important in terms of mass loss on the debris-covered tongue and debris thickness is highly variable over small spatial scales (of order 10 m), likely due to local slope processes. GPR can be used to make debris thickness measurements more quickly, over a wider debris thickness range, and at higher spatial resolution than any other means and is therefore a valuable tool with which to map debris thickness distribution on Himalayan glaciers.</t>
  </si>
  <si>
    <t>[Mccarthy, Michael; Pritchard, Hamish; King, Edward] British Antarctic Survey, Nat Environm Res Council, Madingley Rd, Cambridge, England; [Mccarthy, Michael; Willis, Ian] Univ Cambridge, Scott Polar Res Inst, Cambridge, England</t>
  </si>
  <si>
    <t>UK Research &amp; Innovation (UKRI); Natural Environment Research Council (NERC); NERC British Antarctic Survey; University of Cambridge</t>
  </si>
  <si>
    <t>Mccarthy, M (corresponding author), British Antarctic Survey, Nat Environm Res Council, Madingley Rd, Cambridge, England.;Mccarthy, M (corresponding author), Univ Cambridge, Scott Polar Res Inst, Cambridge, England.</t>
  </si>
  <si>
    <t>miccar14@bas.ac.uk</t>
  </si>
  <si>
    <t>Facility, NERC Geophysical Equipment/G-5260-2010; Pritchard, Hamish Daniel/AAU-4696-2021</t>
  </si>
  <si>
    <t>McCarthy, Michael/0000-0001-8099-0531</t>
  </si>
  <si>
    <t>NERC DTP grant [NE/L002507/1]; Reynolds International Ltd; BB Roberts Fund; St Catharine's College Research Fund; NERC Geophysical Equipment Facility grant [1014]; University Travel Fund; NERC [NE/R000107/1, bas0100034] Funding Source: UKRI; Natural Environment Research Council [1515307, NE/R000107/1, bas0100034] Funding Source: researchfish</t>
  </si>
  <si>
    <t>NERC DTP grant; Reynolds International Ltd; BB Roberts Fund; St Catharine's College Research Fund; NERC Geophysical Equipment Facility grant; University Travel Fund; NERC(UK Research &amp; Innovation (UKRI)Natural Environment Research Council (NERC)); Natural Environment Research Council(UK Research &amp; Innovation (UKRI)Natural Environment Research Council (NERC))</t>
  </si>
  <si>
    <t>We sincerely thank Adam Booth and one anonymous reviewer, whose comments and suggestions helped improve and clarify this manuscript. M.M. is funded by NERC DTP grant number: NE/L002507/1, receives CASE funding from Reynolds International Ltd, and was provided travel support by the Jesus College Doctoral Research Fund. I.W. was funded by the BB Roberts Fund, University Travel Fund and St Catharine's College Research Fund. Equipment (GPR and DGPS) was provided under NERC Geophysical Equipment Facility grant number: 1014.</t>
  </si>
  <si>
    <t>10.1017/jog.2017.18</t>
  </si>
  <si>
    <t>WOS:000401649100013</t>
  </si>
  <si>
    <t>He, M; Zhuo, HT; Chen, WT; Wang, YM; Du, JY; Liu, LH; Wang, LL; Wan, HQ</t>
  </si>
  <si>
    <t>He, Min; Zhuo, Haiteng; Chen, Weitao; Wang, Yingmin; Du, Jiayuan; Liu, Lihua; Wang, Liliang; Wan, Haiqing</t>
  </si>
  <si>
    <t>Sequence stratigraphy and depositional architecture of the Pearl River Delta system, northern South China Sea: An interactive response to sea level, tectonics and paleoceanography</t>
  </si>
  <si>
    <t>MARINE AND PETROLEUM GEOLOGY</t>
  </si>
  <si>
    <t>Pearl River Mouth Basin; South China Sea; Tectonic; Paleoceanography; Ocean current; Delta asymmetry</t>
  </si>
  <si>
    <t>SEISMIC GEOMORPHOLOGY; CONTINENTAL-MARGIN; BEACH RIDGES; SAND-RIDGE; SHELF; MIOCENE; SEDIMENTOLOGY; CIRCULATION; EVOLUTION; PREDICTION</t>
  </si>
  <si>
    <t>Using a combined dataset including 3D seismic volumes, 2D profiles and 127 industrial wells, this study systematically investigated sequence stratigraphy and depositional architecture of the Pearl River Delta system (PRDS) during the Middle Miocene. In total, six stratigraphic sequences (SQ1 to SQ6) were recognized for the Hanjiang Formation, each of which could be further subdivided into a transgressive systems tract (TST) and a regressive systems tract (RST) according to a T-R sequence stratigraphic model. Seismic geomorphologic approaches were then conducted to interpret and map the key depositional elements, including fluvial channel systems, river mouth bars, longshore bars, shelf sand ridges and shelf sand sheets. After a detailed construction of the paleogeography for each of the twelves systems tracts, it was found that the types, geometries and depositional regimes of PRDS significantly altered at ca. 13.8 Ma. Before ca. 13.8 Ma, the PRDS were dominated by well-developed fluvial systems and an overall lobate shape, indicating a fluvial-dominated process. However, after 13.8 Ma, the whole PRDS began to form enormous shoreline-parallel depositional elements such as longshore bars, shelf sand ridges and shelf sand sheets, indicating dominant shore-parallel regimes. Besides, the whole deltaic system displayed obvious southwest deflection in map view after 13.8 Ma. Detailed analysis showed that this sudden change in the evolution of the PRDS could be ascribed to an interactive response to several factors. At ca. 13.8 Ma, the sea level began to rapidly rise and caused the fluvial energy to decrease, which was likely to lead to the diversion of the fluvial systems. Besides, the gradual uplift of the Dongsha Rise resulted in the raised shelf topography in the east region, thus confining the fluvial channels to flow southwestward. What's more, a few key paleoceanographic events, including the reglaciation of the Antarctic ice-sheet and the shoaling of the Pacific-Indian Ocean Seaway, might have contributed to the intensification of the southwesterly flowing paleocurrent along the northern South China Sea, thus triggering the delta asymmetry and deflecton of the PRDS after 13.8 Ma. (C) 2017 Elsevier Ltd. All rights reserved.</t>
  </si>
  <si>
    <t>[He, Min] Tongji Univ, State Key Lab Marine Geol, Shanghai 200092, Peoples R China; [He, Min; Chen, Weitao; Du, Jiayuan; Liu, Lihua] CNOOC Ltd, Shenzhen Branch, Shenzhen 518000, Peoples R China; [Zhuo, Haiteng; Wang, Yingmin] Zhejiang Univ, Ocean Coll, Zhoushan 316021, Peoples R China; [Wang, Yingmin; Wang, Liliang; Wan, Haiqing] China Univ Petr, State Key Lab Petr Resources &amp; Prospecting, Beijing 102249, Peoples R China</t>
  </si>
  <si>
    <t>Tongji University; China National Offshore Oil Corporation (CNOOC); Zhejiang University; China University of Petroleum</t>
  </si>
  <si>
    <t>Zhuo, HT (corresponding author), Zhejiang Univ, Ocean Coll, Zhoushan 316021, Peoples R China.</t>
  </si>
  <si>
    <t>zhuohaiteng@hotmail.com</t>
  </si>
  <si>
    <t>wang, yingying/JCE-4984-2023; wang, yan/JBJ-7462-2023; wang, ying/GQY-5077-2022; wan, hai/GSM-9077-2022; wang, yingying/GRS-3058-2022; wang, yan/GSE-6489-2022; Zhuo, Haiteng/JGM-8422-2023; Zhuo, Haiteng/M-9113-2015</t>
  </si>
  <si>
    <t>Zhuo, Haiteng/0000-0001-7769-3296</t>
  </si>
  <si>
    <t>National Natural Science Foundation of China [41372115]; China Postdoctoral Science Foundation [2016M590531]</t>
  </si>
  <si>
    <t>National Natural Science Foundation of China(National Natural Science Foundation of China (NSFC)); China Postdoctoral Science Foundation(China Postdoctoral Science Foundation)</t>
  </si>
  <si>
    <t>This study was founded by the National Natural Science Foundation of China (grant NO. 41372115) and China Postdoctoral Science Foundation (grant NO. 2016M590531). The authors are particularly indebted to Hua Li, Wan Diao, Shaohua Xu, Chunyu Qin, Wenjie Wei and Chen Chen, who helped a lot in the collection and interpretation of the geophysical data and drawing the figures. We thank Schlumberger for providing academic licenses of Petrel software to the Ocean College of the Zhejiang University. Insightful comments from editor Istvan Csato and reviewer Julian Bourget are greatly acknowledged, which have significantly improved the quality of the final manuscript.</t>
  </si>
  <si>
    <t>0264-8172</t>
  </si>
  <si>
    <t>1873-4073</t>
  </si>
  <si>
    <t>MAR PETROL GEOL</t>
  </si>
  <si>
    <t>Mar. Pet. Geol.</t>
  </si>
  <si>
    <t>10.1016/j.marpetgeo.2017.03.022</t>
  </si>
  <si>
    <t>EV6KM</t>
  </si>
  <si>
    <t>WOS:000401878300006</t>
  </si>
  <si>
    <t>Pattan, JN; Parthiban, G; Garg, A; Moraes, NRC</t>
  </si>
  <si>
    <t>Pattan, J. N.; Parthiban, G.; Garg, Anita; Moraes, N. R. Cesar</t>
  </si>
  <si>
    <t>Intense reducing conditions during the last deglaciation and Heinrich events (H1, H2, H3) in sediments from the oxygen minimum zone off Goa, eastern Arabian Sea</t>
  </si>
  <si>
    <t>Eastern arabian sea sediments; Oxygen minimum zone; Redox-sensitive elements; Non-euxinic; Reducing conditions; Last deglaciation; Heinrich events (H1,H2,H3); Ventilation; Lanthanide fractionation</t>
  </si>
  <si>
    <t>RARE-EARTH ELEMENTS; CENTRAL INDIAN BASIN; DEEP-SEA; CARBONATE PRESERVATION; GEOCHEMICAL EVIDENCE; MARINE-SEDIMENTS; ORGANIC-MATTER; BLACK SHALES; PRODUCTIVITY; MOLYBDENUM</t>
  </si>
  <si>
    <t>Two sediment cores, ABP-32/GC-01R and ABP-32/GC-03 were collected at a water depth of 642 m and 1086 m off Goa from the present day Oxygen Minimum Zone (OMZ) of eastern Arabian Sea (EAS) cover time span of last 181ka and 32 ka respectively were analysed for multi-proxy redox-sensitive elements to understand the variation in the redox conditions and factors responsible for its development. Redox-sensitive elements concentration and their normalized ratios (Mn/Al, U/Th, Mo/AI and Ce/Ce*) suggest that sediment core ABP-32/GC-01R is under more reducing conditions due to its location within the centre of OMZ compared to core ABP-32/GC-03 which is at the base of OMZ. Sediments from the EAS are of non-euxinic environments where dissolved sulfide is present but restricted to the sediment pore waters. Lack of significant correlation (r=&lt; 0.1) of organic carbon with U and Mo suggest that productivity may not have control on the development of reducing conditions. The lowest Mn/Al ratio, strong negative Ce/Ce* anomaly and remarkable enrichment of U/Th and Mo/Al ratios during the last deglaciation, and Heinrich events (H1, H2, H3) indicate intense reducing conditions probably due to poor ventilation by oxygen depleted bottom waters from Subantarctic Mode Waters (SAMW) - Antarctic Intermediate waters (AAIW). There is a distinct lathanide fractionation in the sediment cores where, La-(n)/Yb-(n) ratio is &lt;1, approximate to 1 and &gt;1 during the last 10 ka (Holocene), 14-10 ka (includes-Younger Dryas and 13611ing-Aller6d), 18-14 ka (last deglaciation) and Heinrich events suggesting less reducing, terrigenous dominated and intense reducing condition respectively. (C) 2017 Elsevier Ltd. All rights reserved.</t>
  </si>
  <si>
    <t>[Pattan, J. N.; Parthiban, G.; Garg, Anita; Moraes, N. R. Cesar] Natl Inst Oceanog, CSIR, Panaji 403004, Goa, India</t>
  </si>
  <si>
    <t>Council of Scientific &amp; Industrial Research (CSIR) - India; CSIR - National Institute of Oceanography (NIO)</t>
  </si>
  <si>
    <t>Pattan, JN (corresponding author), Natl Inst Oceanog, CSIR, Panaji 403004, Goa, India.</t>
  </si>
  <si>
    <t>pattan@nio.org</t>
  </si>
  <si>
    <t>10.1016/j.marpetgeo.2017.03.034</t>
  </si>
  <si>
    <t>WOS:000401878300015</t>
  </si>
  <si>
    <t>Walton, DWH</t>
  </si>
  <si>
    <t>Walton, D. W. H.</t>
  </si>
  <si>
    <t>Morality and the Antarctic Treaty</t>
  </si>
  <si>
    <t>Editorial Material</t>
  </si>
  <si>
    <t>10.1017/S0954102017000153</t>
  </si>
  <si>
    <t>WOS:000404282500001</t>
  </si>
  <si>
    <t>Egas, C; Henríquez-Castillo, C; Delherbe, N; Molina, E; Dos Santos, AL; Lavin, P; De la Iglesia, R; Vaulot, D; Trefault, N</t>
  </si>
  <si>
    <t>Egas, Claudia; Henriquez-Castillo, Carlos; Delherbe, Nathalie; Molina, Ernesto; Dos Santos, Adriana Lopes; Lavin, Paris; De la Iglesia, Rodrigo; Vaulot, Daniel; Trefault, Nicole</t>
  </si>
  <si>
    <t>Short timescale dynamics of phytoplankton in Fildes Bay, Antarctica</t>
  </si>
  <si>
    <t>Antarctic marine microorganisms; microbial photosynthetic eukaryotes; molecular fingerprinting; phytoplankton size structure</t>
  </si>
  <si>
    <t>EUKARYOTIC PICOPHYTOPLANKTON COMMUNITY; PENINSULA SOUTHERN-OCEAN; KING GEORGE ISLAND; ICE-ZONE WEST; SIZE STRUCTURE; DIVERSITY; ASSEMBLAGES; TEMPERATURE; VARIABILITY; SUMMER</t>
  </si>
  <si>
    <t>Phytoplankton is responsible for most primary production in Antarctica, but the short timescale dynamics of its size structure and composition are poorly described and understood. The abundance and composition of phytoplankton in Fildes Bay, western Antarctic Peninsula, was followed for 12 days during the summer using a range of methods, including size fractionation of chlorophyll, microscopy, flow cytometry and terminal-restriction fragment length polymorphism (T-RFLP) of the plastid 16S rRNA gene. A rapid increase in biomass and cell abundance occurred in response to a vertical mixing event. This increase also resulted in a shift in composition from diatoms to Prymnesiophyceae, and then back to diatoms as the water column re-stratified. Our results show a strong dominance of nanophytoplankton represented by Thalassiosira and Phaeocystis. The rapid response of the phytoplankton suggests that it is well adapted to short-term environmental changes.</t>
  </si>
  <si>
    <t>[Egas, Claudia; Henriquez-Castillo, Carlos; De la Iglesia, Rodrigo] Pontificia Univ Catolica Chile, Fac Ciencias Biol, Dept Genet Mol &amp; Microbiol, Portugal 49, Santiago, Chile; [Henriquez-Castillo, Carlos; Delherbe, Nathalie] Univ Concepcion, Dept Oceanog, Lab Oceanog Microbiana, POB 160-C, Concepcion, Chile; [Henriquez-Castillo, Carlos; De la Iglesia, Rodrigo] Univ Concepcion, Inst Milenio Oceanog, Concepcion, Chile; [Molina, Ernesto] Pontificia Univ Catolica Chile, Fac Ciencias Biol, Dept Ecol, Portugal 49, Santiago, Chile; [Dos Santos, Adriana Lopes; Vaulot, Daniel] UPMC Univ Paris 06, CNRS, UMR7144, Sorbonne Univ, Pl Georges Teissier 29680, Roscoff, France; [Lavin, Paris] Univ Antofagasta, Inst Antofagasta, Lab Complejidad Microbiana &amp; Ecol Func, Ave Angamos 601, Antofagasta, Chile; [Trefault, Nicole] Univ Mayor, Fac Ciencias, Ctr Genom &amp; Bioinformat, Camino La Piramide 5750, Santiago, Chile</t>
  </si>
  <si>
    <t>Pontificia Universidad Catolica de Chile; Universidad de Concepcion; Universidad de Concepcion; Pontificia Universidad Catolica de Chile; Sorbonne Universite; Centre National de la Recherche Scientifique (CNRS); CNRS - Institute of Ecology &amp; Environment (INEE); Universidad de Antofagasta; Universidad Mayor</t>
  </si>
  <si>
    <t>Trefault, N (corresponding author), Univ Mayor, Fac Ciencias, Ctr Genom &amp; Bioinformat, Camino La Piramide 5750, Santiago, Chile.</t>
  </si>
  <si>
    <t>nicole.trefault@umayor.cl</t>
  </si>
  <si>
    <t>dos Santos, Adriana Lopes/J-6960-2019; Henríquez-Castillo, Carlos/AAD-5902-2022; Lavin, Paris/AAI-9053-2020; Henríquez, Carlos/IRZ-0582-2023</t>
  </si>
  <si>
    <t>dos Santos, Adriana Lopes/0000-0002-0736-4937; Henríquez-Castillo, Carlos/0000-0001-7763-8350; Lavin, Paris/0000-0002-8893-526X</t>
  </si>
  <si>
    <t>INACH [T_16-10, RG_31-15, 11121554]; CNRS International Research Network 'Diversity, Evolution and Biotechnology of Marine Algae' [0803]; ECOS [C16B02]</t>
  </si>
  <si>
    <t>INACH; CNRS International Research Network 'Diversity, Evolution and Biotechnology of Marine Algae'; ECOS</t>
  </si>
  <si>
    <t>This work was funded by INACH grants T_16-10 and RG_31-15, and Fondecyt grant #11121554 to NT. Collaboration with France was funded through CNRS International Research Network 'Diversity, Evolution and Biotechnology of Marine Algae' (GDRI No. 0803) and ECOS No. C16B02. The authors thank the logistic support at the scientific station, Professor Julio Escudero, Juan Francisco Santibanez for his invaluable help during the sample collection, Catharina Alves do Souza and Cristian Vargas for their advice and assistance in the microplankton microscopic identification, and Osvaldo Ulloa for his support with the flow cytometry measurements. The authors also thank the reviewers for their comments on the manuscript.</t>
  </si>
  <si>
    <t>10.1017/S0954102016000699</t>
  </si>
  <si>
    <t>WOS:000404282500004</t>
  </si>
  <si>
    <t>Borchhardt, N; Schiefelbein, U; Abarca, N; Boy, J; Mikhailyuk, T; Sipman, HJM; Karsten, U</t>
  </si>
  <si>
    <t>Borchhardt, Nadine; Schiefelbein, Ulf; Abarca, Nelida; Boy, Jens; Mikhailyuk, Tatiana; Sipman, Harrie J. M.; Karsten, Ulf</t>
  </si>
  <si>
    <t>Diversity of algae and lichens in biological soil crusts of Ardley and King George islands, Antarctica</t>
  </si>
  <si>
    <t>cryptogams; diatoms; green algae; South Shetland Islands; species composition; yellow-green algae</t>
  </si>
  <si>
    <t>LIVINGSTON ISLAND; SHETLAND ISLANDS</t>
  </si>
  <si>
    <t>In the present study the biodiversity of the most abundant phototrophic organisms forming biological soil crust communities were determined, which included green algae, diatoms, yellow-green algae and lichens in samples collected on Ardley and King George islands, Maritime Antarctic. The species were identified by their morphology using light microscopy, and for lichen identification thin layer chromatography as also used to separate specific secondary metabolites. Several sources of information were summarized in an algae catalogue. The results revealed a high species-richness in Antarctic soil crust communities with 127 species in total. Of which, 106 taxa belonged to algae (41 Chlorophyta, nine Streptophyta, 56 Heterokontophyta) and 21 to lichens in 13 genera. Moreover, soil crust communities with different species compositions were determined for the various sampling locations, which might reflect microclimatic and pedological gradients.</t>
  </si>
  <si>
    <t>[Borchhardt, Nadine; Mikhailyuk, Tatiana; Karsten, Ulf] Univ Rostock, Inst Biol Sci Appl Ecol &amp; Phycol, Albert Einstein Str 3, D-18059 Rostock, Germany; [Schiefelbein, Ulf] Blucherstr 71, D-18055 Rostock, Germany; [Abarca, Nelida; Sipman, Harrie J. M.] Free Univ Berlin, Bot Garden &amp; Bot Museum Berlin Dahlem, Konigin Luise Str 6-8, D-14195 Berlin, Germany; [Boy, Jens] Leibniz Univ Hannover, Inst Soil Sci, Herrenhauser Str 2, D-30419 Hannover, Germany; [Mikhailyuk, Tatiana] Natl Acad Sci Ukraine, MH Kholodny Inst Bot, Tereschenkivska St 2, UA-01001 Kiev, Ukraine</t>
  </si>
  <si>
    <t>University of Rostock; Free University of Berlin; Leibniz University Hannover; National Academy of Sciences Ukraine; M.G. Kholodny Institute of Botany, NAS of Ukraine</t>
  </si>
  <si>
    <t>Borchhardt, N (corresponding author), Univ Rostock, Inst Biol Sci Appl Ecol &amp; Phycol, Albert Einstein Str 3, D-18059 Rostock, Germany.</t>
  </si>
  <si>
    <t>nadine.borchhardt@uni-rostock.de</t>
  </si>
  <si>
    <t>Mikhailyuk, Tatiana/AAC-1773-2020; Boy, Jens/B-2926-2018</t>
  </si>
  <si>
    <t>Boy, Jens/0000-0002-2751-957X</t>
  </si>
  <si>
    <t>DFG project 'Polarcrust' of the Priority Program 'Antarctic Research' (DFG: Deutsche Forschungsgemeinschaft) [KA899/23-1]; Alexander von Humboldt Foundation</t>
  </si>
  <si>
    <t>DFG project 'Polarcrust' of the Priority Program 'Antarctic Research' (DFG: Deutsche Forschungsgemeinschaft)(German Research Foundation (DFG)); Alexander von Humboldt Foundation(Alexander von Humboldt Foundation)</t>
  </si>
  <si>
    <t>This study was funded by the DFG project 'Polarcrust' (KA899/23-1) of the Priority Program 1158 'Antarctic Research' (DFG: Deutsche Forschungsgemeinschaft). We are grateful to the Botanic Garden and Botanical Museum Berlin-Dahlem for technical support for the lichen and diatom identification. Special thanks to Dr Lydia Gustavs for initiating co-operation with lichenologists. The authors also thank Karoline Schulz for preparation of diatom slides and taking several light micrographs of these diatoms. Many thanks to the reviewers for the constructive criticism and suggestions. TM thanks the Alexander von Humboldt Foundation for financial support. We also thank the Instituto Antartico Chileno for their logistic support.</t>
  </si>
  <si>
    <t>10.1017/S0954102016000638</t>
  </si>
  <si>
    <t>WOS:000404282500005</t>
  </si>
  <si>
    <t>Heindel, RC; Spickard, AM; Virginia, RA</t>
  </si>
  <si>
    <t>Heindel, Ruth C.; Spickard, Angela M.; Virginia, Ross A.</t>
  </si>
  <si>
    <t>Landscape-scale soil phosphorus variability in the McMurdo Dry Valleys</t>
  </si>
  <si>
    <t>Antarctica; mineral weathering; nutrient cycling; parent material; Taylor Valley</t>
  </si>
  <si>
    <t>TAYLOR VALLEY; ICE-SHEET; POLAR DESERT; ROSS SEA; ANTARCTICA; PERMAFROST; FRACTIONS; MOUNTAINS; ECOSYSTEM; FLUX</t>
  </si>
  <si>
    <t>The predicted increase in liquid water availability in the McMurdo Dry Valleys (MDV), Antarctica, may have profound consequences for nutrient cycling in soil and aquatic ecosystems. Our ability to predict future changes relies on our understanding of current nutrient cycling processes. Multiple hypotheses exist to explain the variability in soil phosphorus content and availability found throughout the MDV region. We analysed 146 surface soil samples from the MDV to determine the relative importance of parent material, landscape age, soil chemistry and texture, and topography on two biologically relevant phosphorus pools, HCl-and NaHCO3-extractable phosphorus. While HCl-extractable phosphorus is highly predicted by parent material, NaHCO3-extractable phosphorus is unrelated to parent material but is significantly correlated with soil conductivity, soil texture and topography. Neither measure of soil phosphorus was related to landscape age across a gradient of similar to 20 000 to 1 500 000 years. Glacial history has played an important role in the availability of soil phosphorus by shaping patterns of soil texture and parent material. With a predicted increase in water availability, the rate of mineral weathering may increase, releasing more HCl-extractable phosphorus into soil and aquatic ecosystems.</t>
  </si>
  <si>
    <t>[Heindel, Ruth C.] Dartmouth Coll, Dept Earth Sci, HB 6105 Fairchild Hall, Hanover, NH 03755 USA; [Spickard, Angela M.; Virginia, Ross A.] Dartmouth Coll, Environm Studies Program, HB 6182 Steele Hall, Hanover, NH 03755 USA; [Virginia, Ross A.] Dartmouth Coll, Inst Arctic Studies, Hanover, NH 03755 USA</t>
  </si>
  <si>
    <t>Dartmouth College; Dartmouth College; Dartmouth College</t>
  </si>
  <si>
    <t>Heindel, RC (corresponding author), Dartmouth Coll, Dept Earth Sci, HB 6105 Fairchild Hall, Hanover, NH 03755 USA.</t>
  </si>
  <si>
    <t>ruth.c.heindel.gr@dartmouth.edu</t>
  </si>
  <si>
    <t>Heindel, Ruth/0000-0001-6292-2076</t>
  </si>
  <si>
    <t>NSF [1115245]</t>
  </si>
  <si>
    <t>NSF(National Science Foundation (NSF))</t>
  </si>
  <si>
    <t>We thank the entire MDV LTER soils teams from 2013-16 for field assistance and support. Thanks to Kevin Geyer, Eric Sokol and Jessica Trout-Haney for assistance collecting samples. Many thanks to the pilots of PHI and the Antarctic Support Contract for all field and lab logistics. Thanks to Paul Zietz at Dartmouth for running the Lachat QuikChem 8500. We thank Joseph Levy and one anonymous reviewer for providing constructive comments on an earlier version of this manuscript. This project was funded by NSF grant #1115245 to RAV.</t>
  </si>
  <si>
    <t>10.1017/S0954102016000742</t>
  </si>
  <si>
    <t>WOS:000404282500007</t>
  </si>
  <si>
    <t>Galaska, MP; Sands, CJ; Santos, SR; Mahon, AR; Halanych, KM</t>
  </si>
  <si>
    <t>Galaska, Matthew P.; Sands, Chester J.; Santos, Scott R.; Mahon, Andrew R.; Halanych, Kenneth M.</t>
  </si>
  <si>
    <t>Crossing the Divide: Admixture Across the Antarctic Polar Front Revealed by the Brittle Star Astrotoma agassizii</t>
  </si>
  <si>
    <t>BIOLOGICAL BULLETIN</t>
  </si>
  <si>
    <t>COMPUTER-PROGRAM; CLIMATE-CHANGE; R-PACKAGE; DIVERSITY; DISPERSAL; GENOTYPE; TEMPERATURE; EVOLUTION; ABUNDANCE; INFERENCE</t>
  </si>
  <si>
    <t>The Antarctic Polar Front (APF) is one of the most well-defined and persistent oceanographic features on the planet and serves as a barrier to dispersal between the Southern Ocean and lower latitudes. High levels of endemism in the Southern Ocean have been attributed to this barrier, whereas the accompanying Antarctic Circumpolar Current (ACC) likely promotes west-to-east dispersal. Previous phylogeographic work on the brittle star Astrotoma agassizii Lyman, 1875 based on mitochondrial genes suggested isolation across the APF, even though populations in both South American waters and the Southern Ocean are morphologically indistinguishable. Here, we revisit this finding using a high-resolution 2b-RAD (restriction-site-associated DNA) single-nucleotide polymorphism (SNP)-based approach, in addition to enlarged mitochondrial DNA data sets (16SrDNA, COI, and COII), for comparison to previous work. In total, 955 biallelic SNP loci confirmed the existence of strongly divergent populations on either side of the Drake Passage. Interestingly, genetic admixture was detected between South America and the Southern Ocean in five individuals on both sides of the APF, revealing evidence of recent or ongoing genetic contact. We also identified two differentiated populations on the Patagonian Shelf with six admixed individuals from these two populations. These findings suggest that the APF is a strong but imperfect barrier. Fluctuations in location and strength of the APF and ACC due to climate shifts may have profound consequences for levels of admixture or endemism in this region of the world.</t>
  </si>
  <si>
    <t>[Galaska, Matthew P.; Santos, Scott R.; Halanych, Kenneth M.] Auburn Univ, Dept Biol Sci, Molette Biol Lab Environm &amp; Climate Change Studie, 101 Rouse Life Sci Bldg, Auburn, AL 36849 USA; [Sands, Chester J.] British Antarctic Survey, NERC, Cambridge CB3 0ET, England; [Mahon, Andrew R.] Cent Michigan Univ, Dept Biol, Mt Pleasant, MI 48859 USA</t>
  </si>
  <si>
    <t>Auburn University System; Auburn University; UK Research &amp; Innovation (UKRI); Natural Environment Research Council (NERC); NERC British Antarctic Survey; Central Michigan University</t>
  </si>
  <si>
    <t>Galaska, MP; Halanych, KM (corresponding author), Auburn Univ, Dept Biol Sci, Molette Biol Lab Environm &amp; Climate Change Studie, 101 Rouse Life Sci Bldg, Auburn, AL 36849 USA.</t>
  </si>
  <si>
    <t>mattgalaska@gmail.com; ken@auburn.edu</t>
  </si>
  <si>
    <t>Santos, Scott R/A-7472-2009; Galaska, Mathew/L-3948-2019; Halanych, Ken M/A-9480-2009</t>
  </si>
  <si>
    <t>Galaska, Mathew/0000-0002-4257-0170; Mahon, Andrew/0000-0002-5074-8725; Sands, Chester/0000-0003-1028-0328</t>
  </si>
  <si>
    <t>National Science Foundation [NSF ANT-1043670, NSF ANT-1043745, OPP-0132032]; British Antarctic Survey; NERC [bas0100036] Funding Source: UKRI; Natural Environment Research Council [bas0100036] Funding Source: researchfish</t>
  </si>
  <si>
    <t>National Science Foundation(National Science Foundation (NSF)); British Antarctic Survey; NERC(UK Research &amp; Innovation (UKRI)Natural Environment Research Council (NERC)); Natural Environment Research Council(UK Research &amp; Innovation (UKRI)Natural Environment Research Council (NERC))</t>
  </si>
  <si>
    <t>We thank the National Science Foundation (NSF ANT-1043670 to ARM, NSF ANT-1043745 and OPP-0132032 to KMH) and the British Antarctic Survey for the funding to collect the specimens and perform the research. This research was made possible with assistance from the captains and crews of NBP12-10, LMG13-12, LMG04-14, LMG06-05, PS77, JR144, JR179, and JR230. We also thank Dr. Stephen Sefick for useful suggestions with ggplot2 in R. This is Molette Biology Laboratory contribution 65 and Auburn University Marine Biology Program contribution 159.</t>
  </si>
  <si>
    <t>0006-3185</t>
  </si>
  <si>
    <t>1939-8697</t>
  </si>
  <si>
    <t>BIOL BULL-US</t>
  </si>
  <si>
    <t>Biol. Bull.</t>
  </si>
  <si>
    <t>10.1086/693460</t>
  </si>
  <si>
    <t>Biology; Marine &amp; Freshwater Biology</t>
  </si>
  <si>
    <t>Life Sciences &amp; Biomedicine - Other Topics; Marine &amp; Freshwater Biology</t>
  </si>
  <si>
    <t>FG7BN</t>
  </si>
  <si>
    <t>WOS:000410562000005</t>
  </si>
  <si>
    <t>[Anonymous]</t>
  </si>
  <si>
    <t>EARTH'S ROTATION SUBMERGES ANTARCTIC GLACIER WATER</t>
  </si>
  <si>
    <t>BULLETIN OF THE AMERICAN METEOROLOGICAL SOCIETY</t>
  </si>
  <si>
    <t>News Item</t>
  </si>
  <si>
    <t>0003-0007</t>
  </si>
  <si>
    <t>1520-0477</t>
  </si>
  <si>
    <t>B AM METEOROL SOC</t>
  </si>
  <si>
    <t>Bull. Amer. Meteorol. Soc.</t>
  </si>
  <si>
    <t>10.1175/BAMS_986_1087-1102_Nowcast</t>
  </si>
  <si>
    <t>GM1LE</t>
  </si>
  <si>
    <t>WOS:000437828000001</t>
  </si>
  <si>
    <t>Mascarenhas, S; Mutnuri, S; Ganguly, A</t>
  </si>
  <si>
    <t>Mascarenhas, Starlaine; Mutnuri, Srikanth; Ganguly, Anasuya</t>
  </si>
  <si>
    <t>Deleterious role of trace elements - Silica and lead in the development of chronic kidney disease</t>
  </si>
  <si>
    <t>CHEMOSPHERE</t>
  </si>
  <si>
    <t>CKDu; Groundwater; Trace-elements; Environmental-nephrotoxins; Emerging-contaminant-silica; Lead</t>
  </si>
  <si>
    <t>GLOMERULAR-FILTRATION-RATE; TUBULOINTERSTITIAL NEPHRITIS; UNCERTAIN ETIOLOGY; SERUM CREATININE; UNKNOWN ETIOLOGY; EXPOSURE; BLOOD; WATER; GROUNDWATER; APOPTOSIS</t>
  </si>
  <si>
    <t>Chronic-Kidney-Disease of Unknown-etiology (CKDu) has been reported in developing-countries like Sri-Lanka, India and Central-America without sparing the Indian sub-district (namely Canacona) located in south-Goa. The disease etiology is unlinked to common causes of diabetes and hypertension and. assumed to be environmentally induced due to its asymptomatic-nature and occurrence in groundwater relying communities. This study aimed to understand environmental risk-factors underlying CKD-uetiology using Indian sub-district (Canacona) as case-study. Biochemical-analysis of CKDu-affected and non-affected individual's blood and detailed hydro-geochemical analyses of CKDu-affected and non affected region's groundwater (drinking-water)were conducted. Trace geogenic-element-silica was highly dominant in affected-region's groundwater, thus its nephrotoxic-potential was analysed via in vitro cytotoxicity-assays on human-kidney-cell-lines. All CKDu-affected-subjects showed increased levels of serum-urea (52.85 mM),creatinine (941.5 mu M),uric-acid (1384.5 mu M), normal blood-glucose (4.65 mM), being distinct biomarkers of environmentally-induced CKD-thronic-tubulo-interstitialnephritis'. Affected-subjects reported high blood-lead levels (1.48 mu M)suggesting direct-nephrotoxicity resulting in impaired blood-clearance and also exhibits indirect-nephrotoxicity by disrupting calcium homeostasis causing skeletal-disorders and prolonged-consumption of NSAID's (pain-alleviation), indirectly causing renal-damage. Affected-region's groundwater was acidic (pH-5.6), resulting in borderline lead (9.98 mu gL(-1)) and high-silica (115.5 mgL(-1))contamination. Silica's bio-availability (determining its nephrotoxicity) was enhanced at groundwater's acidic-pH and Ca-Mg-deficient-composition (since these cations complex with silica reducing bioavailability). Silica exhibited renal-proximal-tubular-cytotoxicity on long-term exposure comparable with affected-region's groundwater silica-levels, by apoptosismediated-cell-death resulting in tubular-atrophy, interstitial-fibrosis and irreversible renal-damage (CKD). Thus this study provides novel-insights into nephrotoxic-potential of trace-geogenic-elementsilica in CKDu causation. It highlights direct-indirect nephrotoxicity exhibited by lead at low-levels due to its bio-accumulative-capacity. Silica's nephrotoxic-potential can be considered when deciphering etiology of CKDu-problem in developing-countries (relying on groundwater). (C) 2017 Elsevier Ltd. All rights reserved.</t>
  </si>
  <si>
    <t>[Mascarenhas, Starlaine; Mutnuri, Srikanth; Ganguly, Anasuya] BITS Pilani, Dept Biol Sci, KK Birla Goa Campus,NH 17 B, Zuarinagar 403726, Goa, India</t>
  </si>
  <si>
    <t>Birla Institute of Technology &amp; Science Pilani (BITS Pilani)</t>
  </si>
  <si>
    <t>Ganguly, A (corresponding author), BITS Pilani, Dept Biol Sci, KK Birla Goa Campus,NH 17 B, Zuarinagar 403726, Goa, India.</t>
  </si>
  <si>
    <t>p2013402@goa.bits-pilani.ac.in; srikanth@goa.bits-pilani.ac.in; ganguly@goa.bits-pilani.ac.in</t>
  </si>
  <si>
    <t>Mascarenhas, Starlaine/0000-0002-2770-9066</t>
  </si>
  <si>
    <t>Council for Scientific and Industrial-Research(CSIR), India [27(0284) 13/EMR-II]</t>
  </si>
  <si>
    <t>Council for Scientific and Industrial-Research(CSIR), India(Council of Scientific &amp; Industrial Research (CSIR) - India)</t>
  </si>
  <si>
    <t>The authors thank Dr.Thamban Meloth, Prashant Redkar and Ashish Paiguinkar of National-Centre for Antarctic and Ocean-Research(NCAOR),Goa for technical-assistance. The authors acknowledge Dr.Aashna(from Apollo-Victor-hospital,Margao); Dr.Lorna(from Canacona-Health-Centre,Canacona)for clinical assistance. This work was financially supported by Council for Scientific and Industrial-Research(CSIR), India [Grant-no: 27(0284) 13/EMR-II].</t>
  </si>
  <si>
    <t>0045-6535</t>
  </si>
  <si>
    <t>1879-1298</t>
  </si>
  <si>
    <t>Chemosphere</t>
  </si>
  <si>
    <t>10.1016/j.chemosphere.2017.02.155</t>
  </si>
  <si>
    <t>Environmental Sciences</t>
  </si>
  <si>
    <t>ES1CX</t>
  </si>
  <si>
    <t>WOS:000399266600029</t>
  </si>
  <si>
    <t>Severi, M; Becagli, S; Caiazzo, L; Ciardini, V; Colizza, E; Giardi, F; Mezgec, K; Scarchilli, C; Stenni, B; Thomas, ER; Traversi, R; Udisti, R</t>
  </si>
  <si>
    <t>Severi, M.; Becagli, S.; Caiazzo, L.; Ciardini, V.; Colizza, E.; Giardi, F.; Mezgec, K.; Scarchilli, C.; Stenni, B.; Thomas, E. R.; Traversi, R.; Udisti, R.</t>
  </si>
  <si>
    <t>Sea salt sodium record from Talos Dome (East Antarctica) as a potential proxy of the Antarctic past sea ice extent</t>
  </si>
  <si>
    <t>Sea-ice; Ice-core; Antarctica; Paleo reconstruction; Climate change; Ross Sea</t>
  </si>
  <si>
    <t>INTERDECADAL PACIFIC OSCILLATION; SOUTHERN-OCEAN; SURFACE-TEMPERATURE; CHRONOLOGY AICC2012; ANNULAR MODES; ROSS SEA; CORE; VARIABILITY; TRENDS; SEDIMENTS</t>
  </si>
  <si>
    <t>Antarctic sea ice has shown an increasing trend in recent decades, but with strong regional differences from one sector to another of the Southern Ocean. The Ross Sea and the Indian sectors have seen an increase in sea ice during the satellite era (1979 onwards). Here we present a record of ssNa(+) flux in the Talos Dome region during a 25-year period spanning from 1979 to 2003, showing that this marker could be used as a potential proxy for reconstructing the sea ice extent in the Ross Sea and Western Pacific Ocean at least for recent decades. After finding a positive relationship between the maxima in sea ice extent for a 25-year period, we used this relationship in the TALDICE record in order to reconstruct the sea ice conditions over the 20th century. Our tentative reconstruction highlighted a decline in the sea ice extent (SIE) starting in the 1950s and pointed out a higher variability of SIE starting from the 1960s and that the largest sea ice extents of the last century occurred during the 1990s. (C) 2017 Elsevier Ltd. All rights reserved.</t>
  </si>
  <si>
    <t>[Severi, M.; Becagli, S.; Caiazzo, L.; Giardi, F.; Traversi, R.; Udisti, R.] Univ Florence, Chem Dept Ugo Schiff, Via Lastruccia 3, I-50019 Sesto Fiorentino, FI, Italy; [Ciardini, V.; Scarchilli, C.] ENEA, Lab Earth Observat &amp; Anal, Rome, Italy; [Colizza, E.; Mezgec, K.] Univ Trieste, Dept Math &amp; Geosci, Trieste, Italy; [Stenni, B.] Ca Foscari Univ Venice, Dept Environm Sci Informat &amp; Stat, Venice, Italy; [Thomas, E. R.] British Antarctic Survey, Cambridge, England; [Udisti, R.] ISAC CNR, Via Gobetti 101, I-40129 Bologna, Italy</t>
  </si>
  <si>
    <t>University of Florence; Italian National Agency New Technical Energy &amp; Sustainable Economics Development; University of Trieste; Universita Ca Foscari Venezia; UK Research &amp; Innovation (UKRI); Natural Environment Research Council (NERC); NERC British Antarctic Survey; Consiglio Nazionale delle Ricerche (CNR); Istituto di Scienze dell'Atmosfera e del Clima (ISAC-CNR)</t>
  </si>
  <si>
    <t>Severi, M (corresponding author), Univ Florence, Chem Dept Ugo Schiff, Via Lastruccia 3, I-50019 Sesto Fiorentino, FI, Italy.</t>
  </si>
  <si>
    <t>mirko.severi@unifi.it</t>
  </si>
  <si>
    <t>Giardi, Fabio/AAP-1091-2020; Thomas, Elizabeth Ruth/ADF-3660-2022; Becagli, Silvia/GNW-2665-2022; Caiazzo, Laura/AAT-1502-2020; Severi, Mirko/J-2508-2012</t>
  </si>
  <si>
    <t>Giardi, Fabio/0000-0003-0291-7800; Thomas, Elizabeth Ruth/0000-0002-3010-6493; Caiazzo, Laura/0000-0001-7932-2499; Scarchilli, Claudio/0000-0002-2414-2439; Colizza, Ester/0000-0002-9026-6667; Stenni, Barbara/0000-0003-4950-3664</t>
  </si>
  <si>
    <t>MIUR-PNRA program through PNRA consortium; University of Milano-Bicocca; University of Venice; NERC [NE/J020710/1, bas0100034] Funding Source: UKRI; Natural Environment Research Council [bas0100034, NE/J020710/1] Funding Source: researchfish</t>
  </si>
  <si>
    <t>MIUR-PNRA program through PNRA consortium; University of Milano-Bicocca; University of Venice; NERC(UK Research &amp; Innovation (UKRI)Natural Environment Research Council (NERC)); Natural Environment Research Council(UK Research &amp; Innovation (UKRI)Natural Environment Research Council (NERC))</t>
  </si>
  <si>
    <t>This research was financially supported by the MIUR-PNRA program through a co-operation agreement among the PNRA consortium, University of Milano-Bicocca and University of Venice in the framework of the Glaciology and Chemistry of Polar Environments projects. This work is also a contribution to the ESF HOLOCLIP project. The HOLOCLIP Project, a joint research project of the European Science Foundation PolarCLIMATE programme, is funded by national contributions from Italy, France, Germany, Spain, Netherlands, Belgium and the United Kingdom. We thank the logistic and drilling TALDICE team. The Talus Dome Ice Core Project (TALDICE), a joint European programme led by Italy, is funded by national contributions from Italy, France, Germany, Switzerland and the United Kingdom. This is HOLOCLIP publication no 29 and TALDICE publication no 46.</t>
  </si>
  <si>
    <t>10.1016/j.chemosphere.2017.03.025</t>
  </si>
  <si>
    <t>WOS:000399266600032</t>
  </si>
  <si>
    <t>Caiazzo, L; Baccolo, G; Barbante, C; Becagli, S; Bertò, M; Ciardini, V; Crotti, I; Delmonte, B; Dreossi, G; Frezzotti, M; Gabrieli, J; Giardi, F; Han, Y; Hong, SB; Hur, SD; Hwang, H; Kang, JH; Narcisi, B; Proposito, M; Scarchilli, C; Selmo, E; Severi, M; Spolaor, A; Stenni, B; Traversi, R; Udisti, R</t>
  </si>
  <si>
    <t>Caiazzo, L.; Baccolo, G.; Barbante, C.; Becagli, S.; Berto, M.; Ciardini, V.; Crotti, I.; Delmonte, B.; Dreossi, G.; Frezzotti, M.; Gabrieli, J.; Giardi, F.; Han, Y.; Hong, S. -B.; Hur, S. D.; Hwang, H.; Kang, J. -H.; Narcisi, B.; Proposito, M.; Scarchilli, C.; Selmo, E.; Severi, M.; Spolaor, A.; Stenni, B.; Traversi, R.; Udisti, R.</t>
  </si>
  <si>
    <t>Prominent features in isotopic, chemical and dust stratigraphies from coastal East Antarctic ice sheet (Eastern Wilkes Land)</t>
  </si>
  <si>
    <t>Chemical composition; Snow pit; East Antarctica; Dating; Seasonal pattern; GV7</t>
  </si>
  <si>
    <t>NORTHERN VICTORIA LAND; LASER-INDUCED INCANDESCENCE; BIOGENIC SULFUR-COMPOUNDS; DEUTERIUM EXCESS SIGNAL; SURFACE MASS-BALANCE; BLACK CARBON; TALOS DOME; SPATIAL-DISTRIBUTION; STABLE-ISOTOPES; SNOW</t>
  </si>
  <si>
    <t>In this work we present the isotopic, chemical and dust stratigraphies of two snow pits sampled in 2013/ 14 at GV7 (coastal East Antarctica: 70 41' S - 158 51' E, 1950 m a.s.l.). A large number of chemical species are measured aiming to study their potentiality as environmental changes markers. Seasonal cluster backward trajectories analysis was performed and compared with chemical marker stratigraphies. Sea spray aerosol is delivered to the sampling site together with snow precipitation especially in autumn-winter by air masses arising from Western Pacific Ocean sector. Dust show maximum concentration in spring when the air masses arising from Ross Sea sector mobilize mineral dust from ice-free areas of the Transantarctic mountains. The clear seasonal pattern of sulfur oxidized compounds allows the dating of the snow-pit and the calculation of the mean accumulation rate, which is 242 +/- 71 mm w.e. for the period 2008-2013. Methanesulfonic acid and NO3- do not show any concentration decreasing trend as depth increases, also considering a 12 m firn core record. Therefore these two compounds are not affected by post-depositional processes at this site and can be considered reliable markers for past environmental changes reconstruction. The rBC snow-pit record shows the highest values in summer 2012 likely related to large biomass burning even occurred in Australia in this summer. The undisturbed accumulation rate for this site is demonstrated by the agreement between the chemical stratigraphies and the annual accumulation rate of the two snow-pits analysed in Italian and Korean laboratories. (C) 2017 Elsevier Ltd. All rights reserved.</t>
  </si>
  <si>
    <t>[Caiazzo, L.; Becagli, S.; Giardi, F.; Severi, M.; Traversi, R.; Udisti, R.] Univ Florence, Dept Chem Ugo Schiff, Via Lastruccia,3, I-50019 Florence, Italy; [Baccolo, G.; Crotti, I.; Delmonte, B.] Univ Milano Bicocca, DISAT, Piazza Sci,1, I-20126 Milan, Italy; [Baccolo, G.] Univ Siena, Earth Sci Dept, Via Laterino,8, I-53100 Siena, Italy; [Barbante, C.; Spolaor, A.] CNR, Inst Dynam Environm Proc, Via Torino,155, I-30172 Venice, Italy; [Barbante, C.; Berto, M.; Dreossi, G.; Gabrieli, J.; Spolaor, A.; Stenni, B.] Ca Foscari Univ Venice, DAIS, Via Torino,155, Venice, Italy; [Ciardini, V.; Frezzotti, M.; Narcisi, B.; Proposito, M.; Scarchilli, C.] ENEA CR Casaccia, Lab Earth Observat &amp; Anal, I-00123 Rome, Italy; [Han, Y.; Hong, S. -B.; Hur, S. D.; Hwang, H.; Kang, J. -H.] Korea Polar Res Inst KOPRI, 26 Songdomirearo, Incheon 21990, South Korea; [Selmo, E.] Univ Parma, Dept Chem Life Sci &amp; Environm Sustainabil, Parco Area Sci,11-A, Parma, Italy; [Udisti, R.] ISAC CNR, Via Gobetti 101, I-40129 Bologna, Italy</t>
  </si>
  <si>
    <t>University of Florence; University of Milano-Bicocca; University of Siena; Consiglio Nazionale delle Ricerche (CNR); Istituto per la Dinamica dei Processi Ambientali (IDPA-CNR); Universita Ca Foscari Venezia; Italian National Agency New Technical Energy &amp; Sustainable Economics Development; Korea Polar Research Institute (KOPRI); University of Parma; Consiglio Nazionale delle Ricerche (CNR); Istituto di Scienze dell'Atmosfera e del Clima (ISAC-CNR)</t>
  </si>
  <si>
    <t>Becagli, S (corresponding author), Univ Florence, Dept Chem Ugo Schiff, Via Lastruccia,3, I-50019 Florence, Italy.</t>
  </si>
  <si>
    <t>silvia.becagli@unifi.it</t>
  </si>
  <si>
    <t>Spolaor, Andrea/AAX-8808-2020; Becagli, Silvia/GNW-2665-2022; Baccolo, Giovanni/J-9543-2019; Giardi, Fabio/AAP-1091-2020; Caiazzo, Laura/AAT-1502-2020; Delmonte, Barbara/L-2555-2015; Barbante, Carlo/B-3195-2011; Severi, Mirko/J-2508-2012; Traversi, Rita/M-7586-2015; FREZZOTTI, Massimo/AAK-7275-2020</t>
  </si>
  <si>
    <t>Spolaor, Andrea/0000-0001-8635-9193; Baccolo, Giovanni/0000-0002-1246-8968; Giardi, Fabio/0000-0003-0291-7800; Caiazzo, Laura/0000-0001-7932-2499; Delmonte, Barbara/0000-0002-9074-2061; FREZZOTTI, Massimo/0000-0002-2461-2883; Stenni, Barbara/0000-0003-4950-3664; Berto, Michele/0000-0002-9182-6427; Barbante, Carlo/0000-0003-4177-2288; Proposito, Marco/0000-0002-5977-3003; Jacopo, Gabrieli/0009-0001-7005-7390; Scarchilli, Claudio/0000-0002-2414-2439; Crotti, Ilaria/0000-0002-7270-6446</t>
  </si>
  <si>
    <t>MIUR (Italian Ministry of University and Research); KOPRI (Korea Polar Research Institute) [PE15010]; MIUR (Italian Ministry of University and Research); KOPRI (Korea Polar Research Institute) [PE15010]</t>
  </si>
  <si>
    <t>MIUR (Italian Ministry of University and Research)(Ministry of Education, Universities and Research (MIUR)); KOPRI (Korea Polar Research Institute); MIUR (Italian Ministry of University and Research)(Ministry of Education, Universities and Research (MIUR)); KOPRI (Korea Polar Research Institute)</t>
  </si>
  <si>
    <t>This research was financially supported by the MIUR (Italian Ministry of University and Research) - PNRA (Italian Antarctic Research Programme) program through the IPICS-2kyr-It project (International Partnership for Ice Core Science, reconstructing the climate variability for the last 2kyr, the Italian contribution). The IPICS-2kyr-It project is carried out in cooperation with KOPRI (Korea Polar Research Institute, grant No. PE15010).</t>
  </si>
  <si>
    <t>10.1016/j.chemosphere.2017.02.115</t>
  </si>
  <si>
    <t>ES9AW</t>
  </si>
  <si>
    <t>WOS:000399849300032</t>
  </si>
  <si>
    <t>Darling, ES; Graham, NAJ; Januchowski-Hartley, FA; Nash, KL; Pratchett, MS; Wilson, SK</t>
  </si>
  <si>
    <t>Darling, Emily S.; Graham, Nicholas A. J.; Januchowski-Hartley, Fraser A.; Nash, Kirsty L.; Pratchett, Morgan S.; Wilson, Shaun K.</t>
  </si>
  <si>
    <t>Relationships between structural complexity, coral traits, and reef fish assemblages</t>
  </si>
  <si>
    <t>Habitat diversity; Species traits; Functional ecology; Reef architecture; Scleractinian corals; Coral reef fish</t>
  </si>
  <si>
    <t>HABITAT COMPLEXITY; DIVERSITY; COMMUNITY; VULNERABILITY; BIODIVERSITY; FRAMEWORK; ABUNDANCE; FISHERIES; RICHNESS; FUTURE</t>
  </si>
  <si>
    <t>With the ongoing loss of coral cover and the associated flattening of reef architecture, understanding the links between coral habitat and reef fishes is of critical importance. Here, we investigate whether considering coral traits and functional diversity provides new insights into the relationship between structural complexity and reef fish communities, and whether coral traits and community composition can predict structural complexity. Across 157 sites in Seychelles, Maldives, the Chagos Archipelago, and Australia's Great Barrier Reef, we find that structural complexity and reef zone are the strongest and most consistent predictors of reef fish abundance, biomass, species richness, and trophic structure. However, coral traits, diversity, and life histories provided additional predictive power for models of reef fish assemblages, and were key drivers of structural complexity. Our findings highlight that reef complexity relies on living corals-with different traits and life histories-continuing to build carbonate skeletons, and that these nuanced relationships between coral assemblages and habitat complexity can affect the structure of reef fish assemblages. Seascape-level estimates of structural complexity are rapid and cost effective with important implications for the structure and function of fish assemblages, and should be incorporated into monitoring programs.</t>
  </si>
  <si>
    <t>[Darling, Emily S.] Wildlife Conservat Soc, Marine Program, Bronx, NY 10460 USA; [Darling, Emily S.] Univ Toronto, Dept Ecol &amp; Evolutionary Biol, Toronto, ON M5S 3B2, Canada; [Graham, Nicholas A. J.] Univ Lancaster, Lancaster Environm Ctr, Lancaster LA1 4YQ, England; [Graham, Nicholas A. J.; Pratchett, Morgan S.] James Cook Univ, ARC Ctr Excellence Coral Reef Studies, Townsville, Qld 4811, Australia; [Januchowski-Hartley, Fraser A.] Univ Montpellier, IRD CNRS IFREMER UM, IRD UMR MARBEC 9190, F-34095 Montpellier, France; [Nash, Kirsty L.] Ctr Marine Socioecol, Hobart, Tas 7000, Australia; [Nash, Kirsty L.] Univ Tasmania, Inst Marine &amp; Antarctic Studies, Hobart, Tas 7000, Australia; [Wilson, Shaun K.] Dept Pk &amp; Wildlife, Marine Sci Program, Kensington, WA 6151, Australia; [Wilson, Shaun K.] Univ Western Australia, Oceans Inst, Crawley, WA 6009, Australia</t>
  </si>
  <si>
    <t>Wildlife Conservation Society; University of Toronto; Lancaster University; James Cook University; Ifremer; Universite de Montpellier; University of Tasmania; University of Western Australia</t>
  </si>
  <si>
    <t>Darling, ES (corresponding author), Wildlife Conservat Soc, Marine Program, Bronx, NY 10460 USA.;Darling, ES (corresponding author), Univ Toronto, Dept Ecol &amp; Evolutionary Biol, Toronto, ON M5S 3B2, Canada.</t>
  </si>
  <si>
    <t>edarling@wcs.org</t>
  </si>
  <si>
    <t>Januchowski-Hartley, Fraser A./H-8904-2019; Wilson, Shaun/K-8597-2019; Graham, Nicholas/C-8360-2014; Nash, Kirsty L/B-5456-2015; Pratchett, Morgan/AAW-5179-2020</t>
  </si>
  <si>
    <t>Januchowski-Hartley, Fraser A./0000-0003-2468-8199; Wilson, Shaun/0000-0002-4590-0948; Graham, Nicholas/0000-0002-0304-7467; Nash, Kirsty L/0000-0003-0976-3197; Pratchett, Morgan/0000-0002-1862-8459; Darling, Emily/0000-0002-1048-2838</t>
  </si>
  <si>
    <t>David H. Smith Conservation Research Fellowship from the Cedar Tree Foundation; Banting Fellowship from the Natural Sciences and Engineering Research Council of Canada; John D. and Catherine T. MacArthur Foundation; Australian Research Council; Royal Society University Research Fellowship; Seychelles Fishing Authority; Seychelles National Parks Authority; Nature Seychelles; Global Vision International</t>
  </si>
  <si>
    <t>David H. Smith Conservation Research Fellowship from the Cedar Tree Foundation; Banting Fellowship from the Natural Sciences and Engineering Research Council of Canada(Natural Sciences and Engineering Research Council of Canada (NSERC)); John D. and Catherine T. MacArthur Foundation; Australian Research Council(Australian Research Council); Royal Society University Research Fellowship(Royal Society); Seychelles Fishing Authority; Seychelles National Parks Authority; Nature Seychelles; Global Vision International</t>
  </si>
  <si>
    <t>We thank Sally Keith for providing species lists for Indo-Pacific provinces. ESD was supported by a David H. Smith Conservation Research Fellowship from the Cedar Tree Foundation, a Banting Fellowship from the Natural Sciences and Engineering Research Council of Canada, and the John D. and Catherine T. MacArthur Foundation. NAJG was supported by the Australian Research Council and a Royal Society University Research Fellowship. Field work in the Seychelles was supported by the Seychelles Fishing Authority, Seychelles National Parks Authority, Nature Seychelles, and Global Vision International. We thank the reviewers and Editor for suggestions that substantially improved earlier versions of this manuscript.</t>
  </si>
  <si>
    <t>10.1007/s00338-017-1539-z</t>
  </si>
  <si>
    <t>Y</t>
  </si>
  <si>
    <t>N</t>
  </si>
  <si>
    <t>WOS:000401627400020</t>
  </si>
  <si>
    <t>Schofield, O; Saba, G; Coleman, K; Carvalho, F; Couto, N; Ducklow, H; Finkel, Z; Irwin, A; Kahl, A; Miles, T; Montes-Hugo, M; Stammerjohn, S; Waite, N</t>
  </si>
  <si>
    <t>Schofield, Oscar; Saba, Grace; Coleman, Kaycee; Carvalho, Filipa; Couto, Nicole; Ducklow, Hugh; Finkel, Zoe; Irwin, Andrew; Kahl, Alex; Miles, Travis; Montes-Hugo, Martin; Stammerjohn, Sharon; Waite, Nicole</t>
  </si>
  <si>
    <t>Decadal variability in coastal phytoplankton community composition in a changing West Antarctic Peninsula</t>
  </si>
  <si>
    <t>SIZE-FRACTIONATED PHYTOPLANKTON; MIXED-LAYER DEPTH; SOUTHERN-OCEAN; CLIMATE-CHANGE; FOOD-WEB; MARINE ECOSYSTEM; SEA-ICE; BIOMASS; PRODUCTIVITY; KRILL</t>
  </si>
  <si>
    <t>The coastal waters of the West Antarctic Peninsula (WAP) are associated with large phytoplankton blooms dominated by large (&gt; 20 mu m) diatoms however, nanoplankton (&lt; 20 mu m) are also an important component of the food web. The dominant nanoflagellates in the WAP are cryptomonad algae. Using a twenty-year time series collected by the Palmer Long Term Ecological Research program at the United States Palmer Research Station, we assessed long-term patterns and stability in the coastal phytoplankton communities in the WAP. There was significant interannual variability in the integrated water column chlorophyll a (chl-a) concentrations, which varied by a factor of 5 over the 20-year time series. There has been a significant positive increase in the seasonally integrated concentration of chl-a over the time series. The dominant phytoplankton were diatoms, with cryptophytes the second most abundant. Mixed flagellates also constituted a significant fraction of the chl-a but showed less interannual variability than diatoms and cryophytes. Peak phytoplankton biomass was observed in summer months, when monthly averaged wind speed was lower than in the fall and autumn. Cryptophytes were most abundant during the summer months (December-January) after the seasonal retreat of sea ice. While diatoms were observed over the full range of observed salinities 32-34.5) as well as over the full range of in situ temperatures (-1.5 to -2.5 degrees C), the cryptophyte populations were observed in locations with lower salinity 32.5-33.75) and colder water (-1 to 1 degrees C). Environmental factors that favored a shallower seasonal mixed layer resulted in larger diatom blooms compared to the other phytoplankton taxa. During summer with lower phytoplankton biomass, a larger proportion of the chlorophyll a was associated with cryptophytes. These results demonstrate that continued temperature changes along the West Antarctic Peninsula will result in changes in phytoplankton concentration and community composition, which has significant ramifications for the food web.</t>
  </si>
  <si>
    <t>[Schofield, Oscar; Saba, Grace; Coleman, Kaycee; Carvalho, Filipa; Couto, Nicole; Kahl, Alex; Miles, Travis; Waite, Nicole] Rutgers State Univ, Sch Environm &amp; Biol Sci, Dept Marine &amp; Coastal Sci, RU COOL, New Brunswick, NJ 80901 USA; [Ducklow, Hugh] Lamont Doherty Earth Observ, Palisades, NY 10964 USA; [Finkel, Zoe; Irwin, Andrew] Mt Allison Univ, Sackville, NB, Canada; [Montes-Hugo, Martin] Univ Quebec, Inst Sci Mer Rimouski, 310 Alee Ursulines, Rimouski, PQ G5L 3A1, Canada; [Stammerjohn, Sharon] Univ Colorado, Inst Arct &amp; Alpine Res, Campus Box 450, Boulder, CO 80309 USA</t>
  </si>
  <si>
    <t>Rutgers University System; Rutgers University New Brunswick; Columbia University; Mount Allison University; University of Quebec; University of Colorado System; University of Colorado Boulder</t>
  </si>
  <si>
    <t>Schofield, O (corresponding author), Rutgers State Univ, Sch Environm &amp; Biol Sci, Dept Marine &amp; Coastal Sci, RU COOL, New Brunswick, NJ 80901 USA.</t>
  </si>
  <si>
    <t>oscar@marine.rutgers.edu</t>
  </si>
  <si>
    <t>Irwin, Andrew J/B-2245-2008; Schofield, Oscar/H-4169-2018; Finkel, Zoe/B-9626-2008; Miles, Travis/L-7918-2013; Carvalho, Filipa/B-7223-2017</t>
  </si>
  <si>
    <t>Schofield, Oscar/0000-0003-2359-4131; Finkel, Zoe/0000-0003-4212-3917; Miles, Travis/0000-0003-1992-0248; Carvalho, Filipa/0000-0002-8355-4329; Irwin, Andrew/0000-0001-7784-2319; Coleman, Kaycee/0000-0002-6935-2923; Waite, Nicole/0000-0002-1107-4959</t>
  </si>
  <si>
    <t>LTER Program of the US National Science Foundation [ANT-0823101]; Office of Polar Programs, NSF [OPP-9011927, OPP-9632763, OPP-0217282]; NASA [NNX14AL86G]; NASA [NNX14AL86G, 679094] Funding Source: Federal RePORTER</t>
  </si>
  <si>
    <t>LTER Program of the US National Science Foundation(National Science Foundation (NSF)); Office of Polar Programs, NSF; NASA(National Aeronautics &amp; Space Administration (NASA)); NASA(National Aeronautics &amp; Space Administration (NASA))</t>
  </si>
  <si>
    <t>We thank Raytheon Polar Services and Lockheed Martin, the captains and crews of the R.V. Laurence M. Gould, and the Palmer Station crew for field assistance. We thank the many current and former PAL-LTER team members for their excellence in the field and laboratory. The research was supported by the LTER Program of the US National Science Foundation (ANT-0823101). Data from the PAL-LTER data repository were supported by Office of Polar Programs, NSF Grants OPP-9011927, OPP-9632763 and OPP-0217282. We also are grateful from funding provided by NASA Award NNX14AL86G. We also thank two anonymous reviewers whose constructive suggestions improved this manuscript.</t>
  </si>
  <si>
    <t>10.1016/j.dsr.2017.04.014</t>
  </si>
  <si>
    <t>WOS:000404700200004</t>
  </si>
  <si>
    <t>Villegas-Amtmann, S; McDonald, BI; Páez-Rosas, D; Aurioles-Gamboa, D; Costa, DP</t>
  </si>
  <si>
    <t>Villegas-Amtmann, Stella; McDonald, Birgitte I.; Paez-Rosas, Diego; Aurioles-Gamboa, David; Costa, Daniel P.</t>
  </si>
  <si>
    <t>Adapted to change: Low energy requirements in a low and unpredictable productivity environment, the case of the Galapagos sea lion</t>
  </si>
  <si>
    <t>Diving behavior; Doubly labeled water; Metabolic rate; Otariids; Zalophus wollebaeki</t>
  </si>
  <si>
    <t>EASTERN TROPICAL PACIFIC; LABELED WATER METHOD; FIELD METABOLIC-RATE; ANTARCTIC FUR SEALS; PHOCARCTOS-HOOKERI; FORAGING BEHAVIOR; ARCTOCEPHALUS-GALAPAGOENSIS; ZALOPHUS-CALIFORNIANUS; POTENTIAL ERRORS; MILK-COMPOSITION</t>
  </si>
  <si>
    <t>The rate of energy expenditure and acquisition are fundamental components of an animals' life history. Within mammals, the otariids (sea lions and fur seals) exhibit energetically expensive life styles, which can be challenging in equatorial regions where resources are particularly limited and unpredictable. To better understand how this energetically expensive life history pattern functions in an energetically challenging equatorial system, we concurrently measured the field metabolic rate (FMR) and foraging behavior of lactating Galapagos sea lions (GSL) rearing pups and yearlings. Females with pups tended to forage to the north, diving deeper, epi and mesopelagically compared to females with yearlings, which foraged to the west and performed dives to the sea bed that were shallower. FMR did not differ between females with pups or yearlings but, increased significantly with % time spent at-sea. Females with yearlings had higher water influx, suggesting greater food intake, but had lower body condition. The FMR (4.08 +/- 0.6 W/kg) of GSL is the lowest measured for any otariid, but is consistent with Galapagos fur seals which also exhibit low FMR. The observation that these two otariids have reduced energy requirements is consistent with an adaptation to the reduced prey availability of the Galapagos marine environment compared to other more productive marine systems. (C) 2016 Elsevier Ltd. All rights reserved.</t>
  </si>
  <si>
    <t>[Villegas-Amtmann, Stella; Costa, Daniel P.] Univ Calif Santa Cruz, Long Marine Lab, 100 Shaffer Rd, Coh, CA 95060 USA; [McDonald, Birgitte I.] Moss Landing Marine Labs, 8272 Moss Landing Rd, Moss Landing, CA 95039 USA; [Paez-Rosas, Diego] Univ San Francisco Quito, San Cristobal Isl, Galapagos, Ecuador; [Paez-Rosas, Diego] Galapagos Sci Ctr, San Cristobal Isl, Galapagos, Ecuador; [Paez-Rosas, Diego] Unidad Tecn Operat San Cristobal, Direcc Parque Nacl Galapagos, San Cristobal Isl, Galapagos, Ecuador; [Aurioles-Gamboa, David] Inst Politecn Nacl, Ctr Interdisciplinario Ciencias Marinas, Ave IPN S-N Colonia Playa Palo de Santa Rita, La Paz, Baja California, Mexico</t>
  </si>
  <si>
    <t>University of California System; University of California Santa Cruz; Moss Landing Marine Laboratories; Universidad San Francisco de Quito; Universidad San Francisco de Quito; Instituto Politecnico Nacional - Mexico</t>
  </si>
  <si>
    <t>Villegas-Amtmann, S (corresponding author), Univ Calif Santa Cruz, Long Marine Lab, 100 Shaffer Rd, Coh, CA 95060 USA.</t>
  </si>
  <si>
    <t>stella.villegas@gmail.com</t>
  </si>
  <si>
    <t>McDonald, Birgitte I/I-3602-2019; Páez-Rosas, Diego/X-3047-2019; Costa, Daniel Paul/E-2616-2013</t>
  </si>
  <si>
    <t>McDonald, Birgitte I/0000-0001-5028-066X; Páez-Rosas, Diego/0000-0002-2446-9888; Costa, Daniel Paul/0000-0002-0233-5782</t>
  </si>
  <si>
    <t>Office of Naval Research; E &amp; P Sound and Marine Life Joint Industry Project of the IAGOP [JIP 22 07-23]; Consejo Nacional de Ciencia y Tecnologia (CONACYT) in Mexico; Instituto Politecnico Nacional (IPN) of Mexico [SIP-20120061]</t>
  </si>
  <si>
    <t>Office of Naval Research(Office of Naval Research); E &amp; P Sound and Marine Life Joint Industry Project of the IAGOP; Consejo Nacional de Ciencia y Tecnologia (CONACYT) in Mexico(Consejo Nacional de Ciencia y Tecnologia (CONACyT)); Instituto Politecnico Nacional (IPN) of Mexico</t>
  </si>
  <si>
    <t>We thank the Office of Naval Research, the E &amp; P Sound and Marine Life Joint Industry Project of the IAGOP (#JIP 22 07-23) and Consejo Nacional de Ciencia y Tecnologia (CONACYT) in Mexico for funding support. We thank Instituto Politecnico Nacional (IPN) of Mexico for funding and logistic support of the Project SIP-20120061. We thank the Galapagos National Park, especially the ranger J. Torres for their support during field work. We thank D. Schuman, S. Barberan and the San Cristobal naval base for their help in the field.</t>
  </si>
  <si>
    <t>10.1016/j.dsr2.2016.05.015</t>
  </si>
  <si>
    <t>WOS:000403513400010</t>
  </si>
  <si>
    <t>Arthur, B; Hindell, M; Bester, M; De Bniyn, PJN; Trathan, P; Goebel, M; Lea, MA</t>
  </si>
  <si>
    <t>Arthur, Benjamin; Hindell, Mark; Bester, Marthan; De Bniyn, P. J. Nico; Trathan, Phil; Goebel, Michael; Lea, Mary-Anne</t>
  </si>
  <si>
    <t>Winter habitat predictions of a key Southern Ocean predator, the Antarctic fur seal (Arctocephalus gazella)</t>
  </si>
  <si>
    <t>Foraging behaviour; Geographical distribution; Habitat model; Pinniped; Prediction; Tracking</t>
  </si>
  <si>
    <t>MARINE PREDATOR; SPECIES DISTRIBUTION; PHYTOPLANKTON BLOOM; SUBMESOSCALE FRONTS; DISTRIBUTION MODELS; BREEDING-SEASON; CROZET PLATEAU; KING PENGUINS; MOVEMENTS; TRACKING</t>
  </si>
  <si>
    <t>Quantification of the physical and biological environmental factors that influence the spatial distribution of higher trophic species is central to inform management and develop ecosystem models, particularly in light of ocean changes. We used tracking data from 184 female Antarctic fur seals (Arctocephalus gazella) to develop habitat models for three breeding colonies for the poorly studied Southern Ocean winter period. Models were used to identify and predict the broadly important winter foraging habitat and to elucidate the environmental factors influencing these areas. Model predictions closely matched observations and several core areas of foraging habitat were identified for each colony, with notable areas of inter-colony overlap suggesting shared productive foraging grounds. Seals displayed clear choice of foraging habitat, travelling through areas of presumably poorer quality to access habitats that likely offer an energetic advantage in terms of prey intake. The relationships between environmental predictors and foraging habitat varied between colonies, with the principal predictors being wind speed, sea surface temperature, chlorophyll a concentration, bathymetry and distance to the colony. The availability of core foraging areas was not consistent throughout the winter period. The habitat models developed in this study not only reveal the core foraging habitats of Antarctic fur seals from multiple colonies, but can facilitate the hindcasting of historical foraging habitats as well as novel predictions of important habitat for other major colonies currently lacking information of the at-sea distribution of this major Southern Ocean consumer.</t>
  </si>
  <si>
    <t>[Arthur, Benjamin; Hindell, Mark; Lea, Mary-Anne] Univ Tasmania, Inst Marine &amp; Antarctic Studies, 20 Castray Esplanade, Hobart, Tas 7004, Australia; [Arthur, Benjamin; Hindell, Mark] Univ Tasmania, Antarctic Climate &amp; Ecosyst Cooperat Res Ctr, 20 Castray Esplanade, Hobart, Tas 7004, Australia; [Bester, Marthan; De Bniyn, P. J. Nico] Univ Pretoria, Mammal Res Inst, Dept Zool &amp; Entomol, Private Bag X20, ZA-0028 Pretoria, South Africa; [Trathan, Phil] British Antarctic Survey, Madingley Rd, Cambridge CB3 0ET, England; [Goebel, Michael] NOAA NMFS SWFSC, Antarctic Ecosyst Res Div, 8901 La Jolla Shores Dr, La Jolla, CA 92037 USA</t>
  </si>
  <si>
    <t>University of Tasmania; Antarctic Climate &amp; Ecosystems Cooperative Research Centre (ACE CRC); University of Tasmania; University of Pretoria; UK Research &amp; Innovation (UKRI); Natural Environment Research Council (NERC); NERC British Antarctic Survey; National Oceanic Atmospheric Admin (NOAA) - USA</t>
  </si>
  <si>
    <t>Arthur, B (corresponding author), Inst Marine &amp; Antarctic Studies, Private Bag 129, Hobart, Tas 7001, Australia.</t>
  </si>
  <si>
    <t>Benjamin.Arthur@utas.edu.au; Mark.Hindell@utas.edu.au; mnbester@zoology.up.ac.za; pjndebruyn@zoology.up.ac.za; pnt@bas.ac.uk; mike.goebel@noaa.gov; MaryAnne.Lea@utas.edu.au</t>
  </si>
  <si>
    <t>Bester, Marthán N/E-5387-2010; Hindell, Mark A/K-1131-2013; de Bruyn, P. J. Nico/E-4176-2010; Lea, Mary-Anne/E-9054-2013</t>
  </si>
  <si>
    <t>de Bruyn, P. J. Nico/0000-0002-9114-9569; Hindell, Mark/0000-0002-7823-7185; Arthur, Benjamin/0000-0002-1390-5760; Lea, Mary-Anne/0000-0001-8318-9299</t>
  </si>
  <si>
    <t>Sea World Research and Rescue Foundation Inc. Australia [SWR/6/2013]; ANZ Trustees Holsworth Wildlife Research Endowment [L0020491]; Australian Research Council [DP0770910]; Australian Antarctic Science [2940]; NERC [bas0100035] Funding Source: UKRI; Natural Environment Research Council [bas0100035] Funding Source: researchfish; Australian Research Council [DP0770910] Funding Source: Australian Research Council</t>
  </si>
  <si>
    <t>Sea World Research and Rescue Foundation Inc. Australia; ANZ Trustees Holsworth Wildlife Research Endowment; Australian Research Council(Australian Research Council); Australian Antarctic Science; NERC(UK Research &amp; Innovation (UKRI)Natural Environment Research Council (NERC)); Natural Environment Research Council(UK Research &amp; Innovation (UKRI)Natural Environment Research Council (NERC)); Australian Research Council(Australian Research Council)</t>
  </si>
  <si>
    <t>We are especially grateful to the Marion Island (2008-13), Bird Island (2008-11) and Cape Shirreff (2008-10) field teams for their efforts in deploying and recovering tags. We acknowledge the logistical support provided by the South African National Antarctic Program (SANAP), the British Antarctic Survey (BAS) and the U.S. Antarctic Marine Living Resources (US AMLR) Program. Thank you to Mike Sumner, Ben Raymond and Simon Wotherspoon for analytical assistance and to Keith Reid for his advice during analysis and manuscript preparation. This work was funded by Sea World Research and Rescue Foundation Inc. Australia (SWR/6/2013), ANZ Trustees Holsworth Wildlife Research Endowment (L0020491), Australian Research Council (Grant no. DP0770910) and Australian Antarctic Science (Grant no. 2940)Travel support to present this work at the 3rd CLIOTOP Symposium was provided by the Antarctic Climate &amp; Ecosystems Cooperative Research Centre and the Australian Wildlife Society. All animal handling and experimentation were approved by the University of Tasmania Animal Ethics Committee (permit A001134), the University of Pretoria Animal Use and Care Committee (permit AUCC 040827-024) and the joint British Antarctic Survey-ambridge University Animal Ethics Review Committee (does not issue permit numbers). Work at Cape Shirreff was conducted under the USA Marine Mammal Protection Act Permit No. 774-1847-04 granted by the Office of Protected Resources, National Marine Fisheries Service, the Antarctic Conservation Act Permit No. 2008-008, and approved by the NMFS SWFSC Institutional Animal Care and Use Committee.</t>
  </si>
  <si>
    <t>10.1016/j.dsr2.2016.10.009</t>
  </si>
  <si>
    <t>WOS:000403513400017</t>
  </si>
  <si>
    <t>Manno, C; Bednarsek, N; Tarling, GA; Peck, VL; Comeau, S; Adhikari, D; Bakker, DCE; Bauerfeind, E; Bergan, AJ; Berning, MI; Buitenhuis, E; Burridge, AK; Chierici, M; Flöter, S; Fransson, A; Gardner, J; Howes, EL; Keul, N; Kimoto, K; Kohnert, P; Lawson, GL; Lischka, S; Maas, A; Mekkes, L; Oakes, RL; Pebody, C; Peijnenburg, KTCA; Seifert, M; Skinner, J; Thibodeau, PS; Wall-Palmer, D; Ziveri, P</t>
  </si>
  <si>
    <t>Manno, Clara; Bednarsek, Nina; Tarling, Geraint A.; Peck, Vicky L.; Comeau, Steeve; Adhikari, Deepak; Bakker, Dorothee C. E.; Bauerfeind, Eduard; Bergan, Alexander J.; Berning, Maria I.; Buitenhuis, Erik; Burridge, Alice K.; Chierici, Melissa; Floeter, Sebastian; Fransson, Agneta; Gardner, Jessie; Howes, Ella L.; Keul, Nina; Kimoto, Katsunori; Kohnert, Peter; Lawson, Gareth L.; Lischka, Silke; Maas, Amy; Mekkes, Lisette; Oakes, Rosie L.; Pebody, Corinne; Peijnenburg, Katja T. C. A.; Seifert, Miriam; Skinner, Jennifer; Thibodeau, Patricia S.; Wall-Palmer, Deborah; Ziveri, Patrizia</t>
  </si>
  <si>
    <t>Shelled pteropods in peril: Assessing vulnerability in a high CO2 ocean</t>
  </si>
  <si>
    <t>EARTH-SCIENCE REVIEWS</t>
  </si>
  <si>
    <t>Euthecosomatous pteropods; Ocean acidification; Calcifying organisms; Marine ecosystem; Carbonate chemistry</t>
  </si>
  <si>
    <t>LIMACINA-HELICINA; METABOLIC-RESPONSE; SATURATION STATE; ACIDIFICATION; SEA; VARIABILITY; ARAGONITE; CARBON; ZOOPLANKTON; GASTROPODA</t>
  </si>
  <si>
    <t>The impact of anthropogenic ocean acidification (OA) on marine ecosystems is a vital concern facing marine scientists and managers of ocean resources. Euthecosomatous pteropods (holoplanktonic gastropods) represent an excellent sentinel for indicating exposure to anthropogenic OA because of the sensitivity of their aragonite shells to the OA conditions less favorable for calcification. However, an integration of observations, experiments and modelling efforts is needed to make accurate predictions of how these organisms will respond to future changes to their environment. Our understanding of the underlying organismal biology and life history is far from complete and must be improved if we are to comprehend fully the responses of these organisms to the multitude of stressors in their environment beyond OA. This review considers the present state of research and understanding of euthecosomatous pteropod biology and ecology of these organisms and considers promising new laboratory methods, advances in instrumentation (such as molecular, trace elements, stable isotopes, palaeobiology alongside autonomous sampling platforms, CT scanning and high-quality video recording) and novel field-based approaches (i.e. studies of upwelling and CO2 vent regions) that may allow us to improve our predictive capacity of their vulnerability and/or resilience. In addition to playing a critical ecological and biogeochemical role, pteropods can offer a significant value as an early-indicator of anthropogenic OA. This role as a sentinel species should be developed further to consolidate their potential use within marine environmental management policy making.</t>
  </si>
  <si>
    <t>[Manno, Clara; Tarling, Geraint A.; Peck, Vicky L.; Gardner, Jessie] British Antarctic Survey, Nat Environm Res Council, High Cross, Madingley Rd, Cambridge CB3 0ET, England; [Bednarsek, Nina] Univ Washington, Joint Inst Study Atmosphere &amp; Ocean, 3737 Brooklyn Ave NE, Seattle, WA 98105 USA; [Comeau, Steeve] Univ Western Australia, Sch Earth &amp; Environm, ARC Ctr Coral Reef Studies, Nedlands, WA 6009, Australia; [Adhikari, Deepak] Georgia Inst Technol, Sch Civil &amp; Environm Engn, 790 Atlantic Dr, Atlanta, GA 30339 USA; [Bakker, Dorothee C. E.] Univ East Anglia, Sch Environm Sci, Ctr Ocean &amp; Atmospher Sci, Norwich NR4 7TJ, Norfolk, England; [Bauerfeind, Eduard; Seifert, Miriam] Alfred Wegener Inst Polar &amp; Marine Res, HGF MPG Grp Deep Sea Ecol &amp; Technol, Handelshafen 12, D-27570 Bremerhaven, Germany; [Bergan, Alexander J.; Lawson, Gareth L.] Woods Hole Oceanog Inst, Dept Biol, Woods Hole, MA 02543 USA; [Berning, Maria I.; Kohnert, Peter] Zoolog Staatssammlung Munchen, Munchhausenstr 21, D-81247 Munich, Germany; [Buitenhuis, Erik] Univ East Anglia, Sch Environm Sci, Tyndall Ctr Climate Change Res, Norwich NR4 7TJ, Norfolk, England; [Burridge, Alice K.; Mekkes, Lisette; Peijnenburg, Katja T. C. A.] Nat Biodivers Ctr, POB 9517, NL-2300 RA Leiden, Netherlands; [Burridge, Alice K.; Mekkes, Lisette; Peijnenburg, Katja T. C. A.] Univ Amsterdam, IBED, POB 94248, NL-1090 GE Amsterdam, Netherlands; [Chierici, Melissa] Inst Marine Res, POB 6404, N-9294 Tromso, Norway; [Floeter, Sebastian] GEOMAR Helmholtz Ctr Ocean Res Kiel, Wischhofstr 1-3D, D-24148 Kiel, Germany; [Fransson, Agneta] Norwegain Polar Inst, Fram Ctr, N-9296 Tromso, Norway; [Howes, Ella L.] Sorbonne Univ, CNRS INSU, UPMC Univ Paris 06, Lab Oceanog Villefranche, 181 Chemin Lazaret, F-06230 Villefranche Sur Mer, France; [Howes, Ella L.] Alfred Wegener Inst Helmholtz Zentrum Polar &amp;, Marine Biogeosci, Handelshafen 12, D-27570 Bremerhaven, Germany; [Keul, Nina] Christian Albrechts Univ Kiel, Marine Climate Res, Inst Geosci, Ludewig Meyn Str 10, D-24118 Kiel, Germany; [Kimoto, Katsunori] Japan Agcy Marine Earth Sci &amp; Technol JAMSTEC, Yokosuka, Kanagawa, Japan; [Lischka, Silke] GEOMAR Helmholtz Ctr Ocean Res Kiel, Dusternbroker Weg 20, D-24105 Kiel, Germany; [Maas, Amy] Bermuda Inst Ocean Sci, St Georges 01, Bermuda; [Oakes, Rosie L.] Penn State Univ, Dept Geosci, University Pk, PA 16802 USA; [Pebody, Corinne] Natl Oceanog Ctr, Southampton SO14 3ZH, Hants, England; [Skinner, Jennifer] Sir Alister Hardy Fdn Ocean Sci Lab, Citadel Hill, Plymouth PL1 2PB, Devon, England; [Thibodeau, Patricia S.] Virginia Inst Marine Sci, Coll William &amp; Mary, Gloucester Point, VA 23062 USA; [Wall-Palmer, Deborah] Plymouth Univ, Sch Geog Earth &amp; Environm Sci, Drake Circus, Plymouth PL4 8AA, Devon, England; [Ziveri, Patrizia] Autonomous Univ Barcelona UAB, Inst Environm Sci &amp; Technol ICTA, Bellaterra 08193, Catalan, Spain; [Ziveri, Patrizia] Inst Res &amp; Adv Studies ICREA, Pg Lluis Companys 23, Barcelona 08010, Spain</t>
  </si>
  <si>
    <t>UK Research &amp; Innovation (UKRI); Natural Environment Research Council (NERC); NERC British Antarctic Survey; University of Washington; University of Washington Seattle; University of Western Australia; University System of Georgia; Georgia Institute of Technology; University of East Anglia; Helmholtz Association; Alfred Wegener Institute, Helmholtz Centre for Polar &amp; Marine Research; Woods Hole Oceanographic Institution; University of East Anglia; Naturalis Biodiversity Center; University of Amsterdam; Institute of Marine Research - Norway; Helmholtz Association; GEOMAR Helmholtz Center for Ocean Research Kiel; Norwegian Polar Institute; Sorbonne Universite; Centre National de la Recherche Scientifique (CNRS); CNRS - National Institute for Earth Sciences &amp; Astronomy (INSU); University of Kiel; Japan Agency for Marine-Earth Science &amp; Technology (JAMSTEC); Helmholtz Association; GEOMAR Helmholtz Center for Ocean Research Kiel; Bermuda Institute of Ocean Sciences; Pennsylvania Commonwealth System of Higher Education (PCSHE); Pennsylvania State University; Pennsylvania State University - University Park; NERC National Oceanography Centre; William &amp; Mary; Virginia Institute of Marine Science; University of Plymouth; Autonomous University of Barcelona; ICREA</t>
  </si>
  <si>
    <t>Manno, C (corresponding author), British Antarctic Survey, Nat Environm Res Council, High Cross, Madingley Rd, Cambridge CB3 0ET, England.</t>
  </si>
  <si>
    <t>clanno@bas.ac.uk</t>
  </si>
  <si>
    <t>Ziveri, Patrizia/I-3856-2015; Bednarsek, Nina/Q-8937-2017; Flöter, Sebastian/KAU-6156-2024; bednarsek, nina/AAM-7748-2021; Mekkes, Lisette/HHC-0709-2022; Kohnert, Peter Clemens/G-4797-2019; Maas, Amy/AAC-1181-2022; Bakker, Dorothee/E-4951-2015; Buitenhuis, Erik/A-7692-2012</t>
  </si>
  <si>
    <t>Ziveri, Patrizia/0000-0002-5576-0301; Flöter, Sebastian/0000-0003-2486-5095; bednarsek, nina/0000-0002-9177-6626; Maas, Amy/0000-0002-3730-2876; Wall-Palmer, Deborah/0000-0003-2356-6122; Seifert, Miriam/0000-0002-2570-5475; Bakker, Dorothee/0000-0001-9234-5337; Gardner, Jessie/0000-0003-1730-023X; Buitenhuis, Erik/0000-0001-6274-5583</t>
  </si>
  <si>
    <t>UK Ocean Acidification research programme (UKOA); NERC; Defra; DECC; German Research Foundation Priority Programme 1158 Antarctic Research with Comparable Investigations in Arctic Sea Ice Areas [DFG-1158 SCHR 667/15-1]; Natural Environment Research Council [1510512, NE/H01702X/1, NE/H017267/1, NE/I030062/1, NE/H017038/1, noc010009, SAH01001, bas0100035, NE/M020762/1] Funding Source: researchfish; NERC [SAH01001, bas0100035, NE/H01702X/1, NE/H017038/1, NE/M020762/1, NE/H017267/1, noc010009, NE/I030062/1] Funding Source: UKRI</t>
  </si>
  <si>
    <t>UK Ocean Acidification research programme (UKOA); NERC(UK Research &amp; Innovation (UKRI)Natural Environment Research Council (NERC)); Defra(Department for Environment, Food &amp; Rural Affairs (DEFRA)); DECC; German Research Foundation Priority Programme 1158 Antarctic Research with Comparable Investigations in Arctic Sea Ice Areas; Natural Environment Research Council(UK Research &amp; Innovation (UKRI)Natural Environment Research Council (NERC)); NERC(UK Research &amp; Innovation (UKRI)Natural Environment Research Council (NERC))</t>
  </si>
  <si>
    <t>We are grateful for support from the UK Ocean Acidification research programme (UKOA), co-funded by NERC, Defra and DECC. We also thank Phillip Williamson and Carol Turley for their support during the organization of the Response of pteropods to OA and climate change workshop. M.I. Berning is financed by the German Research Foundation Priority Programme 1158 Antarctic Research with Comparable Investigations in Arctic Sea Ice Areas (Project DFG-1158 SCHR 667/15-1).</t>
  </si>
  <si>
    <t>0012-8252</t>
  </si>
  <si>
    <t>1872-6828</t>
  </si>
  <si>
    <t>EARTH-SCI REV</t>
  </si>
  <si>
    <t>Earth-Sci. Rev.</t>
  </si>
  <si>
    <t>10.1016/j.earscirev.2017.04.005</t>
  </si>
  <si>
    <t>EX7KT</t>
  </si>
  <si>
    <t>WOS:000403427800006</t>
  </si>
  <si>
    <t>Hodgson, A; Peel, D; Kelly, N</t>
  </si>
  <si>
    <t>Hodgson, Amanda; Peel, David; Kelly, Natalie</t>
  </si>
  <si>
    <t>Unmanned aerial vehicles for surveying marine fauna: assessing detection probability</t>
  </si>
  <si>
    <t>ECOLOGICAL APPLICATIONS</t>
  </si>
  <si>
    <t>abundance; aerial survey; availability; behavior; cetaceans; digital photography; drones; images; unmanned aircraft systems; unmanned aerial systems</t>
  </si>
  <si>
    <t>HUMPBACK WHALES; HARBOR PORPOISE; ABUNDANCE</t>
  </si>
  <si>
    <t>Aerial surveys are conducted for various fauna to assess abundance, distribution, and habitat use over large spatial scales. They are traditionally conducted using light aircraft with observers recording sightings in real time. Unmanned Aerial Vehicles (UAVs) offer an alternative with many potential advantages, including eliminating human risk. To be effective, this emerging platform needs to provide detection rates of animals comparable to traditional methods. UAVs can also acquire new types of information, and this new data requires a reevaluation of traditional analyses used in aerial surveys; including estimating the probability of detecting animals. We conducted 17 replicate UAV surveys of humpback whales (Megaptera novaeangliae) while simultaneously obtaining a 'census' of the population from land-based observations, to assess UAV detection probability. The ScanEagle UAV, carrying a digital SLR camera, continuously captured images (with 75% overlap) along transects covering the visual range of land-based observers. We also used ScanEagle to conduct focal follows of whale pods (n = 12, mean duration = 40 min), to assess a new method of estimating availability. A comparison of the whale detections from the UAV to the land-based census provided an estimated UAV detection probability of 0.33 (CV = 0.25; incorporating both availability and perception biases), which was not affected by environmental covariates (Beaufort sea state, glare, and cloud cover). According to our focal follows, the mean availability was 0.63 (CV = 0.37), with pods including mother/calf pairs having a higher availability (0.86, CV = 0.20) than those without (0.59, CV = 0.38). The follows also revealed (and provided a potential correction for) a downward bias in group size estimates from the UAV surveys, which resulted from asynchronous diving within whale pods, and a relatively short observation window of 9 s. We have shown that UAVs are an effective alternative to traditional methods, providing a detection probability that is within the range of previous studies for our target species. We also describe a method of assessing availability bias that represents spatial and temporal characteristics of a survey, from the same perspective as the survey platform, is benign, and provides additional data on animal behavior.</t>
  </si>
  <si>
    <t>[Hodgson, Amanda] Murdoch Univ, Sch Vet &amp; Life Sci, Cetacean Res Unit, South St, Murdoch, WA 6150, Australia; [Peel, David; Kelly, Natalie] CSIRO Data61, Hobart, Tas 7000, Australia; [Kelly, Natalie] Australian Antarctic Div, 203 Channel Highway, Kingston, Tas 7050, Australia</t>
  </si>
  <si>
    <t>Murdoch University; Commonwealth Scientific &amp; Industrial Research Organisation (CSIRO); Australian Antarctic Division</t>
  </si>
  <si>
    <t>Hodgson, A (corresponding author), Murdoch Univ, Sch Vet &amp; Life Sci, Cetacean Res Unit, South St, Murdoch, WA 6150, Australia.</t>
  </si>
  <si>
    <t>a.hodgson@murdoch.edu.au</t>
  </si>
  <si>
    <t>Kelly, Natalie/B-3481-2010; Peel, David/E-8888-2010; Hodgson, Amanda Jane/ITV-9262-2023</t>
  </si>
  <si>
    <t>Hodgson, Amanda Jane/0000-0002-9479-3018; Kelly, Nat/0000-0002-9664-354X</t>
  </si>
  <si>
    <t>Australian Marine Mammal Centre</t>
  </si>
  <si>
    <t>This project was funded by the Australian Marine Mammal Centre. Woodside Energy contributed to the field work costs. The ScanEagle UAV system was customized and operated by Insitu Pacific as in kind support and we specifically thank Mark Soden, Dean Gilligan, Carl Brown, Tony Mountford, Luke Tonzing, Peter Cassimatis, Michael Wilson, and Lennon Cork. The land-based observers included Romane Cristescu, Yolana Kailichova, Fletcher Mingramm, and Krista Nicholson. Thanks also to Ken Pollock for his support and advice; Eric Kniest for help running Cyclops and the adaptation of VADAR for images collected from the UAV; Joshua Smith for help setting up the land-based station and comments on this manuscript; and Toby Patterson, Rachel Fewster, and two anonymous reviewers for comments that helped improve this manuscript. This research was conducted under ethics permit R2365/10, Australian cetacean permit 2010-0004, Queensland marine parks permit QS2011/MAN142, and Redland City Council permit 5674604. There are no conflicts of interest to declare.</t>
  </si>
  <si>
    <t>1051-0761</t>
  </si>
  <si>
    <t>1939-5582</t>
  </si>
  <si>
    <t>ECOL APPL</t>
  </si>
  <si>
    <t>Ecol. Appl.</t>
  </si>
  <si>
    <t>10.1002/eap.1519</t>
  </si>
  <si>
    <t>Ecology; Environmental Sciences</t>
  </si>
  <si>
    <t>EW5SK</t>
  </si>
  <si>
    <t>WOS:000402566600018</t>
  </si>
  <si>
    <t>Pistorius, P; Hindell, M; Crawford, R; Makhado, A; Dyer, B; Reisinger, R</t>
  </si>
  <si>
    <t>Pistorius, Pierre; Hindell, Mark; Crawford, Robert; Makhado, Azwianewi; Dyer, Bruce; Reisinger, Ryan</t>
  </si>
  <si>
    <t>At-sea distribution and habitat use in king penguins at sub-Antarctic Marion Island</t>
  </si>
  <si>
    <t>foraging; habitat selection; movement; seabirds; Southern Ocean</t>
  </si>
  <si>
    <t>APTENODYTES-PATAGONICUS; OCEANOGRAPHIC FEATURES; FALKLAND ISLANDS; FORAGING RANGE; SUMMER; SPACE; MESOZOOPLANKTON; EXPLOITATION; TELEMETRY; DYNAMICS</t>
  </si>
  <si>
    <t>King penguins make up the bulk of avian biomass on a number of sub-Antarctic islands where they have a large functional effect on terrestrial and marine ecosystems. The same applies at Marion Island where a substantial proportion of the world population breeds. In spite of their obvious ecological importance, the at-sea distribution and behavior of this population has until recently remained entirely unknown. In addressing this information deficiency, we deployed satellite-linked tracking instruments on 15 adult king penguins over 2years, April 2008 and 2013, to study their post-guard foraging distribution and habitat preferences. Uniquely among adult king penguins, individuals by and large headed out against the prevailing Antarctic Circumpolar Current, foraging to the west and southwest of the island. On average, individuals ventured a maximum distance of 1,600km from the colony, with three individuals foraging close to, or beyond, 3,500km west of the colony. Birds were mostly foraging south of the Antarctic Polar Front and north of the southern boundary of the Antarctic Circumpolar Current. Habitat preferences were assessed using boosted regression tree models which indicated sea surface temperate, depth, and chorophyll a concentration to be the most important predictors of habitat selection. Interestingly, king penguins rapidly transited the eddy-rich area to the west of Marion Island, associated with the Southwest Indian Ocean Ridge, which has been shown to be important for foraging in other marine top predators. In accordance with this, the king penguins generally avoided areas with high eddy kinetic energy. The results from this first study into the behavioral ecology and at-sea distribution of king penguins at Marion Island contribute to our broader understanding of this species.</t>
  </si>
  <si>
    <t>[Pistorius, Pierre; Reisinger, Ryan] Nelson Mandela Metropolitan Univ, Percy Fitzpatrick Inst African Ornithol, Dept Zool, DST NRF Ctr Excellence, Port Elizabeth, South Africa; [Hindell, Mark] Univ Tasmania, Inst Marine &amp; Antarctic Studies, Hobart, Tas, Australia; [Crawford, Robert; Makhado, Azwianewi; Dyer, Bruce] Oceans &amp; Coasts, Dept Environm Affairs, Cape Town, South Africa; [Crawford, Robert] Univ Cape Town, Anim Demog Unit, Rondebosch, South Africa; [Makhado, Azwianewi] Univ Cape Town, Percy Fitzpatrick Inst African Ornithol, DST NRF Ctr Excellence, Rondebosch, South Africa</t>
  </si>
  <si>
    <t>National Research Foundation - South Africa; Nelson Mandela University; University of Tasmania; Department of Environment, Forestry &amp; Fisheries; University of Cape Town; National Research Foundation - South Africa; University of Cape Town</t>
  </si>
  <si>
    <t>Pistorius, P (corresponding author), Nelson Mandela Metropolitan Univ, Dept Zool, ZA-6031 Port Elizabeth, South Africa.</t>
  </si>
  <si>
    <t>ppistorius@nmmu.ac.za</t>
  </si>
  <si>
    <t>Hindell, Mark A/K-1131-2013; Reisinger, Ryan/D-6151-2014</t>
  </si>
  <si>
    <t>Reisinger, Ryan/0000-0002-8933-6875; Pistorius, Pierre/0000-0001-6561-7069; Hindell, Mark/0000-0002-7823-7185</t>
  </si>
  <si>
    <t>National Research Foundation [SNA2005060800001]</t>
  </si>
  <si>
    <t>National Research Foundation</t>
  </si>
  <si>
    <t>National Research Foundation, Grant/Award Number: SNA2005060800001</t>
  </si>
  <si>
    <t>10.1002/ece3.2833</t>
  </si>
  <si>
    <t>WOS:000403273000026</t>
  </si>
  <si>
    <t>Kwon, M; Kim, M; Takacs-Vesbach, C; Lee, J; Hong, SG; Kim, SJ; Priscu, JC; Kim, OS</t>
  </si>
  <si>
    <t>Kwon, Miye; Kim, Mincheol; Takacs-Vesbach, Cristina; Lee, Jaejin; Hong, Soon Gyu; Kim, Sang Jong; Priscu, John C.; Kim, Ok-Sun</t>
  </si>
  <si>
    <t>Niche specialization of bacteria in permanently ice-covered lakes of the McMurdo Dry Valleys, Antarctica</t>
  </si>
  <si>
    <t>SULFATE-REDUCING BACTERIA; TAYLOR VALLEY; MICROBIAL COMMUNITIES; MARINE-SEDIMENTS; VICTORIA LAND; NITROUS-OXIDE; DIVERSITY; METHANE; FRYXELL; BONNEY</t>
  </si>
  <si>
    <t>Perennially ice-covered lakes in the McMurdo Dry Valleys, Antarctica, are chemically stratified with depth and have distinct biological gradients. Despite longterm research on these unique environments, data on the structure of the microbial communities in the water columns of these lakes are scarce. Here, we examined bacterial diversity in five ice-covered Antarctic lakes by 16S rRNA gene-based pyrosequencing. Distinct communities were present in each lake, reflecting the unique biogeochemical characteristics of these environments. Further, certain bacterial lineages were confined exclusively to specific depths within each lake. For example, candidate division WM88 occurred solely at a depth of 15 m in Lake Fryxell, whereas unknown lineages of Chlorobi were found only at a depth of 18 m in Lake Miers, and two distinct classes of Firmicutes inhabited East and West Lobe Bonney at depths of 30 m. Redundancy analysis revealed that community variation of bacterioplankton could be explained by the distinct conditions of each lake and depth; in particular, assemblages from layers beneath the chemocline had biogeochemical associations that differed from those in the upper layers. These patterns of community composition may represent bacterial adaptations to the extreme and unique biogeochemical gradients of ice-covered lakes in the McMurdo Dry Valleys.</t>
  </si>
  <si>
    <t>[Kwon, Miye; Kim, Mincheol; Lee, Jaejin; Hong, Soon Gyu; Kim, Ok-Sun] Korea Polar Res Inst, Div Polar Life Sci, Incheon 21990, South Korea; [Kwon, Miye; Kim, Sang Jong] Seoul Natl Univ, Sch Biol Sci, Seoul 08826, South Korea; [Takacs-Vesbach, Cristina] Univ New Mexico, Dept Biol, Albuquerque, NM 87043 USA; [Priscu, John C.] Montana State Univ, Dept Land Resources &amp; Environm Sci, Bozeman, MT 59717 USA</t>
  </si>
  <si>
    <t>Korea Polar Research Institute (KOPRI); Seoul National University (SNU); University of New Mexico; Montana State University System; Montana State University Bozeman</t>
  </si>
  <si>
    <t>Kim, OS (corresponding author), Korea Polar Res Inst, Div Polar Life Sci, Incheon 21990, South Korea.;Priscu, JC (corresponding author), Montana State Univ, Dept Land Resources &amp; Environm Sci, Bozeman, MT 59717 USA.</t>
  </si>
  <si>
    <t>jpriscu@montana.edu; oskim@kopri.re.kr</t>
  </si>
  <si>
    <t>Lee, Jaejin/JSK-3037-2023</t>
  </si>
  <si>
    <t>Lee, Jaejin/0000-0002-9793-9473</t>
  </si>
  <si>
    <t>NSF-OPP [1115254, 0838953, 1027284, 0839075]; [PP13050]; [PM14030]; [PE15020]; [PE17110]; Directorate For Geosciences; Office of Polar Programs (OPP) [1115245] Funding Source: National Science Foundation; Division Of Polar Programs; Directorate For Geosciences [0839075] Funding Source: National Science Foundation</t>
  </si>
  <si>
    <t>NSF-OPP(National Science Foundation (NSF)NSF - Directorate for Geosciences (GEO)); ; ; ; ; Directorate For Geosciences; Office of Polar Programs (OPP)(National Science Foundation (NSF)NSF - Directorate for Geosciences (GEO)); Division Of Polar Programs; Directorate For Geosciences(National Science Foundation (NSF)NSF - Directorate for Geosciences (GEO))</t>
  </si>
  <si>
    <t>This study was funded by PP13050, PM14030, PE15020 and PE17110 to Korea Polar Research Institute, and also granted by NSF-OPP 1115254, 0838953, 1027284 and 0839075. We would like to thank limnology team for environmental data and sample collection in 2012-2013 McMurdo long term ecological research (MCM LTER), and Dr. Joohan Lee of Korea Polar Research Institute for providing the site map of Dry Valleys.</t>
  </si>
  <si>
    <t>10.1111/1462-2920.13721</t>
  </si>
  <si>
    <t>WOS:000404007700015</t>
  </si>
  <si>
    <t>Hehemann, JH; Truong, LV; Unfried, F; Welsch, N; Kabisch, J; Heiden, SE; Junker, S; Becher, D; Thürmer, A; Daniel, R; Amann, R; Schweder, T</t>
  </si>
  <si>
    <t>Hehemann, Jan-Hendrik; Le Van Truong; Unfried, Frank; Welsch, Norma; Kabisch, Johannes; Heiden, Stefan E.; Junker, Sabryna; Becher, Doerte; Thuermer, Andrea; Daniel, Rolf; Amann, Rudolf; Schweder, Thomas</t>
  </si>
  <si>
    <t>Aquatic adaptation of a laterally acquired pectin degradation pathway in marine gammaproteobacteria</t>
  </si>
  <si>
    <t>MULTIPLE SEQUENCE ALIGNMENT; ERWINIA-CHRYSANTHEMI; PECTATE LYASE; GENE-TRANSFER; GENOME; PROTEIN; BACTERIUM; TRANSCRIPTION; ARCHITECTURE; ALTEROMONAS</t>
  </si>
  <si>
    <t>Mobile genomic islands distribute functional traits between microbes and habitats, yet it remains unclear how their proteins adapt to new environments. Here we used a comparative phylogenomic and proteomic approach to show that the marine bacterium Pseudoalteromonas haloplanktis ANT/505 acquired a genomic island with a functional pathway for pectin catabolism. Bioinformatics and biochemical experiments revealed that this pathway encodes a series of carbohydrate-active enzymes including two multimodular pectate lyases, PelA and PelB. PelA is a large enzyme with a polysaccharide lyase family 1 (PL1) domain and a carbohydrate esterase family 8 domain, and PelB contains a PL1 domain and two carbohydrate-binding domains of family 13. Comparative phylogenomic analyses indicate that the pathway was most likely acquired from terrestrial microbes, yet we observed multi-modular orthologues only in marine bacteria. Proteomic experiments showed that P. haloplanktis ANT/505 secretes both pectate lyases into the environment in the presence of pectin. These multi-modular enzymes may therefore represent a marine innovation that enhances physical interaction with pectins to reduce loss of substrate and enzymes by diffusion. Our results revealed that marine bacteria can catabolize pectin, and highlight enzyme fusion as a potential adaptation that may facilitate microbial consumption of polymeric substrates in aquatic environments.</t>
  </si>
  <si>
    <t>[Hehemann, Jan-Hendrik] Univ Bremen, MARUM, Ctr Marine Environm Sci, Leobener Str, D-28359 Bremen, Germany; [Hehemann, Jan-Hendrik; Unfried, Frank; Amann, Rudolf] Max Planck Inst Marine Microbiol, Celsiusstr 1, D-28359 Bremen, Germany; [Le Van Truong; Unfried, Frank; Schweder, Thomas] Inst Marine Biotechnol, W Rathenau Str 49a, D-17489 Greifswald, Germany; [Le Van Truong] Vietnamese Acad Sci &amp; Technol, Inst Biotechnol, 18 Hoang Quoc Viet, Hanoi, Vietnam; [Unfried, Frank; Welsch, Norma; Kabisch, Johannes; Heiden, Stefan E.; Schweder, Thomas] Ernst Moritz Arndt Univ, Inst Pharm, Pharmaceut Biotechnol, Felix Hausdorff Str 3, D-17487 Greifswald, Germany; [Kabisch, Johannes] Tech Univ Darmstadt, Dept Biol Comp Aided Synthet Biol, Schnittspahnstr 10, D-64287 Darmstadt, Germany; [Junker, Sabryna; Becher, Doerte] Ernst Moritz Arndt Univ, Inst Microbiol, Friedrich Ludwig Jahn Str 15, D-17487 Greifswald, Germany; [Thuermer, Andrea; Daniel, Rolf] Univ Gottingen, Inst Microbiol &amp; Genet, Gottingen Genom Lab, Grisebachstr 8, D-37077 Gottingen, Germany</t>
  </si>
  <si>
    <t>University of Bremen; Max Planck Society; Vietnam Academy of Science &amp; Technology (VAST); Universitat Greifswald; Technical University of Darmstadt; Universitat Greifswald; University of Gottingen</t>
  </si>
  <si>
    <t>Hehemann, JH (corresponding author), Univ Bremen, MARUM, Ctr Marine Environm Sci, Leobener Str, D-28359 Bremen, Germany.;Hehemann, JH (corresponding author), Max Planck Inst Marine Microbiol, Celsiusstr 1, D-28359 Bremen, Germany.;Schweder, T (corresponding author), Inst Marine Biotechnol, W Rathenau Str 49a, D-17489 Greifswald, Germany.;Schweder, T (corresponding author), Ernst Moritz Arndt Univ, Inst Pharm, Pharmaceut Biotechnol, Felix Hausdorff Str 3, D-17487 Greifswald, Germany.</t>
  </si>
  <si>
    <t>jhhehemann@marum.de; schweder@uni-greifswald.de</t>
  </si>
  <si>
    <t>Becher, Doerte/B-4454-2015; Amann, Rudolf/C-6534-2014; Daniel, Rolf/AAQ-5933-2021; Schweder, Thomas/GQB-0990-2022</t>
  </si>
  <si>
    <t>Amann, Rudolf/0000-0002-0846-7372; Daniel, Rolf/0000-0002-8646-7925; Schweder, Thomas/0000-0002-7213-3596; Heiden, Stefan/0000-0001-9562-5529; Junker, Sabryna/0000-0001-9846-4505; Hehemann, Jan-Hendrik/0000-0002-8700-2564; Unfried, Frank/0000-0002-9304-4947</t>
  </si>
  <si>
    <t>HFSP fellowship [LT000465/2012]; German Research Foundation (DFG) through Emmy Noether Grant [HE 7217/1-1]; DFG [SPP 1158, SCHW 595/9-1]; Institute of Marine Biotechnology e.V.; Ph.D. graduate program of the International Max Planck Research School of Marine Microbiology (MarMic)</t>
  </si>
  <si>
    <t>HFSP fellowship; German Research Foundation (DFG) through Emmy Noether Grant(German Research Foundation (DFG)); DFG(German Research Foundation (DFG)); Institute of Marine Biotechnology e.V.; Ph.D. graduate program of the International Max Planck Research School of Marine Microbiology (MarMic)</t>
  </si>
  <si>
    <t>We gratefully acknowledge the mass spectrometric analyses of the PelA and PelB proteins by Dirk Albrecht. Jan-Hendrik Hehemann was supported by an HFSP fellowship LT000465/2012 and acknowledges current funding by the German Research Foundation (DFG) through Emmy Noether Grant HE 7217/1-1. The work of Thomas Schweder was supported by the DFG in the framework of the priority program (SPP 1158) Antarctic Research with comparative investigations in Arctic ice areas by a grant (SCHW 595/9-1). The work of Frank Unfried was financially supported by scholarships from the Institute of Marine Biotechnology e.V. and the Ph.D. graduate program of the International Max Planck Research School of Marine Microbiology (MarMic). We thank Wade Abbott for his constructive criticism of the manuscript.</t>
  </si>
  <si>
    <t>10.1111/1462-2920.13726</t>
  </si>
  <si>
    <t>Green Published, hybrid</t>
  </si>
  <si>
    <t>WOS:000404007700019</t>
  </si>
  <si>
    <t>Hughes, KA; Grant, SM</t>
  </si>
  <si>
    <t>Hughes, Kevin A.; Grant, Susie M.</t>
  </si>
  <si>
    <t>The spatial distribution of Antarctica's protected areas: A product of pragmatism, geopolitics or conservation need?</t>
  </si>
  <si>
    <t>ENVIRONMENTAL SCIENCE &amp; POLICY</t>
  </si>
  <si>
    <t>Territorial claim; Marine Protected Area; Antarctic Specially Protected Area; Antarctic Specially Managed Area; Environmental Protocol</t>
  </si>
  <si>
    <t>Globally, few protected areas exist in areas beyond the jurisdiction of a single state. However, for over 50 years the Antarctic protected areas system has operated in a region governed through multi-national agreement by consensus. We examined the Antarctic Treaty System to determine how protected area designation under a multi-party framework may evolve. The protected areas system, now legislated through the Protocol on Environmental Protection to the Antarctic Treaty and the Convention on the Conservation of Marine Living Resources, remains largely unsystematic and underdeveloped. Since the Antarctic Treaty entered into force in 1961, the original signatory Parties - and Parties with territorial claims in particular have dominated work towards the designation of protected areas in the region. The distribution of protected areas proposed by individual Parties has largely reflected the location of Parties' research stations which, in turn, is influenced by national geopolitical factors. Recently non-claimant Parties have become more involved in area protection, with a concurrent increase in areas proposed by two or more Parties. However, overall, the rate of protected area designation has almost halved in the past 10 years. We explore scenarios for the future development of Antarctic protected areas and suggest that the early engagement of Parties in collaborative area protection may strengthen the protected areas system and help safeguard the continent's values for the future. Furthermore, we suggest that the development of Antarctica's protected areas system may hold valuable insights for area protection in other regions under multi-Party governance, or areas beyond national jurisdiction such as the high seas or outer space. (C) 2017 Elsevier Ltd. All rights reserved.</t>
  </si>
  <si>
    <t>[Hughes, Kevin A.; Grant, Susie M.] British Antarctic Survey, Nat Environm Res Council, Madingley Rd, Cambridge CB30ET, England</t>
  </si>
  <si>
    <t>UK Research &amp; Innovation (UKRI); Natural Environment Research Council (NERC); NERC British Antarctic Survey</t>
  </si>
  <si>
    <t>Hughes, KA (corresponding author), British Antarctic Survey, Nat Environm Res Council, Madingley Rd, Cambridge CB30ET, England.</t>
  </si>
  <si>
    <t>kehu@bas.ac.uk</t>
  </si>
  <si>
    <t>Hughes, Kevin/JVZ-0793-2024</t>
  </si>
  <si>
    <t>Natural Environment Research Council; Natural Environment Research Council [bas0100035, bas010011] Funding Source: researchfish; NERC [bas010011, bas0100035] Funding Source: UKRI</t>
  </si>
  <si>
    <t>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</si>
  <si>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paper contributes to the British Antarctic Survey (BAS) Polar Science for Planet Earth 'Ecosystems' programme, the BAS Environment Office Long Term Monitoring and Survey project (EO-LTMS) and the 'State of the Antarctic Ecosystem' research programme (AntEco) of the Scientific Committee on Antarctic Research (SCAR). The authors are supported by Natural Environment Research Council core funding to BAS. Oliva Martin-Sanchez and Laura Gerrish are thanked for map preparation and Claire Waluda for analytical advice. We thank an anonymous reviewer for their helpful and thought-provoking comments.</t>
  </si>
  <si>
    <t>1462-9011</t>
  </si>
  <si>
    <t>1873-6416</t>
  </si>
  <si>
    <t>ENVIRON SCI POLICY</t>
  </si>
  <si>
    <t>Environ. Sci. Policy</t>
  </si>
  <si>
    <t>10.1016/j.envsci.2017.02.009</t>
  </si>
  <si>
    <t>EV3SP</t>
  </si>
  <si>
    <t>WOS:000401679700006</t>
  </si>
  <si>
    <t>Hansen, MA; Passchier, S</t>
  </si>
  <si>
    <t>Hansen, Melissa A.; Passchier, Sandra</t>
  </si>
  <si>
    <t>Oceanic circulation changes during early Pliocene marine ice-sheet instability in Wilkes Land, East Antarctica</t>
  </si>
  <si>
    <t>GEO-MARINE LETTERS</t>
  </si>
  <si>
    <t>SOUTHERN-OCEAN; BARIUM ACCUMULATION; BOTTOM-WATER; DEEP-WATER; SEDIMENTS; SEA; ATLANTIC; MANGANESE; MARGIN; BEHAVIOR</t>
  </si>
  <si>
    <t>In the Southern Ocean, unconstrained Westerlies allow for intense mixing between deep waters and the atmosphere. How this system interacts with Antarctic ice sheets and the global ocean circulation is poorly understood due to a paucity of data. The poor abundance and preservation of foraminiferal carbonate in ice-proximal sediments is a major challenge in high-latitude paleoceanography. A new approach is to examine a sediment geochemical record of changing paleoproductivity and sediment redox environment that can be tied to changes in water mass properties. This study focuses on the paleoceanography of the George V Land margin between similar to 4.7 and 4.3 Ma. This interval at the onset of the early Pliocene Climatic Optimum was characterized by the highest global sea surface temperatures and the lowest sea ice concentrations in East Antarctica in the past 5 million years. At IODP Site U1359, an abrupt increase in Mn/Al ratios similar to 4.6 Ma indicates an episode of oxic bottom conditions resulting from enhanced wind-driven downwelling of Antarctic surface water. Above, extremely high concentrations of sedimentary barite (Ba excess &gt; 40,000 ppm) point to biogenic barite deposition, preservation, and concentration through enhanced upwelling of nutrient-rich Circumpolar Deep Water (CDW). Incursion of CDW onto the continental shelf affected ice discharge and resulted in a stable but reduced ice-sheet configuration over several glacial cycles. The geochemical results along with previous work on Site U1359 for the first time link paleoceanography and cryospheric change based on data from the same high-latitude site.</t>
  </si>
  <si>
    <t>[Hansen, Melissa A.; Passchier, Sandra] Montclair State Univ, Dept Earth &amp; Environm Studies, 1 Normal Ave, Montclair, NJ 07043 USA</t>
  </si>
  <si>
    <t>Montclair State University</t>
  </si>
  <si>
    <t>Passchier, S (corresponding author), Montclair State Univ, Dept Earth &amp; Environm Studies, 1 Normal Ave, Montclair, NJ 07043 USA.</t>
  </si>
  <si>
    <t>passchiers@mail.monclair.edu</t>
  </si>
  <si>
    <t>Passchier, Sandra/AAQ-2243-2021; Passchier, Sandra/GYU-2381-2022</t>
  </si>
  <si>
    <t>Passchier, Sandra/0000-0001-7204-7025;</t>
  </si>
  <si>
    <t>National Science Foundation [OCE 1060080]</t>
  </si>
  <si>
    <t>National Science Foundation(National Science Foundation (NSF))</t>
  </si>
  <si>
    <t>The research was supported by the National Science Foundation (award OCE 1060080 to S.P.). Samples were provided by the Integrated Ocean Drilling Program. Insightful comments from anonymous reviewers and the journal editors helped to improve the manuscript.</t>
  </si>
  <si>
    <t>0276-0460</t>
  </si>
  <si>
    <t>1432-1157</t>
  </si>
  <si>
    <t>GEO-MAR LETT</t>
  </si>
  <si>
    <t>Geo-Mar. Lett.</t>
  </si>
  <si>
    <t>10.1007/s00367-016-0489-8</t>
  </si>
  <si>
    <t>Geosciences, Multidisciplinary; Oceanography</t>
  </si>
  <si>
    <t>Geology; Oceanography</t>
  </si>
  <si>
    <t>EV0EJ</t>
  </si>
  <si>
    <t>WOS:000401411000001</t>
  </si>
  <si>
    <t>Pole, M; McLoughlin, S</t>
  </si>
  <si>
    <t>Pole, Mike; McLoughlin, Stephen</t>
  </si>
  <si>
    <t>The first Cenozoic Equisetum from New Zealand</t>
  </si>
  <si>
    <t>GEOBIOS</t>
  </si>
  <si>
    <t>Sphenophyta; Equisetales; Australasia; Extinction; Miocene; Paleoclimate</t>
  </si>
  <si>
    <t>EARLY MIOCENE FLORA; LONGFORD FORMATION; MANUHERIKIA GROUP; MASS EXTINCTION; HORSETAILS; PHYLOGENY; MURCHISON; FERNS; PALEOECOLOGY; SPHENOPHYTES</t>
  </si>
  <si>
    <t>Equisetum is described for the first time from Cenozoic deposits of New Zealand. The fossils derive from two early to earliest middle Miocene assemblages in South Island, New Zealand. The fossils are ascribed tentatively to subgenus Equisetum based on their possession of whorled branch scars, but they cannot be assigned with confidence to a formal species. The decline of equisetaleans, otherwise unknown from the Cenozoic of the New Zealand-Australian-Antarctic domain, was possibly a consequence of severe environmental changes - particularly, abrupt shifts in the temperature and soil moisture regime experienced by this region in the Neogene, coupled with competition from opportunistic angiosperms. (C) 2017 Elsevier Masson SAS. All rights reserved.</t>
  </si>
  <si>
    <t>[Pole, Mike] Brisbane Bot Gardens Mt Coot Tha, Queensland Herbarium, Mt Coot Tha Rd, Toowong, Qld 4066, Australia; [McLoughlin, Stephen] Swedish Museum Nat Hist, Dept Palaeobiol, Box 50007, S-10405 Stockholm, Sweden</t>
  </si>
  <si>
    <t>Swedish Museum of Natural History</t>
  </si>
  <si>
    <t>McLoughlin, S (corresponding author), Swedish Museum Nat Hist, Dept Palaeobiol, Box 50007, S-10405 Stockholm, Sweden.</t>
  </si>
  <si>
    <t>steve.mcloughlin@nrm.se</t>
  </si>
  <si>
    <t>Pole, Michael S/C-8335-2016</t>
  </si>
  <si>
    <t>Pole, Mike/0000-0001-6125-9284</t>
  </si>
  <si>
    <t>Swedish Research Council (VR) [2014-5234]; National Science Foundation [1636625]; Directorate For Geosciences; Division Of Earth Sciences [1636625] Funding Source: National Science Foundation</t>
  </si>
  <si>
    <t>Swedish Research Council (VR)(Swedish Research Council); National Science Foundation(National Science Foundation (NSF)); Directorate For Geosciences; Division Of Earth Sciences(National Science Foundation (NSF)NSF - Directorate for Geosciences (GEO))</t>
  </si>
  <si>
    <t>Financial supports to S.M. by the Swedish Research Council (VR grant 2014-5234) and National Science Foundation (project #1636625) are gratefully acknowledged. M.S.P. appreciates the continued access to the Queensland Herbarium. We thank Prof. Robert Hill and Dr. Ignacio Escapa for their constructive comments on the manuscript.</t>
  </si>
  <si>
    <t>ELSEVIER FRANCE-EDITIONS SCIENTIFIQUES MEDICALES ELSEVIER</t>
  </si>
  <si>
    <t>ISSY-LES-MOULINEAUX</t>
  </si>
  <si>
    <t>65 RUE CAMILLE DESMOULINS, CS50083, 92442 ISSY-LES-MOULINEAUX, FRANCE</t>
  </si>
  <si>
    <t>0016-6995</t>
  </si>
  <si>
    <t>1777-5728</t>
  </si>
  <si>
    <t>GEOBIOS-LYON</t>
  </si>
  <si>
    <t>Geobios</t>
  </si>
  <si>
    <t>10.1016/j.geobios.2017.04.001</t>
  </si>
  <si>
    <t>Paleontology</t>
  </si>
  <si>
    <t>EZ9NP</t>
  </si>
  <si>
    <t>WOS:000405057400005</t>
  </si>
  <si>
    <t>Scambos, TA; Bell, RE; Alley, RB; Anandakrishnan, S; Bromwich, DH; Brunt, K; Christianson, K; Creyts, T; Das, SB; DeConto, R; Dutrieux, P; Fricker, HA; Holland, D; MacGregor, J; Medley, B; Nicolas, JP; Pollard, D; Siegfried, MR; Smith, AM; Steig, EJ; Trusel, LD; Vaughan, DG; Yager, PL</t>
  </si>
  <si>
    <t>Scambos, T. A.; Bell, R. E.; Alley, R. B.; Anandakrishnan, S.; Bromwich, D. H.; Brunt, K.; Christianson, K.; Creyts, T.; Das, S. B.; DeConto, R.; Dutrieux, P.; Fricker, H. A.; Holland, D.; MacGregor, J.; Medley, B.; Nicolas, J. P.; Pollard, D.; Siegfried, M. R.; Smith, A. M.; Steig, E. J.; Trusel, L. D.; Vaughan, D. G.; Yager, P. L.</t>
  </si>
  <si>
    <t>How much, how fast?: A science review and outlook for research on the instability of Antarctica's Thwaites Glacier in the 21st century</t>
  </si>
  <si>
    <t>GLOBAL AND PLANETARY CHANGE</t>
  </si>
  <si>
    <t>West Antarctic Ice Sheet; Thwaites Glacier; Climate change; Sea-level rise; Ice-ocean interaction; Marine ice sheet instability</t>
  </si>
  <si>
    <t>PINE ISLAND GLACIER; CIRCUMPOLAR DEEP-WATER; GROUNDING-LINE RETREAT; AMUNDSEN SEA EMBAYMENT; SURFACE MASS-BALANCE; ICE-SHEET COLLAPSE; SUBGLACIAL LAKE DRAINAGE; WEST ANTARCTICA; ATMOSPHERIC CIRCULATION; OCEAN CIRCULATION</t>
  </si>
  <si>
    <t>Constraining how much and how fast the West Antarctic Ice Sheet (WAIS) will change in the coming decades has recently been identified as the highest priority in Antarctic research (National Academies, 2015). Here we review recent research on WAIS and outline further scientific objectives for the area now identified as the most likely to undergo near-term significant change: Thwaites Glacier and the adjacent Amundsen Sea. Multiple lines of evidence point to an ongoing rapid loss of ice in this region in response to changing atmospheric and oceanic conditions. Models of the ice sheet's dynamic behavior indicate a potential for greatly accelerated ice loss as ocean-driven melting at the Thwaites Glacier grounding zone and nearby areas leads to thinning, faster flow, and retreat. A complete retreat of the Thwaites Glacier basin would raise global sea level by more than three meters by entraining ice from adjacent catchments. This scenario could occur over the next few centuries, and faster ice loss could occur through processes omitted from most ice flow models such as hydrofracture and ice cliff failure, which have been observed in recent rapid ice retreats elsewhere. Increased basal melt at the grounding zone and increased potential for hydrofracture due to enhanced surface melt could initiate a more rapid collapse of Thwaites Glacier within the next few decades.</t>
  </si>
  <si>
    <t>teds@nsidc.org</t>
  </si>
  <si>
    <t>Trusel, Luke D/E-2578-2013; Scambos, Ted A/B-1856-2009; Vaughan, David/C-8348-2011; Bromwich, David H/C-9225-2016; Anandakrishnan, Sridhar/JCN-5026-2023; Steig, Eric J/G-9088-2015; Dutrieux, Pierre/B-7568-2012; Yager, Patricia/K-8020-2014</t>
  </si>
  <si>
    <t>Dutrieux, Pierre/0000-0002-8066-934X; Fricker, Helen Amanda/0000-0002-0921-1432; Trusel, Luke/0000-0002-7792-6173; Vaughan, David/0000-0002-9065-0570; Creyts, Timothy/0000-0003-1756-5211; Yager, Patricia/0000-0002-8462-6427; SCAMBOS, Ted A./0000-0003-4268-6322</t>
  </si>
  <si>
    <t>National Science Foundation; NASA; U.S. National Academies of Science, Engineering, and Medicine; U.K. National Environmental Research Council; National Science Foundation [NSF-PLR 1340261, NSF-PLR 1341695, NSF-PLR 1649109]; NASA [NNX16AN60G]; NERC [bas0100034, NE/J005754/1] Funding Source: UKRI; Natural Environment Research Council [NE/J005754/1, bas0100034] Funding Source: researchfish; Directorate For Geosciences; Office of Polar Programs (OPP) [1205196] Funding Source: National Science Foundation; Office of Polar Programs (OPP); Directorate For Geosciences [1443443, 1443604] Funding Source: National Science Foundation; NASA [NNX16AN60G, 898769] Funding Source: Federal RePORTER</t>
  </si>
  <si>
    <t>National Science Foundation(National Science Foundation (NSF)); NASA(National Aeronautics &amp; Space Administration (NASA)); U.S. National Academies of Science, Engineering, and Medicine; U.K. National Environmental Research Council; National Science Foundation(National Science Foundation (NSF)); NASA(National Aeronautics &amp; Space Administration (NASA));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 Office of Polar Programs (OPP); Directorate For Geosciences(National Science Foundation (NSF)NSF - Directorate for Geosciences (GEO)); NASA(National Aeronautics &amp; Space Administration (NASA))</t>
  </si>
  <si>
    <t>We thank the National Science Foundation, NASA, the U.S. National Academies of Science, Engineering, and Medicine, and the U.K. National Environmental Research Council for providing support for several forums where the research objectives were formulated. Ideas developed by a National Academies panel, and at the West Antarctic Ice Sheet Workshops in 2015 and 2016, and a March 2016 meeting of the Royal Society formed the basis for the research objectives developed here. Laurie Geller of the National Academies and Betsy Sheffield of the National Snow and Ice Data Center (NSIDC) provided organizational assistance for the meetings. Thanks to J. Matthews of Scripps Institution of Oceanography for graphic work on Figs. 2 and 6. This work was supported by the National Science Foundation [NSF-PLR 1340261, NSF-PLR 1341695, and NSF-PLR 1649109], and NASA [NNX16AN60G].</t>
  </si>
  <si>
    <t>0921-8181</t>
  </si>
  <si>
    <t>1872-6364</t>
  </si>
  <si>
    <t>GLOBAL PLANET CHANGE</t>
  </si>
  <si>
    <t>Glob. Planet. Change</t>
  </si>
  <si>
    <t>10.1016/j.gloplacha.2017.04.008</t>
  </si>
  <si>
    <t>EX8VH</t>
  </si>
  <si>
    <t>hybrid, Green Accepted, Green Published, Green Submitted</t>
  </si>
  <si>
    <t>WOS:000403527800002</t>
  </si>
  <si>
    <t>Bowman, JS; Amaral-Zettler, LA; Rich, JJ; Luria, CM; Ducklow, HW</t>
  </si>
  <si>
    <t>Bowman, Jeff S.; Amaral-Zettler, Linda A.; Rich, Jeremy J.; Luria, Catherine M.; Ducklow, Hugh W.</t>
  </si>
  <si>
    <t>Bacterial community segmentation facilitates the prediction of ecosystem function along the coast of the western Antarctic Peninsula</t>
  </si>
  <si>
    <t>ISME JOURNAL</t>
  </si>
  <si>
    <t>NUCLEIC-ACID CONTENT; MARINE BACTERIAL; HETEROTROPHIC BACTERIA; DYNAMICS; WATERS; SUCCESSION; ABUNDANCE; SULFUR; ICE</t>
  </si>
  <si>
    <t>Bacterial community structure can be combined with observations of ecophysiological data to build predictive models of microbial ecosystem function. These models are useful for understanding how function might change in response to a changing environment. Here we use five spring-summer seasons of bacterial community structure and flow cytometry data from a productive coastal site along the western Antarctic Peninsula to construct models of bacterial production (BP), an ecosystem function that heterotrophic bacteria provide. Through a novel application of emergent self-organizing maps we identified eight recurrent modes in the structure of the bacterial community. A model that combined bacterial abundance, mode and the fraction of cells belonging to the high nucleic acid population (fHNA; R-2 = 0.730, P&lt;0.001) best described BP. Abrupt transitions between modes during the 2013-2014 spring-summer season corresponded to rapid shifts in fHNA. We conclude that parameterizing community structure data via segmentation can yield useful insights into microbial ecosystem function and ecosystem processes.</t>
  </si>
  <si>
    <t>[Bowman, Jeff S.; Ducklow, Hugh W.] Columbia Univ, Lamont Doherty Earth Observ, Div Biol &amp; Paleo Environm, Palisades, NY USA; [Bowman, Jeff S.] Scripps Inst Oceanog, Integrat Oceanog Div, La Jolla, CA USA; [Amaral-Zettler, Linda A.] Marine Biol Lab, Josephine Bay Paul Ctr Comparat Mol Biol &amp; Evolut, 7 MBL St, Woods Hole, MA 02543 USA; [Amaral-Zettler, Linda A.] Brown Univ, Dept Earth Environm &amp; Planetary Sci, Providence, RI 02912 USA; [Rich, Jeremy J.] Univ Maine, Sch Marine Sci, Walpole, ME USA; [Rich, Jeremy J.] Univ Maine, Darling Marine Ctr, Walpole, ME 04573 USA; [Luria, Catherine M.] Brown Univ, Dept Ecol &amp; Evolutionary Biol, Providence, RI 02912 USA</t>
  </si>
  <si>
    <t>Columbia University; University of California System; University of California San Diego; Scripps Institution of Oceanography; Marine Biological Laboratory - Woods Hole; Brown University; University of Maine System; University of Maine Orono; University of Maine System; University of Maine Orono; Brown University</t>
  </si>
  <si>
    <t>Amaral-Zettler, LA (corresponding author), Marine Biol Lab, Josephine Bay Paul Ctr Comparat Mol Biol &amp; Evolut, 7 MBL St, Woods Hole, MA 02543 USA.</t>
  </si>
  <si>
    <t>amaral@mbl.edu</t>
  </si>
  <si>
    <t>Amaral-Zettler, Linda/B-6203-2017</t>
  </si>
  <si>
    <t>Amaral-Zettler, Linda/0000-0003-0807-4744; Luria, Catherine/0000-0003-0134-5804; Bowman, Jeff/0000-0002-8811-6280</t>
  </si>
  <si>
    <t>NSF [OPP-1142114, OPP-1141993, PLR-1440435, PLR-1641019]; Lamont-Doherty postdoctoral fellowship; World Surf League PURE Ocean Health Initiative; Brown University Nicole Rosenthal Hartnett '91 Fellowship; Brown University-MBL Joint Graduate Program Tisch Funding; Directorate For Geosciences; Office of Polar Programs (OPP) [1612956] Funding Source: National Science Foundation; Directorate For Geosciences; Office of Polar Programs (OPP) [1440435] Funding Source: National Science Foundation</t>
  </si>
  <si>
    <t>NSF(National Science Foundation (NSF)); Lamont-Doherty postdoctoral fellowship; World Surf League PURE Ocean Health Initiative; Brown University Nicole Rosenthal Hartnett '91 Fellowship; Brown University-MBL Joint Graduate Program Tisch Funding; Directorate For Geosciences; Office of Polar Programs (OPP)(National Science Foundation (NSF)NSF - Directorate for Geosciences (GEO)); Directorate For Geosciences; Office of Polar Programs (OPP)(National Science Foundation (NSF)NSF - Directorate for Geosciences (GEO))</t>
  </si>
  <si>
    <t>We thank Sean O'Neill, Monica Stegman, Madie Willis and Sharon Grimm for help with sample collection during the 2013-2014 field season at Palmer Station. Naomi Shelton, Jamie Collins and Sebastian Vivancos assisted in the collection and analysis of samples for BP and flow cytometry. Annaliese Jones, Leslie Murphy and Beth Slikas assisted with genomic DNA extractions, library construction and next-generation sequencing. We would also like to thank the staff of Palmer Station and the crew of the ARSV Laurence M. Gould for their assistance. LAZ was funded under NSF OPP-1142114. JR was funded by NSF OPP-1141993. HWD was funded by NSF PLR-1440435. JB was funded by a Lamont-Doherty postdoctoral fellowship, a grant by the World Surf League PURE Ocean Health Initiative to HWD and NSF PLR-1641019. CL received funding as part of NSF OPP-1141993 to JR, as well as a Brown University Nicole Rosenthal Hartnett '91 Fellowship and Brown University-MBL Joint Graduate Program Tisch Funding.</t>
  </si>
  <si>
    <t>SPRINGERNATURE</t>
  </si>
  <si>
    <t>CAMPUS, 4 CRINAN ST, LONDON, N1 9XW, ENGLAND</t>
  </si>
  <si>
    <t>1751-7362</t>
  </si>
  <si>
    <t>1751-7370</t>
  </si>
  <si>
    <t>ISME J</t>
  </si>
  <si>
    <t>ISME J.</t>
  </si>
  <si>
    <t>10.1038/ismej.2016.204</t>
  </si>
  <si>
    <t>Ecology; Microbiology</t>
  </si>
  <si>
    <t>Environmental Sciences &amp; Ecology; Microbiology</t>
  </si>
  <si>
    <t>EU8XZ</t>
  </si>
  <si>
    <t>Green Published, Bronze</t>
  </si>
  <si>
    <t>WOS:000401323100014</t>
  </si>
  <si>
    <t>Bicca, MM; Philipp, RP; Jelinek, AR; Ketzer, JMM; Scherer, CMD; Jamal, DL; dos Reis, AD</t>
  </si>
  <si>
    <t>Bicca, Marcos Mueller; Philipp, Ruy Paulo; Jelinek, Andrea Ritter; Medina Ketzer, Joao Marcelo; dos Santos Scherer, Claiton Marlon; Jamal, Daud Liace; dos Reis, Adriano Domingos</t>
  </si>
  <si>
    <t>Permian-Early Triassic tectonics and stratigraphy of the Karoo Supergroup in northwestern Mozambique</t>
  </si>
  <si>
    <t>JOURNAL OF AFRICAN EARTH SCIENCES</t>
  </si>
  <si>
    <t>Mozambique; Karoo Supergroup; Moatize-Minjova Basin; Tectonic and sedimentation; Early Late Permian</t>
  </si>
  <si>
    <t>ZAMBEZI OROGENIC BELT; EAST-AFRICAN OROGEN; SOUTHERN AFRICA; WEST GONDWANA; PARANA BASIN; DWYKA GROUP; FOLD BELT; EVOLUTION; ZIMBABWE; BRAZIL</t>
  </si>
  <si>
    <t>The Gondwana continent was the base of great basin inception, sedimentation and magmatism throughout the Cambrian to Middle Jurassic periods. The northwestern Mozambique igneous and metamorphic basement assemblages host the NW-trending Moatize Minjova Basin, which has great economic potential for coal and gas mining. This rift basin was activated by an S-SW stress field during the Early Permian period, as constrained by regional and field scale structural data. Tectonically induced subsidence in the basin, from the reactivation of NW-SE and NNE-SSW regional structures is well recorded by faults, folds and synsedimentary fractures within the Early Late Permian Moatize Formation. NW-SE, N-S and NE-SW field structures consist of post-Karoo reactivation patterns related to a NNE-SSW extension produced by the Pangea breakup and early inception stages of the Great East African Rift System. The Early Late Permian sequences of the Moatize-Minjova Basin are composed of fluvial meandering, coal-bearing beds of the Moatize Formation, which comprises mostly floodplain, crevasse splay and fluvial channel lithofacies associations, deposited in a cyclic pattern. This sequence was overlapped by a multiple-story, braided fluvial plain sequence of the Matinde Formation (Late Permian Early Triassic). Lithofacies associations in the Matinde Formation and its internal relationships suggest deposition of poorly channelized braided alluvial plain in which downstream and probably lateral accretion macroforms alternate with gravity flow deposits. NW paleoflow measurements suggest that Permian fluvial headwaters were located somewhere southeast of the study area, possibly between the African and Antarctic Precambrian highlands. (C) 2017 Elsevier Ltd. All rights reserved.</t>
  </si>
  <si>
    <t>[Bicca, Marcos Mueller; Philipp, Ruy Paulo; Jelinek, Andrea Ritter; dos Santos Scherer, Claiton Marlon; dos Reis, Adriano Domingos] Univ Fed Rio Grande do Sul, Inst Geociencias, Campus Vale,Av Bento Gongcalves 9500, BR-91509900 Porto Alegre, RS, Brazil; [Medina Ketzer, Joao Marcelo] Pontificia Univ Catolica Rio Grande do Sul PUCRS, Petr &amp; Nat Resources Inst, Av Ipiranga 6681, BR-90619900 Porto Alegre, RS, Brazil; [Jamal, Daud Liace] Univ Eduardo Mondlane, Dept Geol, Av Mocambique Km 1,5,Caixa Postal 257, Maputo, Mozambique</t>
  </si>
  <si>
    <t>Universidade Federal do Rio Grande do Sul; Pontificia Universidade Catolica Do Rio Grande Do Sul; Eduardo Mondlane University</t>
  </si>
  <si>
    <t>Bicca, MM (corresponding author), Univ Fed Rio Grande do Sul, Inst Geociencias, Campus Vale,Av Bento Gongcalves 9500, BR-91509900 Porto Alegre, RS, Brazil.</t>
  </si>
  <si>
    <t>marcos.mb83@gmail.com; ruy.philipp@ufrgs.br; andrea.jelinek@ufrgs.br; jketzer@pucrs.br; claiton.scherer@ufrgs.br; daudjamal1@gmail.com; a_d_reis@hotmail.com</t>
  </si>
  <si>
    <t>Reis, Adriano/E-3744-2015; Scherer, Claiton/AAC-6086-2020; Jelinek, Andrea R./F-7918-2013; Jelinek, Andrea/ABH-9386-2020; Ketzer, Marcelo/AAS-3282-2020</t>
  </si>
  <si>
    <t>Reis, Adriano/0000-0003-1892-8459; Jelinek, Andrea R./0000-0002-7375-5039; Jelinek, Andrea/0000-0002-7375-5039; Ketzer, Marcelo/0000-0003-4796-8177; Santos Scherer, Claiton Marlon dos/0000-0002-7520-1187; PHILIPP, RUY PAULO/0000-0003-2875-0914</t>
  </si>
  <si>
    <t>National Council for Scientific and Technological Development (Conselho Nacional do Desenvolvimento Cientifico e Tecnologico - CNPq) of Brazil [141240/2013-0]</t>
  </si>
  <si>
    <t>National Council for Scientific and Technological Development (Conselho Nacional do Desenvolvimento Cientifico e Tecnologico - CNPq) of Brazil</t>
  </si>
  <si>
    <t>This study is part of the doctoral thesis of the first author at Programa de Pos-Graduacao em Geociencias of Universidade Federal do Rio Grande do Sul. We thank the National Council for Scientific and Technological Development (Conselho Nacional do Desenvolvimento Cientifico e Tecnologico - CNPq) of Brazil, for scholarship number 141240/2013-0 of the first author. We also would like to thank Professor Dr. Leo Afraneo Hartmann, Paulo Fernandes and an anonymous reviewer for the English review and general improvements to the paper. We are grateful to the undergraduate student Andre Santos, of the same university, for great cooperation in map compilation and for the geology field assistance of Mr. Antonio Rizzo Alface. Finally, we thank Vale Mozambique S.A. for providing the borehole profile presented in this paper.</t>
  </si>
  <si>
    <t>1464-343X</t>
  </si>
  <si>
    <t>1879-1956</t>
  </si>
  <si>
    <t>J AFR EARTH SCI</t>
  </si>
  <si>
    <t>J. Afr. Earth Sci.</t>
  </si>
  <si>
    <t>10.1016/j.jafrearsci.2017.03.003</t>
  </si>
  <si>
    <t>EX8QO</t>
  </si>
  <si>
    <t>WOS:000403515500002</t>
  </si>
  <si>
    <t>Baginski, F; Zhao, KY; Furer, J; Landay, J; Bailoor, S; Gorham, P; Varner, G; Miki, C; Hill, B; Schoorlemmer, H; Nguyen, L; Romero-Wolf, A; Liewer, K; Sauder, J; Brakke, K; Beatty, J; Connolly, A; Allison, P; Pfendner, C; Dailey, B; Fairbrother, D; Said, M; Lang, S; Young, L</t>
  </si>
  <si>
    <t>Baginski, Frank; Zhao, Kaiyu; Furer, Joshua; Landay, Justin; Bailoor, Shantanu; Gorham, Peter; Varner, Gary; Miki, Christian; Hill, Brian; Schoorlemmer, Harm; Nguyen, Liem; Romero-Wolf, Andrew; Liewer, Kurt; Sauder, Jonathan; Brakke, Kenneth; Beatty, Jim; Connolly, Amy; Allison, Patrick; Pfendner, Carl; Dailey, Brian; Fairbrother, Debra; Said, Magdi; Lang, Steven; Young, Leyland</t>
  </si>
  <si>
    <t>Shape Analysis and Deployment of the ExaVolt Antenna</t>
  </si>
  <si>
    <t>JOURNAL OF ASTRONOMICAL INSTRUMENTATION</t>
  </si>
  <si>
    <t>Large aperture radio telescope; deployable reflector antenna; superpressure balloon</t>
  </si>
  <si>
    <t>BALLOONS</t>
  </si>
  <si>
    <t>The ExaVolt Antenna (EVA) is the next generation balloon-borne ultra-high energy (UHE) particle observatory under development for NASA's suborbital super-pressure balloon program in Antarctica. Unlike a typical mission where the balloon lifts a gondola that carries the primary scientific instrument, the EVA mission is a first-of-its-kind in that the balloon itself is part of the science instrument. Specifically, a toroidal RF reflector is mounted onto the outside surface of a superpressure balloon (SPB) and a feed antenna is suspended inside the balloon, creating a high-gain antenna system with a synoptic view of the Antarctic ice sheet. The EVA mission presents a number of technical challenges. For example, can a stowed feed antenna be inserted through an opening in the top-plate? Can the feed antenna be deployed during the ascent? Once float altitude is achieved, how might small shape changes in the balloon shape affect the antenna performance over the life of the EVA mission? The EVA team utilized a combination of testing with a 1/20-scale physical model, mathematical modeling and numerical simulations to probe these and related questions. While the problems are challenging, they are solvable with current technology and expertise. Experiments with a 1/20-scale EVA physical model outline a pathway for inserting a stowed feed into a SPB. Analysis indicates the EVA system will ascend, deploy and assume a stable configuration at float altitude. Nominal shape changes in an Antarctic SPB are sufficiently small to allow the use of the surface of the balloon as a high-gain reflector.</t>
  </si>
  <si>
    <t>[Baginski, Frank; Zhao, Kaiyu; Furer, Joshua; Landay, Justin; Bailoor, Shantanu] George Washington Univ, Dept Math, Washington, DC 20052 USA; [Gorham, Peter; Varner, Gary; Miki, Christian; Hill, Brian; Schoorlemmer, Harm; Nguyen, Liem] Univ Hawaii Manoa, Dept Phys, Honolulu, HI 96822 USA; [Romero-Wolf, Andrew; Liewer, Kurt; Sauder, Jonathan] CALTECH, Jet Prop Lab, 4800 Oak Grove Dr, Pasadena, CA 91109 USA; [Brakke, Kenneth] Susquehanna Univ, Dept Math Sci, Selinsgrove, PA 17870 USA; [Beatty, Jim; Connolly, Amy; Allison, Patrick; Pfendner, Carl; Dailey, Brian] Ohio State Univ, Dept Phys, 174 W 18th Ave, Columbus, OH 43210 USA; [Fairbrother, Debra; Said, Magdi; Lang, Steven; Young, Leyland] NASA, Balloon Program Off, Wallops Flight Facil, Wallops Isl, VA 20337 USA</t>
  </si>
  <si>
    <t>George Washington University; University of Hawaii System; University of Hawaii Manoa; National Aeronautics &amp; Space Administration (NASA); NASA Jet Propulsion Laboratory (JPL); California Institute of Technology; Susquehanna University; University System of Ohio; Ohio State University; National Aeronautics &amp; Space Administration (NASA); NASA Goddard Space Flight Center; Wallops Flight Facility</t>
  </si>
  <si>
    <t>Baginski, F (corresponding author), George Washington Univ, Dept Math, Washington, DC 20052 USA.</t>
  </si>
  <si>
    <t>baginski@gwu.edu</t>
  </si>
  <si>
    <t>Schoorlemmer, Harm/AAA-5604-2020; Beatty, James/D-9310-2011</t>
  </si>
  <si>
    <t>Schoorlemmer, Harm/0000-0002-8999-9249; Beatty, James/0000-0003-0481-4952; Gorham, Peter/0000-0002-0923-9363</t>
  </si>
  <si>
    <t>National Aeronautics and Space Administration</t>
  </si>
  <si>
    <t>National Aeronautics and Space Administration(National Aeronautics &amp; Space Administration (NASA))</t>
  </si>
  <si>
    <t>This work was supported by the National Aeronautics and Space Administration.</t>
  </si>
  <si>
    <t>WORLD SCIENTIFIC PUBL CO PTE LTD</t>
  </si>
  <si>
    <t>SINGAPORE</t>
  </si>
  <si>
    <t>5 TOH TUCK LINK, SINGAPORE 596224, SINGAPORE</t>
  </si>
  <si>
    <t>2251-1717</t>
  </si>
  <si>
    <t>2251-1725</t>
  </si>
  <si>
    <t>J ASTRON INSTRUM</t>
  </si>
  <si>
    <t>J. Astron. Instrum.</t>
  </si>
  <si>
    <t>UNSP 1740004</t>
  </si>
  <si>
    <t>10.1142/S2251171717400049</t>
  </si>
  <si>
    <t>EX7NC</t>
  </si>
  <si>
    <t>WOS:000403433900005</t>
  </si>
  <si>
    <t>Gorham, PW; Allison, P; Banerjee, O; Beatty, JJ; Belov, K; Besson, DZ; Binns, WR; Bugaev, V; Cao, P; Chen, C; Chen, P; Clem, JM; Connolly, A; Dailey, B; Dasgupta, P; Deaconu, C; Cremonesi, L; Dowkontt, PF; Fox, BD; Gordon, J; Hill, B; Hupe, R; Israel, MH; Jain, P; Kowalski, J; Lam, J; Learned, JG; Liewer, KM; Liu, TC; Matsuno, S; Miki, C; Mottram, M; Mulrey, K; Nam, J; Nichol, RJ; Novikov, A; Oberla, E; Prohira, S; Rauch, BF; Romero-Wolf, A; Rotter, B; Ratzlaff, K; Russell, J; Saltzberg, D; Seckel, D; Schoorlemmer, H; Ord, SSR; Stockham, J; Stockham, M; Strutt, B; Tatem, K; Varner, GS; Vieregg, AG; Wissel, SA; Wu, F; Young, R</t>
  </si>
  <si>
    <t>Gorham, P. W.; Allison, P.; Banerjee, O.; Beatty, J. J.; Belov, K.; Besson, D. Z.; Binns, W. R.; Bugaev, V.; Cao, P.; Chen, C.; Chen, P.; Clem, J. M.; Connolly, A.; Dailey, B.; Dasgupta, P.; Deaconu, C.; Cremonesi, L.; Dowkontt, P. F.; Fox, B. D.; Gordon, J.; Hill, B.; Hupe, R.; Israel, M. H.; Jain, P.; Kowalski, J.; Lam, J.; Learned, J. G.; Liewer, K. M.; Liu, T. C.; Matsuno, S.; Miki, C.; Mottram, M.; Mulrey, K.; Nam, J.; Nichol, R. J.; Novikov, A.; Oberla, E.; Prohira, S.; Rauch, B. F.; Romero-Wolf, A.; Rotter, B.; Ratzlaff, K.; Russell, J.; Saltzberg, D.; Seckel, D.; Schoorlemmer, H.; Ord, S. Sta R.; Stockham, J.; Stockham, M.; Strutt, B.; Tatem, K.; Varner, G. S.; Vieregg, A. G.; Wissel, S. A.; Wu, F.; Young, R.</t>
  </si>
  <si>
    <t>Antarctic Surface Reflectivity Measurements from the ANITA-3 and HiCal-1 Experiments</t>
  </si>
  <si>
    <t>Balloons; instrumentation: interferometers; instrumentation: detectors</t>
  </si>
  <si>
    <t>COSMIC-RAYS; ENERGY</t>
  </si>
  <si>
    <t>The primary science goal of the NASA-sponsored ANITA project is measurement of ultra-high energy neutrinos and cosmic rays, observed via radio-frequency signals resulting from a neutrino or cosmic ray interaction with terrestrial matter (e.g. atmospheric or ice molecules). Accurate inference of the energies of these cosmic rays requires understanding the transmission/reflection of radio wave signals across the ice-air boundary. Satellite-based measurements of Antarctic surface reflectivity, using a co-located transmitter and receiver, have been performed more-or-less continuously for the last few decades. Our comparison of four different reflectivity surveys, at frequencies ranging from 2 to 45 GHz and at near-normal incidence, yield generally consistent maps of high versus low reflectivity, as a function of location, across Antarctica. Using the Sun as an RF source, and the ANITA-3 balloon borne radio-frequency antenna array as the RF receiver, we have also measured the surface reflectivity over the interval 200-1000 MHz, at elevation angles of 12-30 degrees. Consistent with our previous measurement using ANITA-2, we find good agreement, within systematic errors (dominated by antenna beam width uncertainties) and across Antarctica, with the expected reflectivity as prescribed by the Fresnel equations. To probe low incidence angles, inaccessible to the Antarctic Solar technique and not probed by previous satellite surveys, a novel experimental approach (HiCal-1) was devised. Unlike previous measurements, HiCal-ANITA constitute a bi-static transmitter-receiver pair separated by hundreds of kilometers. Data taken with HiCal, between 200 and 600MHz shows a significant departure from the Fresnel equations, constant with frequency over that band, with the deficit increasing with obliquity of incidence, which we attribute to the combined effects of possible surface roughness, surface grain effects, radar clutter and/or shadowing of the reflection zone due to Earth curvature effects. We discuss the science implications of the HiCal results, as well as improvements planned for HiCal-2, preparing for launch in December 2016.</t>
  </si>
  <si>
    <t>[Gorham, P. W.; Fox, B. D.; Hill, B.; Kowalski, J.; Learned, J. G.; Matsuno, S.; Miki, C.; Rotter, B.; Russell, J.; Schoorlemmer, H.; Tatem, K.; Varner, G. S.] Univ Hawaii Manoa, Dept Phys &amp; Astron, Honolulu, HI 96822 USA; [Allison, P.; Banerjee, O.; Beatty, J. J.; Connolly, A.; Dailey, B.; Gordon, J.; Hupe, R.; Ord, S. Sta R.] Ohio State Univ, Dept Phys, 174 W 18th Ave, Columbus, OH 43210 USA; [Allison, P.; Beatty, J. J.; Connolly, A.] Ohio State Univ, Ctr Cosmol &amp; Particle Astrophys, Columbus, OH 43210 USA; [Belov, K.; Liewer, K. M.; Romero-Wolf, A.] Jet Prop Lab, Pasadena, CA 91109 USA; [Besson, D. Z.; Novikov, A.; Prohira, S.; Ratzlaff, K.; Stockham, J.; Stockham, M.; Young, R.] Univ Kansas, Dept Phys &amp; Astron, Lawrence, KS 66045 USA; [Binns, W. R.; Bugaev, V.; Israel, M. H.; Rauch, B. F.] Washington Univ, Dept Phys, St Louis, MO 63130 USA; [Cao, P.; Clem, J. M.; Mulrey, K.; Seckel, D.] Univ Delaware, Dept Phys, Newark, DE 19716 USA; [Chen, C.; Chen, P.; Liu, T. C.; Nam, J.] Natl Taiwan Univ, Dept Phys, Taipei, Taiwan; [Chen, C.; Chen, P.; Liu, T. C.; Nam, J.] Natl Taiwan Univ, Grad Inst Astrophys, Taipei, Taiwan; [Chen, C.; Chen, P.; Liu, T. C.; Nam, J.] Natl Taiwan Univ, Leung Ctr Cosmol &amp; Particle Astrophys, Taipei, Taiwan; [Dasgupta, P.; Jain, P.] Indian Inst Technol, Dept Phys, Kanpur 208016, Uttar Pradesh, India; [Deaconu, C.; Oberla, E.; Vieregg, A. G.] Univ Chicago, Enrico Fermi Inst, Dept Phys, Kavli Inst Cosmol Phys, Chicago, IL 60637 USA; [Cremonesi, L.; Mottram, M.; Nichol, R. J.; Strutt, B.] UCL, Dept Phys &amp; Astron, London, England; [Dowkontt, P. F.; Lam, J.; Saltzberg, D.; Wu, F.] Univ Calif Los Angeles, Dept Phys &amp; Astron, Los Angeles, CA 90095 USA; [Novikov, A.] Natl Res Nucl Univ, Moscow Engn Phys Inst, 31 Kashirskoye Highway, Moscow 115409, Russia; [Wissel, S. A.] Calif Polytech State Univ San Luis Obispo, Dept Phys, San Luis Obispo, CA 93407 USA</t>
  </si>
  <si>
    <t>University of Hawaii System; University of Hawaii Manoa; University System of Ohio; Ohio State University; University System of Ohio; Ohio State University; National Aeronautics &amp; Space Administration (NASA); NASA Jet Propulsion Laboratory (JPL); University of Kansas; Washington University (WUSTL); University of Delaware; National Taiwan University; National Taiwan University; National Taiwan University; Indian Institute of Technology System (IIT System); Indian Institute of Technology (IIT) - Kanpur; University of Chicago; University of London; University College London; University of California System; University of California Los Angeles; National Research Nuclear University MEPhI (Moscow Engineering Physics Institute); California State University System; California Polytechnic State University San Luis Obispo</t>
  </si>
  <si>
    <t>Besson, DZ (corresponding author), Univ Kansas, Dept Phys &amp; Astron, Lawrence, KS 66045 USA.</t>
  </si>
  <si>
    <t>zedlam@ku.edu</t>
  </si>
  <si>
    <t>Nichol, Ryan/C-1645-2008; Beatty, James/D-9310-2011; Jain, Pankaj/H-5538-2013; Chen, Pisin/IAO-8769-2023; Schoorlemmer, Harm/AAA-5604-2020; Belov, Konstantin V/D-2520-2013; Novikov, Alexander S/L-7538-2016</t>
  </si>
  <si>
    <t>Nichol, Ryan/0000-0003-0557-0443; Beatty, James/0000-0003-0481-4952; Chen, Pisin/0000-0001-5251-7210; Schoorlemmer, Harm/0000-0002-8999-9249; Belov, Konstantin V/0000-0002-8861-110X; Cremonesi, Linda/0000-0003-0711-1056; Mulrey, Katharine/0000-0001-8026-8020; Gorham, Peter/0000-0002-0923-9363; besson, dave/0000-0001-6733-963X; Wissel, Stephanie/0000-0003-0569-6978; Tatem, Kathleen V./0000-0002-3097-6018; Novikov, Alexander/0000-0002-1086-7252; Deaconu, Cosmin/0000-0002-4953-6397; Dasgupta, Dr. Paramita/0000-0002-9559-4803; Allison, Patrick/0000-0001-8141-2653</t>
  </si>
  <si>
    <t>NASA; US Department of Energy, High Energy Physics Division; NRNU; MEPhI; Megagrant program of Russia [14.12.31.0006]; STFC [ST/N000285/1] Funding Source: UKRI</t>
  </si>
  <si>
    <t>NASA(National Aeronautics &amp; Space Administration (NASA)); US Department of Energy, High Energy Physics Division(United States Department of Energy (DOE)); NRNU; MEPhI; Megagrant program of Russia; STFC(UK Research &amp; Innovation (UKRI)Science &amp; Technology Facilities Council (STFC))</t>
  </si>
  <si>
    <t>We thank NASA for their generous support of ANITA and HiCal, the Columbia Scientific Balloon Facility for their excellent field support, and the National Science Foundation for their Antarctic operations support. This work was also supported by the US Department of Energy, High Energy Physics Division, as well as NRNU, MEPhI and the Megagrant 2013 program of Russia, via agreement 14.12.31.0006 from 24.06.2013.</t>
  </si>
  <si>
    <t>UNSP 1740002</t>
  </si>
  <si>
    <t>10.1142/S2251171717400025</t>
  </si>
  <si>
    <t>WOS:000403433900003</t>
  </si>
  <si>
    <t>Zhou, DY; Liu, ZY; Zhao, J; Xi, MZ; Fu, YH; Zhang, T; Ji, CF; Zhu, BW</t>
  </si>
  <si>
    <t>Zhou, Da-Yong; Liu, Zhong-Yuan; Zhao, Jun; Xi, Mei-Zhu; Fu, Ying-Huan; Zhang, Ting; Ji, Chao-Fan; Zhu, Bei-Wei</t>
  </si>
  <si>
    <t>ANTARCTIC KRILL (EUPHAUSIA SUPERBA) PROTEIN HYDROLYSATES STIMULATE CHOLECYSTOKININ RELEASE IN STC-1 CELLS AND ITS SIGNALING MECHANISM</t>
  </si>
  <si>
    <t>JOURNAL OF FOOD PROCESSING AND PRESERVATION</t>
  </si>
  <si>
    <t>SUPPRESSES FOOD-INTAKE; ISOELECTRIC SOLUBILIZATION/PRECIPITATION; ENTEROENDOCRINE CELLS; NUTRITIONAL-VALUE; SECRETION; RATS; PEPTIDES; FISH; ACTIVATION; EXPRESSION</t>
  </si>
  <si>
    <t>Antarctic krill (Euphausia superba) protein hydrolysates were produced by simulated gastrointestinal digestion (KPHSD) and alkaline proteinase hydrolysis (KPHAP), respectively. The effects of the hydrolysates on cholecystokinin (CCK) secretion and cAMP response element-binding protein (CREB) activation were tested in murine enteroendocrine cell line STC-1. Meanwhile, the signaling mechanism by which the hydrolysates induce CCK secretion was investigated by using inhibitors of signaling proteins. Results indicated that KPHSD and KPHAP both could significantly stimulate CCK secretion and CREB activation. The stimulating effects on CCK release showed a positive correlation with the relative content of peptides with molecular weight ranging from 1,000 to 3,000 Da, indicating this component may mainly account for the ability. The inhibitors on calcium-sensing receptor, PKA, Ca2+/CaMKII, P-38-MAPK, and an intracellular calcium chelator all inhibited krill protein hydrolysates-induced CCK secretion and CREB activation, indicating the involvement of the Ca2+/CaM/CaMK, cAMP/PKA and MAPK pathways in the stimulation of CCK secretion.</t>
  </si>
  <si>
    <t>[Zhou, Da-Yong; Liu, Zhong-Yuan; Zhao, Jun; Xi, Mei-Zhu; Fu, Ying-Huan; Zhang, Ting; Ji, Chao-Fan; Zhu, Bei-Wei] Dalian Polytech Univ, Sch Food Sci &amp; Technol, Dalian 116034, Peoples R China; [Zhou, Da-Yong; Liu, Zhong-Yuan; Zhao, Jun; Fu, Ying-Huan; Ji, Chao-Fan; Zhu, Bei-Wei] Natl Engn Res Ctr Seafood, Dalian 116034, Peoples R China</t>
  </si>
  <si>
    <t>Dalian Polytechnic University; Dalian Polytechnic University</t>
  </si>
  <si>
    <t>Zhu, BW (corresponding author), Dalian Polytech Univ, Sch Food Sci &amp; Technol, Dalian 116034, Peoples R China.;Zhu, BW (corresponding author), Natl Engn Res Ctr Seafood, Dalian 116034, Peoples R China.</t>
  </si>
  <si>
    <t>zhubeiwei@163.com</t>
  </si>
  <si>
    <t>National Natural Science Foundation of China [31171635]; National High Technology Research and Development Program of China (863 Program) [2011AA090801, 2011AA100803]; Supported by Program for Liaoning Excellent Talents in University [LR2015006]; Organization Project for National Engineering Research Center of Seafood - Ministry of Science and Technology of the People's Republic of China [2012FU125X03]</t>
  </si>
  <si>
    <t>National Natural Science Foundation of China(National Natural Science Foundation of China (NSFC)); National High Technology Research and Development Program of China (863 Program)(National High Technology Research and Development Program of China); Supported by Program for Liaoning Excellent Talents in University; Organization Project for National Engineering Research Center of Seafood - Ministry of Science and Technology of the People's Republic of China</t>
  </si>
  <si>
    <t>This work was financially supported by The National Natural Science Foundation of China (Grant Nos. 31171635), The National High Technology Research and Development Program of China (863 Program) (No. 2011AA090801; 2011AA100803),  Supported by Program for Liaoning Excellent Talents in University (LR2015006) and Organization Project for National Engineering Research Center of Seafood funded by Ministry of Science and Technology of the People's Republic of China (No. 2012FU125X03).</t>
  </si>
  <si>
    <t>0145-8892</t>
  </si>
  <si>
    <t>1745-4549</t>
  </si>
  <si>
    <t>J FOOD PROCESS PRES</t>
  </si>
  <si>
    <t>J. Food Process Preserv.</t>
  </si>
  <si>
    <t>e12903</t>
  </si>
  <si>
    <t>10.1111/jfpp.12903</t>
  </si>
  <si>
    <t>Food Science &amp; Technology</t>
  </si>
  <si>
    <t>FA9RL</t>
  </si>
  <si>
    <t>WOS:000405783400018</t>
  </si>
  <si>
    <t>Itkin, P; Spreen, G; Cheng, B; Doble, M; Girard-Ardhuin, F; Haapala, J; Hughes, N; Kaleschke, L; Nicolaus, M; Wilkinson, J</t>
  </si>
  <si>
    <t>Itkin, Polona; Spreen, Gunnar; Cheng, Bin; Doble, Martin; Girard-Ardhuin, Fanny; Haapala, Jari; Hughes, Nick; Kaleschke, Lars; Nicolaus, Marcel; Wilkinson, Jeremy</t>
  </si>
  <si>
    <t>Thin ice and storms: Sea ice deformation from buoy arrays deployed during N-ICE2015</t>
  </si>
  <si>
    <t>CYCLONE; IMPACT</t>
  </si>
  <si>
    <t>Arctic sea ice has displayed significant thinning as well as an increase in drift speed in recent years. Taken together this suggests an associated rise in sea ice deformation rate. A winter and spring expedition to the sea ice covered region north of Svalbard-the Norwegian young sea ICE2015 expedition (N-ICE2015)-gave an opportunity to deploy extensive buoy arrays and to monitor the deformation of the first-year and second-year ice now common in the majority of the Arctic Basin. During the 5 month long expedition, the ice cover underwent several strong deformation events, including a powerful storm in early February that damaged the ice cover irreversibly. The values of total deformation measured during N-ICE2015 exceed previously measured values in the Arctic Basin at similar scales: At 100 km scale, N-ICE2015 values averaged above 0.1 d(-1), compared to rates of 0.08 d(-1) or less for previous buoy arrays. The exponent of the power law between the deformation length scale and total deformation developed over the season from 0.37 to 0.54 with an abrupt increase immediately after the early February storm, indicating a weakened ice cover with more free drift of the sea ice floes. Our results point to a general increase in deformation associated with the younger and thinner Arctic sea ice and to a potentially destructive role of winter storms.</t>
  </si>
  <si>
    <t>[Itkin, Polona; Spreen, Gunnar] Norwegian Polar Res Inst, Tromso, Norway; [Spreen, Gunnar] Univ Bremen, Inst Environm Phys, Bremen, Germany; [Cheng, Bin; Haapala, Jari] Finnish Meteorol Inst, Helsinki, Finland; [Doble, Martin] Polar Sci Ltd, Appin, Argyll, Scotland; [Girard-Ardhuin, Fanny] IFREMER, Lab Oceanog Phys &amp; Spatiale, Plouzane, France; [Hughes, Nick] Norwegian Meteorol Inst, Tromso, Norway; [Kaleschke, Lars] Univ Hamburg, Inst Oceanog, Hamburg, Germany; [Nicolaus, Marcel] Helmholtz Zentrum Polar &amp; Meeresforsch, Alfred Wegener Inst, Bremerhaven, Germany; [Wilkinson, Jeremy] British Antarctic Survey, Cambridge, England</t>
  </si>
  <si>
    <t>Norwegian Polar Institute; University of Bremen; Finnish Meteorological Institute; Institut de Recherche pour le Developpement (IRD); Ifremer; Norwegian Meteorological Institute; University of Hamburg; Helmholtz Association; Alfred Wegener Institute, Helmholtz Centre for Polar &amp; Marine Research; UK Research &amp; Innovation (UKRI); Natural Environment Research Council (NERC); NERC British Antarctic Survey</t>
  </si>
  <si>
    <t>Itkin, P (corresponding author), Norwegian Polar Res Inst, Tromso, Norway.</t>
  </si>
  <si>
    <t>Polona.Itkin@npolar.no</t>
  </si>
  <si>
    <t>Nicolaus, Marcel/A-3658-2013; Girard-Ardhuin, Fanny/AAE-9430-2019; Girard-Ardhuin, Fanny/L-4153-2015; Doble, Martin J/A-9915-2012; Spreen, Gunnar/A-4533-2010</t>
  </si>
  <si>
    <t>Nicolaus, Marcel/0000-0003-0903-1746; Girard-Ardhuin, Fanny/0000-0001-7819-7665; Girard-Ardhuin, Fanny/0000-0001-7819-7665; Spreen, Gunnar/0000-0003-0165-8448; Itkin, Polona/0000-0002-4029-1936; Kaleschke, Lars/0000-0001-7086-3299; Doble, Martin/0000-0001-8185-6510; Hughes, Nicholas/0000-0002-3510-0656</t>
  </si>
  <si>
    <t>Research Council of Norway project STASIS [221961/F20]; ICE-ARC programme from the European Union 7th Framework Programme [603887]; University of Hamburg [DFG EXC177]; Norwegian Polar Institutes Centre for Ice, Climate and Ecosystems (ICE) through the N-ICE project; ID Arctic (Norwegian Ministries of Foreign Affairs and Climate and Environment) [2030]; Institutional Strategy of the University of Bremen - German Excellence Initiative; Academy of Finland [283101, 279310]; Norwegian Polar Institute [REKLIM-2013-04]; Academy of Finland (AKA) [279310] Funding Source: Academy of Finland (AKA); Natural Environment Research Council [bas0100032] Funding Source: researchfish; NERC [bas0100032] Funding Source: UKRI</t>
  </si>
  <si>
    <t>Research Council of Norway project STASIS; ICE-ARC programme from the European Union 7th Framework Programme(European Union (EU)Marie Curie Actions); University of Hamburg; Norwegian Polar Institutes Centre for Ice, Climate and Ecosystems (ICE) through the N-ICE project; ID Arctic (Norwegian Ministries of Foreign Affairs and Climate and Environment); Institutional Strategy of the University of Bremen - German Excellence Initiative; Academy of Finland(Research Council of Finland); Norwegian Polar Institute; Academy of Finland (AKA)(Research Council of Finland); Natural Environment Research Council(UK Research &amp; Innovation (UKRI)Natural Environment Research Council (NERC)); NERC(UK Research &amp; Innovation (UKRI)Natural Environment Research Council (NERC))</t>
  </si>
  <si>
    <t>We deeply thank the crew and scientists on board R/V Lance. There was a huge number of people to whom we are grateful for their help with the buoy deployments, among them Bengt Rotmo, Ottar Skog, and Steinar Aksnes stand out with their efforts during the winter deployment. We also thank the crew of the ice breaker KV Svalbard for assisting the travel of R/V Lance through the pack ice and deploying and recovering some of the buoys. The buoys itself were contributed by the Norwegian Polar Institute (through Centre for Ice, Climate and Ecosystems (ICE), Research Council of Norway project STASIS (221961/F20), and ICE-ARC programme from the European Union 7th Framework Programme, grant 603887), University of Hamburg (through project DFG EXC177), Finnish Meteorological Institute, British Antarctic Survey, the Helmholtz infrastructure program FRAM of the Alfred-Wegener-Institut, and Norwegian University of Science and Technology (NTNU). This work has been supported by the Norwegian Polar Institutes Centre for Ice, Climate and Ecosystems (ICE) through the N-ICE project. P.I. was also supported by ID Arctic (funded the by Norwegian Ministries of Foreign Affairs and Climate and Environment, programme Arktis 2030). G.S. was supported by the Institutional Strategy of the University of Bremen, funded by the German Excellence Initiative. B.C. was funded by the Academy of Finland grant 283101. J.H. was funded by the Academy of Finland grant 279310. We are grateful to Jennifer Hutchings for insightful reviews and valuable advises on the buoy data processing. We thank Norwegian Meteorological Institute for ice chart data (http:// polarview.met.no/) and the University of Bremen for ice concentration data (http://www.seaice.uni-bremen.de). N-ICE2015 acknowledges the in-kind contributions provided by other national and international projects and participating institutions, through personnel, equipment, and other support. All the data used in this paper are published in the Norwegian Polar Institute database http://data.npolar.no and partly also at http://www.meereisportal.de (grant REKLIM-2013-04).</t>
  </si>
  <si>
    <t>10.1002/2016JC012403</t>
  </si>
  <si>
    <t>Green Published, Green Accepted, hybrid</t>
  </si>
  <si>
    <t>WOS:000407088800010</t>
  </si>
  <si>
    <t>Oyama, S; Kero, A; Rodger, CJ; Clilverd, MA; Miyoshi, Y; Partamies, N; Turunen, E; Raita, T; Verronen, PT; Saito, S</t>
  </si>
  <si>
    <t>Oyama, S.; Kero, A.; Rodger, C. J.; Clilverd, M. A.; Miyoshi, Y.; Partamies, N.; Turunen, E.; Raita, T.; Verronen, P. T.; Saito, S.</t>
  </si>
  <si>
    <t>Energetic electron precipitation and auroral morphology at the substorm recovery phase</t>
  </si>
  <si>
    <t>substorm; auroral patch; EEP; recovery phase; ionosphere; plasma wave</t>
  </si>
  <si>
    <t>PULSATING AURORA; CHORUS WAVES; PATCHES; FIELD; FRAGMENTATION; VICINITY; SPECTRA; FLUXES; GROWTH; EISCAT</t>
  </si>
  <si>
    <t>It is well known that auroral patterns at the substorm recovery phase are characterized by diffuse or patch structures with intensity pulsation. According to satellite measurements and simulation studies, the precipitating electrons associated with these aurorae can reach or exceed energies of a few hundreds of keV through resonant wave-particle interactions in the magnetosphere. However, because of difficulty of simultaneous measurements, the dependency of energetic electron precipitation (EEP) on auroral morphological changes in the mesoscale has not been investigated to date. In order to study this dependency, we have analyzed data from the European Incoherent Scatter (EISCAT) radar, the Kilpisjarvi Atmospheric Imaging Receiver Array (KAIRA) riometer, collocated cameras, ground-based magnetometers, the Van Allen Probe satellites, Polar Operational Environmental Satellites (POES), and the Antarctic-Arctic Radiation-belt (Dynamic) Deposition-VLF Atmospheric Research Konsortium (AARDDVARK). Here we undertake a detailed examination of two case studies. The selected two events suggest that the highest energy of EEP on those days occurred with auroral patch formation from postmidnight to dawn, coinciding with the substorm onset at local midnight. Measurements of the EISCAT radar showed ionization as low as 65km altitude, corresponding to EEP with energies of about 500keV. Plain Language Summary Aurora is emission of the atmospheric particles excited by electrons coming from the magnetosphere. The electrons have energies of 1-10keV or higher. In particular, it is known that the energy can increase more than 100keV in association with the pulsating aurora and that morphology of the pulsating aurora changes with time. However, relationships between the energy increase and the morphological change have not been studied well. This study analyzed the ionospheric density and auroral images and found that significant increases of the energy coincides with evolution of the patch structures in the pulsating aurora.</t>
  </si>
  <si>
    <t>[Oyama, S.; Kero, A.; Miyoshi, Y.; Saito, S.] Nagoya Univ, Inst Space Earth Environm Res, Nagoya, Aichi, Japan; [Kero, A.; Turunen, E.; Raita, T.] Univ Oulu, Sodankyla Geophys Observ, Sodankyla, Finland; [Rodger, C. J.] Univ Otago, Dept Phys, Dunedin, New Zealand; [Clilverd, M. A.] British Antarctic Survey, Cambridge, England; [Partamies, N.] Univ Ctr Svalbard, Dept Arctic Geophys, Longyearbyen, Norway; [Partamies, N.] Birkeland Ctr Space Sci, Bergen, Norway; [Verronen, P. T.] Finnish Meteorol Inst, Helsinki, Finland</t>
  </si>
  <si>
    <t>Nagoya University; University of Oulu; University of Otago; UK Research &amp; Innovation (UKRI); Natural Environment Research Council (NERC); NERC British Antarctic Survey; University Centre Svalbard (UNIS); Finnish Meteorological Institute</t>
  </si>
  <si>
    <t>Oyama, S (corresponding author), Nagoya Univ, Inst Space Earth Environm Res, Nagoya, Aichi, Japan.</t>
  </si>
  <si>
    <t>soyama@isee.nagoya-u.ac.jp</t>
  </si>
  <si>
    <t>Partamies, Noora/G-3408-2014; Verronen, Pekka T/G-6658-2014; Miyoshi, Yoshizumi/T-5748-2019; Rodger, Craig/A-1501-2011; Verronen, P. T./AIE-0203-2022; Miyoshi, Yoshizumi/B-5834-2015</t>
  </si>
  <si>
    <t>Miyoshi, Yoshizumi/0000-0001-7998-1240; Verronen, P. T./0000-0002-3479-9071; Rodger, Craig J./0000-0002-6770-2707; Turunen, Esa/0000-0001-8232-8744</t>
  </si>
  <si>
    <t>NERC [bas0100031, NE/P01738X/1] Funding Source: UKRI; Natural Environment Research Council [bas0100031, NE/P01738X/1] Funding Source: researchfish; Grants-in-Aid for Scientific Research [16K05569] Funding Source: KAKEN</t>
  </si>
  <si>
    <t>NERC(UK Research &amp; Innovation (UKRI)Natural Environment Research Council (NERC));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t>
  </si>
  <si>
    <t>10.1002/2016JA023484</t>
  </si>
  <si>
    <t>Green Accepted, Green Submitted, Green Published</t>
  </si>
  <si>
    <t>WOS:000405534800042</t>
  </si>
  <si>
    <t>Bates, ML; Nash, SMB; Hawker, DW; Shaw, EC; Cropp, RA</t>
  </si>
  <si>
    <t>Bates, Michael L.; Nash, Susan M. Bengtson; Hawker, Darryl W.; Shaw, Emily C.; Cropp, Roger A.</t>
  </si>
  <si>
    <t>The distribution of persistent organic pollutants in a trophically complex Antarctic ecosystem model</t>
  </si>
  <si>
    <t>JOURNAL OF MARINE SYSTEMS</t>
  </si>
  <si>
    <t>Climate change; Persistent organic pollutants (POPS); Marine chemistry; Polar chemistry</t>
  </si>
  <si>
    <t>AQUATIC FOOD-WEBS; ORGANOCHLORINE CONTAMINANTS; PCB BIOACCUMULATION; SOUTHERN-OCEAN; TIME TRENDS; SEAWATER; PHYTOPLANKTON; ACCUMULATION; CHEMICALS; POPS</t>
  </si>
  <si>
    <t>Despite Antarctica's isolation from human population centres, persistent organic pollutants (POPs) are transported there via long range atmospheric transport and subsequently cold-trapped. The challenging nature of working in the Antarctic environment greatly limits our ability to monitor POP concentrations and understand the processes that govern the distribution of POPs in Antarctic ecosystems. Here we couple a dynamic, trophically complex biological model with a fugacity model to investigate the distribution of hexachlorobenzene (HCB) in a near-shore Antarctic ecosystem. Using this model we examine the steady-state, and annual cycle of HCB concentration in the atmosphere, ocean, sediment, detritus, and 21 classes of biota that span from primary producers to apex predators. The scope and trophic resolution of our model allows us to examine POP pathways through the ecosystem. In our model the main pathway of HCB to upper trophic species is via pelagic communities, with relatively little via benthic communities. Using a dynamic ecosystem model also allows us to examine the seasonal and potential climate change induced changes in POP distribution. We show that there is a large annual cycle in concentration in the planktonic communities, which may have implications for biomagnification factors calculated from observations. We also examine the direct effects of increasing temperature on the redistribution of HCB in a changing climate and find that it is likely minor compared to other indirect effects, such as changes in atmospheric circulation, sea ice dynamics, and changes to the ecosystem itself. (C) 2017 Elsevier B.V. All rights reserved.</t>
  </si>
  <si>
    <t>[Bates, Michael L.; Hawker, Darryl W.; Cropp, Roger A.] Griffith Univ, Griffith Sch Environm, 170 Kessels Rd, Nathan, Qld 4111, Australia; [Nash, Susan M. Bengtson] Griffith Univ, Environm Futures Res Inst, 170 Kessels Rd, Nathan, Qld 4111, Australia; [Shaw, Emily C.] Calif State Univ Northridge, Dept Biol, 18111 Nordhoff St, Northridge, CA 91330 USA</t>
  </si>
  <si>
    <t>Griffith University; Griffith University; California State University System; California State University Northridge</t>
  </si>
  <si>
    <t>Bates, ML (corresponding author), Griffith Univ, Griffith Sch Environm, 170 Kessels Rd, Nathan, Qld 4111, Australia.</t>
  </si>
  <si>
    <t>bateserino@gmail.com</t>
  </si>
  <si>
    <t>Bengtson Nash, Susan/GMX-4611-2022; Cropp, Roger/C-1019-2008; Bengtson Nash, Susan/I-3942-2015</t>
  </si>
  <si>
    <t>Bengtson Nash, Susan/0000-0001-5928-0850; Bengtson Nash, Susan/0000-0001-5928-0850</t>
  </si>
  <si>
    <t>Australian Antarctic Division [4121]</t>
  </si>
  <si>
    <t>Australian Antarctic Division</t>
  </si>
  <si>
    <t>This project was made possible by Australian Antarctic Science grant 4121 provided by the Australian Antarctic Division. The numerical solutions were Obtained using the ODE module of SciPy (Oliphant, 2007) and plotting was done using matplotlib (Hunter, 2007), except for Fig. 2 which was created using graphviz (Gansner and North, 2000).</t>
  </si>
  <si>
    <t>0924-7963</t>
  </si>
  <si>
    <t>1879-1573</t>
  </si>
  <si>
    <t>J MARINE SYST</t>
  </si>
  <si>
    <t>J. Mar. Syst.</t>
  </si>
  <si>
    <t>10.1016/j.jmarsys.2017.02.005</t>
  </si>
  <si>
    <t>Geosciences, Multidisciplinary; Marine &amp; Freshwater Biology; Oceanography</t>
  </si>
  <si>
    <t>Geology; Marine &amp; Freshwater Biology; Oceanography</t>
  </si>
  <si>
    <t>EU7JP</t>
  </si>
  <si>
    <t>WOS:000401211400009</t>
  </si>
  <si>
    <t>Wang, JF; He, WJ; Kong, FD; Tian, XP; Wang, P; Zhou, XJ; Liu, YH</t>
  </si>
  <si>
    <t>Wang, Junfeng; He, Weijun; Kong, Fandong; Tian, Xinpeng; Wang, Pei; Zhou, Xiaojiang; Liu, Yonghong</t>
  </si>
  <si>
    <t>Ochracenes A-I, Humulane-Derived Sesquiterpenoids from the Antarctic Fungus Aspergillus ochraceopetaliformis</t>
  </si>
  <si>
    <t>JOURNAL OF NATURAL PRODUCTS</t>
  </si>
  <si>
    <t>METABOLITES; NO</t>
  </si>
  <si>
    <t>Nine new humulane-derived sesquiterpenoids, ochracenes A-I (1-9), were isolated from the Antarctic fungus Aspergillus ochraceopetaliformis SCSIO 05702. Their structures including absolute configurations were elucidated on the basis of spectroscopic analysis, Mosher's method, and electronic circular dichroism analysis. Compared with previous humulane-type sesquiterpenoids, ochracenes A-I (1-9) featured novel carbon skeletons with corresponding methyl migration, ring cleavage, and carbon loss. Two unprecedented 8,9-secocyclic sesquiterpenoids (2 and 3) exhibited inhibitory effects on lipopolysaccharide-induced NO release in RAW 264.7 mouse macrophage cell lines with IC50 values of 14.6 +/- 0.5 and 18.3 +/- 1.7 mu M, respectively.</t>
  </si>
  <si>
    <t>[Wang, Junfeng; He, Weijun; Tian, Xinpeng; Liu, Yonghong] Chinese Acad Sci, South China Sea Inst Oceanol, RNAM Ctr Marine Microbiol, Guangdong Key Lab Marine Mat Med,CAS Key Lab Trop, Guangzhou 510301, Guangdong, Peoples R China; [He, Weijun; Zhou, Xiaojiang] Hunan Univ Chinese Med, Coll Pharm, Changsha 410208, Hunan, Peoples R China; [Kong, Fandong; Wang, Pei] Chinese Acad Trop Agr Sci, Inst Trop Biosci &amp; Biotechnol, Key Lab Biol &amp; Genet Resources Trop Crops, Minist Agr, Haikou 571101, Peoples R China</t>
  </si>
  <si>
    <t>Chinese Academy of Sciences; South China Sea Institute of Oceanology, CAS; Hunan University of Chinese Medicine; Chinese Academy of Tropical Agricultural Sciences; Ministry of Agriculture &amp; Rural Affairs</t>
  </si>
  <si>
    <t>Liu, YH (corresponding author), Chinese Acad Sci, South China Sea Inst Oceanol, RNAM Ctr Marine Microbiol, Guangdong Key Lab Marine Mat Med,CAS Key Lab Trop, Guangzhou 510301, Guangdong, Peoples R China.;Zhou, XJ (corresponding author), Hunan Univ Chinese Med, Coll Pharm, Changsha 410208, Hunan, Peoples R China.</t>
  </si>
  <si>
    <t>gale9888@163.com; yonghongliu@scsio.ac.cn</t>
  </si>
  <si>
    <t>Tian, Xin peng/W-1599-2019; LIU, JIALIN/JXN-8034-2024; Liu, Yonghong/E-3118-2014</t>
  </si>
  <si>
    <t>Liu, Yonghong/0000-0001-8327-3108; junfeng, wang/0000-0003-4803-7083</t>
  </si>
  <si>
    <t>National Natural Science Foundation of China [21502204, 41476135]; Strategic Leading Science and Technology Project of CAS [XDA11030403]; Guangdong Province Public Welfare Research and Capacity Building Project [2016A020222010]; Pearl River S&amp;T Nova Program of Guangzhou [201710010136]</t>
  </si>
  <si>
    <t>National Natural Science Foundation of China(National Natural Science Foundation of China (NSFC)); Strategic Leading Science and Technology Project of CAS; Guangdong Province Public Welfare Research and Capacity Building Project; Pearl River S&amp;T Nova Program of Guangzhou</t>
  </si>
  <si>
    <t>This work was financially supported by the National Natural Science Foundation of China (Nos. 21502204 and 41476135), the Strategic Leading Science and Technology Project of CAS (XDA11030403), Guangdong Province Public Welfare Research and Capacity Building Project (No. 2016A020222010), and Pearl River S&amp;T Nova Program of Guangzhou (No. 201710010136). We are grateful to Dr. Z. Xiao, A. Sun, C. Li, and Y. Zhang in the analytical facilities at SCSIO for recording spectroscopic data.</t>
  </si>
  <si>
    <t>AMER CHEMICAL SOC</t>
  </si>
  <si>
    <t>1155 16TH ST, NW, WASHINGTON, DC 20036 USA</t>
  </si>
  <si>
    <t>0163-3864</t>
  </si>
  <si>
    <t>1520-6025</t>
  </si>
  <si>
    <t>J NAT PROD</t>
  </si>
  <si>
    <t>J. Nat. Prod.</t>
  </si>
  <si>
    <t>10.1021/acs.jnatprod.6b00810</t>
  </si>
  <si>
    <t>Plant Sciences; Chemistry, Medicinal; Pharmacology &amp; Pharmacy</t>
  </si>
  <si>
    <t>Science Citation Index Expanded (SCI-EXPANDED); Index Chemicus (IC)</t>
  </si>
  <si>
    <t>EY9MG</t>
  </si>
  <si>
    <t>WOS:000404322100003</t>
  </si>
  <si>
    <t>Kunze, E</t>
  </si>
  <si>
    <t>Kunze, Eric</t>
  </si>
  <si>
    <t>Internal-Wave-Driven Mixing: Global Geography and Budgets</t>
  </si>
  <si>
    <t>DEEP-OCEAN; TURBULENT DISSIPATION; NORTH-ATLANTIC; FINESCALE PARAMETERIZATIONS; SPATIAL VARIABILITY; SOUTHERN-OCEAN; FINE-STRUCTURE; TIDAL ENERGY; KAENA RIDGE; SHEAR</t>
  </si>
  <si>
    <t>Internal-wave-driven dissipation rates epsilon and diapycnal diffusivities K are inferred globally using a finescale parameterization based on vertical strain applied to similar to 30 000 hydrographic casts. Global dissipations are 2.06 +/- 0.6 TW, consistent with internal wave power sources of 2.1 +/- 0.7 TW from tides and wind. Vertically integrated dissipation rates vary by three to four orders of magnitude with elevated values over abrupt topography in the western Indian and Pacific as well as midocean slow spreading ridges, consistent with internal tide sources. But dependence on bottom forcing is much weaker than linear wave generation theory, pointing to horizontal dispersion by internal waves and relatively little local dissipation when forcing is strong. Stratified turbulent bottom boundary layer thickness variability is not consistent with OGCM parameterizations of tidal mixing. Average diffusivities K = (0.3-0.4) x 10(-4) m(2) s(-1) depend only weakly on depth, indicating that epsilon = KN2/gamma scales as N-2 such that the bulk of the dissipation is in the pycnocline and less than 0.08-TW dissipation below 2000-m depth. Average diffusivities K approach 10(-4) m(2) s(-1) in the bottom 500 meters above bottom (mab) in height above bottom coordinates with a 2000-m e-folding scale. Average dissipation rates are 10(-9) Wkg(-1) within 500 mab then diminish to background deep values of 0.15 x 10(-9) Wkg(-1) by 1000 mab. No incontrovertible support is found for high dissipation rates in Antarctic Circumpolar Currents or parametric subharmonic instability being a significant pathway to elevated dissipation rates for semidiurnal or diurnal internal tides equatorward of 28 degrees and 14 degrees latitudes, respectively, although elevated K is found about 30 degrees latitude in the North and South Pacific.</t>
  </si>
  <si>
    <t>[Kunze, Eric] NorthWest Res Associates, Redmond, WA 98052 USA</t>
  </si>
  <si>
    <t>NorthWest Research Associates</t>
  </si>
  <si>
    <t>Kunze, E (corresponding author), NorthWest Res Associates, Redmond, WA 98052 USA.</t>
  </si>
  <si>
    <t>kunze@nwra.com</t>
  </si>
  <si>
    <t>NSF Grant [OCE-1153692]</t>
  </si>
  <si>
    <t>NSF Grant(National Science Foundation (NSF))</t>
  </si>
  <si>
    <t>For Walter Munk, who started it all, on his 100th birthday. The author acknowledges the efforts of the hundreds of scientists and technicians who collected, processed, and quality controlled the hydrographic data used in this study. Barry Ma and Fiona Lo assisted with data extraction. Discussions with Cimarron Wortham on fitting procedures were valuable. Comments from two anonymous reviewers led to improvements of the manuscript. This research was supported by NSF Grant OCE-1153692. (Internal-wave-driven inferred turbulence dataset is available at ftp.nwra.com/outgoing/kunze/iwturb.)</t>
  </si>
  <si>
    <t>10.1175/JPO-D-16-0141.1</t>
  </si>
  <si>
    <t>WOS:000403208900007</t>
  </si>
  <si>
    <t>Nolan, ET; Barnes, DKA; Brown, J; Downes, K; Enderlein, P; Gowland, E; Hogg, OT; Laptikhovsky, V; Morley, SA; Mrowicki, RJ; Richardson, A; Sands, CJ; Weber, N; Weber, S; Brickle, P</t>
  </si>
  <si>
    <t>Nolan, E. T. yyyy; Barnes, D. K. A.; Brown, J.; Downes, K.; Enderlein, P.; Gowland, E.; Hogg, O. T.; Laptikhovsky, V.; Morley, S. A.; Mrowicki, R. J.; Richardson, A.; Sands, C. J.; Weber, N.; Weber, S.; Brickle, P.</t>
  </si>
  <si>
    <t>Biological and physical characterization of the seabed surrounding Ascension Island from 100-1000 m</t>
  </si>
  <si>
    <t>JOURNAL OF THE MARINE BIOLOGICAL ASSOCIATION OF THE UNITED KINGDOM</t>
  </si>
  <si>
    <t>Ascension Island; benthic shelf; marine biodiversity; tropical South Atlantic; Vulnerable Marine Ecosystems</t>
  </si>
  <si>
    <t>HABITAT STRUCTURE; DEEP-SEA; SOUTH-ATLANTIC; BIODIVERSITY; DIVERSITY; HETEROGENEITY; DISTURBANCE; ECOSYSTEMS; MACROALGAE; ATTRIBUTES</t>
  </si>
  <si>
    <t>Recent studies have improved our understanding of nearshore marine ecosystems surrounding Ascension Island (central Atlantic Ocean), but little is known about Ascension's benthic environment beyond its shallow coastal waters. Here, we report the first detailed physical and biological examination of the seabed surrounding Ascension Island at 100 - 1000 m depth. Multibeam swath data were used to map fine scale bathymetry and derive seabed slope and rugosity indices for the entire area. Water temperature and salinity profiles were obtained from five Conductivity, Temperature, Depth (CTD) deployments, revealing a spatially consistent thermocline at 80 m depth. A camera lander (Shelf Underwater Camera System; SUCS) provided nearly 400 images from 21 sites (100 m transects) at depths of 110 - 1020 m, showing high variability in the structure of benthic habitats and biological communities. These surveys revealed a total of 95 faunal morphotypes (mean richness &lt; 14 per site), complemented by 213 voucher specimens constituting 60 morphotypes collected from seven targeted Agassiz trawl (AGT) deployments. While total faunal density (maximum &gt; 300 m(-2) at 480 m depth) increased with rugosity, characteristic shifts in multivariate assemblage structure were driven by depth and substratum type. Shallow assemblages (similar to 100 m) were dominated by black coral (Antipatharia sp.) on rocky substrata, cup corals (Caryophyllia sp.) and sea urchins (Cidaris sp.) were abundant on fine sediment at intermediate depths (250 - 500 m), and shrimps (Nematocarcinus spp.) were common at greater depths (&gt; 500 m). Other ubiquitous taxa included serpulid and sabellid polychaetes and brittle stars (Ophiocantha sp.). Cold-water corals (Lophelia cf. pertusa), indicative of Vulnerable Marine Ecosystems (VMEs) and representing substantial benthic carbon accumulation, occurred in particularly dense aggregations at &lt; 350 m but were encountered as deep as 1020 m. In addition to enhancing marine biodiversity records at this locality, this study provides critical baseline data to support the future management of Ascension's marine environment.</t>
  </si>
  <si>
    <t>[Barnes, D. K. A.; Enderlein, P.; Gowland, E.; Hogg, O. T.; Morley, S. A.; Sands, C. J.] NERC, British Antarctic Survey, Madingley Rd, Cambridge, England; [Hogg, O. T.] NERC, Natl Oceanog Ctr, Southampton, Hants, England; [Laptikhovsky, V.] Ctr Environm Fisheries &amp; Aquaculture Sci, Lowestoft, Suffolk, England; [Brickle, P.] Univ Aberdeen, Sch Biol Sci Zool, Tillydrone Ave, Aberdeen, Scotland</t>
  </si>
  <si>
    <t>UK Research &amp; Innovation (UKRI); Natural Environment Research Council (NERC); NERC British Antarctic Survey; NERC National Oceanography Centre; UK Research &amp; Innovation (UKRI); Natural Environment Research Council (NERC); Centre for Environment Fisheries &amp; Aquaculture Science; University of Aberdeen</t>
  </si>
  <si>
    <t>Brickle, P (corresponding author), Univ Aberdeen, Sch Biol Sci Zool, Tillydrone Ave, Aberdeen, Scotland.</t>
  </si>
  <si>
    <t>pbrickle@env.institute.ac.fk</t>
  </si>
  <si>
    <t>Weber, Nicola/0000-0001-6910-3727; Sands, Chester/0000-0003-1028-0328; Brickle, Paul/0000-0002-9870-3518; Nolan, Emma/0000-0003-4388-2093; Hogg, Oliver/0000-0003-1146-0590</t>
  </si>
  <si>
    <t>Blue Marine Foundation; National Environment Research Council (NERC); British Antarctic Survey (BAS); South Atlantic Environmental Research Institute (SAERI); Darwin Initiative [DPLUS021]; NERC [NE/R000107/1, bas0100036] Funding Source: UKRI; Natural Environment Research Council [bas0100036, NE/R000107/1, 1498911] Funding Source: researchfish</t>
  </si>
  <si>
    <t>Blue Marine Foundation; National Environment Research Council (NERC)(UK Research &amp; Innovation (UKRI)Natural Environment Research Council (NERC)); British Antarctic Survey (BAS); South Atlantic Environmental Research Institute (SAERI); Darwin Initiative; NERC(UK Research &amp; Innovation (UKRI)Natural Environment Research Council (NERC)); Natural Environment Research Council(UK Research &amp; Innovation (UKRI)Natural Environment Research Council (NERC))</t>
  </si>
  <si>
    <t>This study was funded by the Blue Marine Foundation in association with a Darwin Initiative Grant (DPLUS021), the National Environment Research Council (NERC), the British Antarctic Survey (BAS) and the South Atlantic Environmental Research Institute (SAERI). The authors gratefully acknowledge the Atlantic Meridional Transect team for their logistical support and expertise, particularly in collecting multibeam sonar data. We would also like to thank the master, officers and crew of RRS 'James Clark Ross'.</t>
  </si>
  <si>
    <t>0025-3154</t>
  </si>
  <si>
    <t>1469-7769</t>
  </si>
  <si>
    <t>J MAR BIOL ASSOC UK</t>
  </si>
  <si>
    <t>J. Mar. Biol. Assoc. U.K.</t>
  </si>
  <si>
    <t>10.1017/S0025315417000820</t>
  </si>
  <si>
    <t>FI9JP</t>
  </si>
  <si>
    <t>WOS:000412323400002</t>
  </si>
  <si>
    <t>Freidman, BL; Northcott, KA; Thiel, P; Gras, SL; Snape, I; Stevens, GW; Mumford, KA</t>
  </si>
  <si>
    <t>Freidman, Benjamin L.; Northcott, Kathy A.; Thiel, Peta; Gras, Sally L.; Snape, Ian; Stevens, Geoff W.; Mumford, Kathryn A.</t>
  </si>
  <si>
    <t>From urban municipalities to polar bioremediation: the characterisation and contribution of biogenic minerals for water treatment</t>
  </si>
  <si>
    <t>JOURNAL OF WATER AND HEALTH</t>
  </si>
  <si>
    <t>Antarctic; biogenic; iron; manganese; water treatment</t>
  </si>
  <si>
    <t>PERMEABLE REACTIVE BARRIER; CASEY-STATION; FREEZE-THAW; ACTIVATED CARBON; MANGANESE OXIDES; IRON; BIOMINERALIZATION; MINERALIZATION; HYDROCARBONS; REMEDIATION</t>
  </si>
  <si>
    <t>Minerals of biological origin have shown significant potential for the separation of contaminants from water worldwide. This study details the contribution of biologically derived minerals to water treatment operations, with a focus on filtration media from urban municipalities and remote cold regions. The results support biofilm-embedded iron and manganese to be the building blocks of biogenic mineral development on activated carbon and nutrient-amended zeolites. The presence of similar iron and manganese oxidising bacterial species across all filter media supports the analogous morphologies of biogenic minerals between sites and suggests that biological water treatment processes may be feasible across a range of climates. This is the first time the stages of biogenic mineral formation have been aligned with comprehensive imaging of the biofilm community and bacterial identification; especially with respect to cold regions. Where biogenic mineral formation occurs on filter media, the potential exists for enhanced adsorption for a range of organic and inorganic contaminants and improved longevity of filter media beyond the adsorption or exchange capacities of the raw material.</t>
  </si>
  <si>
    <t>[Freidman, Benjamin L.; Gras, Sally L.; Stevens, Geoff W.; Mumford, Kathryn A.] Univ Melbourne, Dept Chem &amp; Biomol Engn, Particulate Fluids Proc Ctr, Bldg 165, Parkville, Vic 3010, Australia; [Freidman, Benjamin L.; Gras, Sally L.] Univ, Mol Sci &amp; Biotechnol Inst Bio21, Melbourne, Vic 3010, Australia; [Northcott, Kathy A.] Veolia Australia &amp; New Zealand, Kangaroo Flat, Vic 3555, Australia; [Thiel, Peta] Res Lab Serv, Eltham, Vic 3095, Australia; [Gras, Sally L.] Univ Melbourne, ARC Dairy Innovat Hub, Melbourne, Vic 3010, Australia; [Snape, Ian] Australian Antarctic Div, Kingston, Tas 7050, Australia</t>
  </si>
  <si>
    <t>University of Melbourne; Melbourne Genomics Health Alliance; Veolia; Veolia Australia; Melbourne Genomics Health Alliance; University of Melbourne; Australian Antarctic Division</t>
  </si>
  <si>
    <t>Mumford, KA (corresponding author), Univ Melbourne, Dept Chem &amp; Biomol Engn, Particulate Fluids Proc Ctr, Bldg 165, Parkville, Vic 3010, Australia.</t>
  </si>
  <si>
    <t>mumfordk@unimelb.edu.au</t>
  </si>
  <si>
    <t>Gras, Sally L/G-2025-2014; Mumford, Kathryn A/M-6566-2015</t>
  </si>
  <si>
    <t>Gras, Sally L/0000-0002-4660-1245; Stevens, Geoffrey/0000-0002-5788-4682</t>
  </si>
  <si>
    <t>Australian Antarctic Science Project [4029, 4036]; Particulate Fluids Processing Centre at the University of Melbourne</t>
  </si>
  <si>
    <t>Australian Antarctic Science Project; Particulate Fluids Processing Centre at the University of Melbourne</t>
  </si>
  <si>
    <t>We would like to acknowledge Australian Antarctic Science Project 4029 and 4036, and the Particulate Fluids Processing Centre at the University of Melbourne for financial support. We would like to thank the Materials Characterisation and Fabrication Platform at the University of Melbourne and the Victorian Node of the Australian National Fabrication Facility for XRD analysis, and Bioscreen Medical for allowing usage of their MALDI Biotyper. We would also like to thank Roger Curtain of the Bio21 Institute, University of Melbourne for assistance with energy dispersive spectroscopic analysis and Dr Brett Johnson of the Department of Physics, University of Melbourne for assistance with Raman spectroscopy.</t>
  </si>
  <si>
    <t>IWA PUBLISHING</t>
  </si>
  <si>
    <t>ALLIANCE HOUSE, 12 CAXTON ST, LONDON SW1H0QS, ENGLAND</t>
  </si>
  <si>
    <t>1477-8920</t>
  </si>
  <si>
    <t>J WATER HEALTH</t>
  </si>
  <si>
    <t>J. Water Health</t>
  </si>
  <si>
    <t>10.2166/wh.2017.019</t>
  </si>
  <si>
    <t>Environmental Sciences; Public, Environmental &amp; Occupational Health; Microbiology; Water Resources</t>
  </si>
  <si>
    <t>Environmental Sciences &amp; Ecology; Public, Environmental &amp; Occupational Health; Microbiology; Water Resources</t>
  </si>
  <si>
    <t>EX3CS</t>
  </si>
  <si>
    <t>WOS:000403110200007</t>
  </si>
  <si>
    <t>Martin, DJP; Pernet-Fisher, JF; Joy, KH; Wogelius, RA; Morlok, A; Hiesinger, H</t>
  </si>
  <si>
    <t>Martin, Dayl J. P.; Pernet-Fisher, John F.; Joy, Katherine H.; Wogelius, Roy A.; Morlok, Andreas; Hiesinger, Harald</t>
  </si>
  <si>
    <t>Investigating the shock histories of lunar meteorites Miller Range 090034, 090070, and 090075 using petrography, geochemistry, and micro-FTIR spectroscopy</t>
  </si>
  <si>
    <t>INFRARED-EMISSION SPECTROSCOPY; MARE BASALTS; CRUST; SURFACE; MOON; PLAGIOCLASE; EVOLUTION; SPECTRA; MERCURY; STRATIGRAPHY</t>
  </si>
  <si>
    <t>Fourier transform infrared (FTIR) spectroscopy and cathodoluminescence (CL) imaging techniques, combined with electron microprobe analyses, have been used to determine the physical state of feldspathic phases that have been subject to varying levels of shock in the grouped lunar meteorites Miller Range 090034, 090070, and 090075. Six feldspathic phases have been identified based on spectral, textural, and chemical properties. A specific infrared wavelength band ratio (1064/932cm(-1) equivalent to 9.40/10.73m), chosen because it can distinguish between some of the feldspathic phases, can be used to estimate the pressure regimes experienced by these phases. In addition, FTIR spatial mapping capabilities allow for visual comparison of variably shocked phases within the samples. By comparing spectral and compositional data, the origin and shock history of this lunar meteorite group has been determined, with each of the shocked feldspathic phases being related to events in its geological evolution. As such, we highlight that FTIR spectroscopy can be easily employed to identify shocked feldspathic phases in lunar samples; estimate peak shock pressures; and when compared with chemical data, can be used to investigate their shock histories.</t>
  </si>
  <si>
    <t>[Martin, Dayl J. P.; Pernet-Fisher, John F.; Joy, Katherine H.; Wogelius, Roy A.] Univ Manchester, Sch Earth &amp; Environm Sci, Oxford Rd, Manchester M13 9PL, Lancs, England; [Wogelius, Roy A.] Univ Manchester, Williamson Res Ctr Mol Environm Sci, Oxford Rd, Manchester M13 9PL, Lancs, England; [Morlok, Andreas; Hiesinger, Harald] Westfal Wilhelms Univ Munster, Inst Planetol, Wilhelm Klemm Str 10, D-48149 Munster, Germany</t>
  </si>
  <si>
    <t>University of Manchester; University of Manchester; University of Munster</t>
  </si>
  <si>
    <t>Martin, DJP (corresponding author), Univ Manchester, Sch Earth &amp; Environm Sci, Oxford Rd, Manchester M13 9PL, Lancs, England.</t>
  </si>
  <si>
    <t>dayl.martin@manchester.ac.uk</t>
  </si>
  <si>
    <t>Wogelius, Roy A/C-4917-2008</t>
  </si>
  <si>
    <t>Pernet-Fisher, John/0000-0002-2779-175X</t>
  </si>
  <si>
    <t>NSF; NASA; STFC [ST/M001253/1]; Royal Society [RS/UF140190]; DLR [50 QW 1302]; STFC [ST/M001253/1] Funding Source: UKRI; Science and Technology Facilities Council [1506244, ST/M001253/1] Funding Source: researchfish</t>
  </si>
  <si>
    <t>NSF(National Science Foundation (NSF)); NASA(National Aeronautics &amp; Space Administration (NASA)); STFC(UK Research &amp; Innovation (UKRI)Science &amp; Technology Facilities Council (STFC)); Royal Society(Royal Society); DLR(Helmholtz AssociationGerman Aerospace Centre (DLR)); STFC(UK Research &amp; Innovation (UKRI)Science &amp; Technology Facilities Council (STFC)); Science and Technology Facilities Council(UK Research &amp; Innovation (UKRI)Science &amp; Technology Facilities Council (STFC))</t>
  </si>
  <si>
    <t>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thank Dr. Randy Korotev and Dr. Kerri Donaldson Hanna for careful reviews. We also thank Dr. Holly Barden for her help and advice when using the FTIR instrument, and an STFC (PhD studentship to Dayl Martin, and STFC grants (ST/M001253/1) and the Royal Society (grant RS/UF140190) for funding. This research utilizes spectra acquired by the NASA RELAB facility at Brown University. A. M. and H. H. are supported by the DLR funding 50 QW 1302 in the framework of the BepiColombo mission.</t>
  </si>
  <si>
    <t>10.1111/maps.12860</t>
  </si>
  <si>
    <t>WOS:000402807400006</t>
  </si>
  <si>
    <t>Song, YS; Seo, DJ; Jung, WJ</t>
  </si>
  <si>
    <t>Song, Yong-Su; Seo, Dong-Jun; Jung, Woo-Jin</t>
  </si>
  <si>
    <t>Identification, purification, and expression patterns of chitinase from psychrotolerant Pedobacter sp PR-M6 and antifungal activity in vitro</t>
  </si>
  <si>
    <t>MICROBIAL PATHOGENESIS</t>
  </si>
  <si>
    <t>Psychrotolerance; Pedobacter sp.; Chitinolytic activity; Chitinase isozyme</t>
  </si>
  <si>
    <t>ANTARCTIC BACTERIUM; MOLECULAR ANALYSIS; SP-NOV.; GENE; SUPPRESSION; DISEASE; ISLAND</t>
  </si>
  <si>
    <t>In this study, a novel psychrotolerant chitinolytic bacterium Pedobacter sp. PR-M6 that displayed strong chitinolytic activity on 0.5% colloidal chitin was isolated from the soil of a decayed mushroom. Chitinase activity of PR-M6 at 25 degrees C (C25) after 6 days of incubation with colloidal chitin increased rapidly to a maximum level (31.3 U/mg proteins). Three chitinase isozymes (chill, chilli, and chiIV) from the crude enzyme at 25 degrees C (C25) incubation were expressed on SDS-PAGE gels at 25 degrees C. After purification by chitin affinity chromatography, six chitinase isozymes (chit, chiII, chiIII, chiIV, chiV, and chiVI) from C25-fractions were expressed on SDS-PAGE gels at 25 degrees C. Major bands of chitinase isozymes (chiI, and chilli) from C4-fractions were strongly expressed on SDS-PAGE gels at 25 degrees C. Pedobacter sp. PR-M6 showed high inhibition rate of 60.9% and 57.5% against Rhizoctonia solani and Botrytis cinerea, respectively. These results indicated that psychrotolerant Pedobacter sp. PR-M6 could be applied widely as a microorganism agent for the biocontrol of agricultural phytopathogens at low temperatures. (C) 2017 Elsevier Ltd. All rights reserved.</t>
  </si>
  <si>
    <t>[Song, Yong-Su; Seo, Dong-Jun; Jung, Woo-Jin] Chonnam Natl Univ, Inst Environm Friendly Agr IEFA, Dept Agr Chem, Coll Agr &amp; Life Sci, Gwangju 61186, South Korea</t>
  </si>
  <si>
    <t>Chonnam National University</t>
  </si>
  <si>
    <t>Jung, WJ (corresponding author), Chonnam Natl Univ, Inst Environm Friendly Agr IEFA, Dept Agr Chem, Coll Agr &amp; Life Sci, Gwangju 61186, South Korea.</t>
  </si>
  <si>
    <t>woojung@jnu.ac.kr</t>
  </si>
  <si>
    <t>Korea Institute of Planning &amp; Evaluation for Technology in Food, Agriculture, Forestry and Fisheries (iPET) through the Agri-Bioindustry Technology Development Program - Ministry of Agriculture, Food and Rural Affairs [316032-5]</t>
  </si>
  <si>
    <t>Korea Institute of Planning &amp; Evaluation for Technology in Food, Agriculture, Forestry and Fisheries (iPET) through the Agri-Bioindustry Technology Development Program - Ministry of Agriculture, Food and Rural Affairs(Institute of Planning &amp; Evaluation for Technology in Food, Agriculture, Forestry, &amp; Fisheries (iPET), Republic of Korea)</t>
  </si>
  <si>
    <t>This work was supported by a grant from the Korea Institute of Planning &amp; Evaluation for Technology in Food, Agriculture, Forestry and Fisheries (iPET) through the Agri-Bioindustry Technology Development Program, funded by the Ministry of Agriculture, Food and Rural Affairs (no. 316032-5).</t>
  </si>
  <si>
    <t>ACADEMIC PRESS LTD- ELSEVIER SCIENCE LTD</t>
  </si>
  <si>
    <t>24-28 OVAL RD, LONDON NW1 7DX, ENGLAND</t>
  </si>
  <si>
    <t>0882-4010</t>
  </si>
  <si>
    <t>1096-1208</t>
  </si>
  <si>
    <t>MICROB PATHOGENESIS</t>
  </si>
  <si>
    <t>Microb. Pathog.</t>
  </si>
  <si>
    <t>10.1016/j.micpath.2017.03.018</t>
  </si>
  <si>
    <t>Immunology; Microbiology</t>
  </si>
  <si>
    <t>EW4UI</t>
  </si>
  <si>
    <t>WOS:000402496000010</t>
  </si>
  <si>
    <t>Treasure, AM; Roquet, F; Ansorge, IJ; Bester, MN; Boehme, L; Bornemann, H; Charrassin, JB; Chevallier, D; Costa, DP; Fedak, MA; Guinet, C; Hammill, MO; Harcourt, RG; Hindell, MA; Kovacs, KM; Lea, MA; Lovell, P; Lowther, AD; Lydersen, C; McIntyre, T; McMahon, CR; Muelbert, MMC; Nicholls, K; Picard, B; Reverdin, G; Trites, AW; Williams, GD; de Bruyn, PJN</t>
  </si>
  <si>
    <t>Treasure, Anne M.; Roquet, Fabien; Ansorge, Isabelle J.; Bester, Marthan N.; Boehme, Lars; Bornemann, Horst; Charrassin, Jean-Benoit; Chevallier, Damien; Costa, Daniel P.; Fedak, Mike A.; Guinet, Christophe; Hammill, Mike O.; Harcourt, Robert G.; Hindell, Mark A.; Kovacs, Kit M.; Lea, Mary-Anne; Lovell, Phil; Lowther, Andrew D.; Lydersen, Christian; McIntyre, Trevor; McMahon, Clive R.; Muelbert, Monica M. C.; Nicholls, Keith; Picard, Baptiste; Reverdin, Gilles; Trites, Andrew W.; Williams, Guy D.; de Bruyn, P. J. Nico</t>
  </si>
  <si>
    <t>Marine Mammals Exploring the Oceans Pole to Pole A Review of the MEOP Consortium</t>
  </si>
  <si>
    <t>SOUTHERN ELEPHANT SEALS; HABITAT SELECTION; CLIMATE-CHANGE; ICE FORMATION; SHELF BREAK; CIRCULATION; VARIABILITY; BEHAVIOR; FEATURES; LAYER</t>
  </si>
  <si>
    <t>Polar oceans are poorly monitored despite the important role they play in regulating Earth's climate system. Marine mammals equipped with biologging devices are now being used to fill the data gaps in these logistically difficult to sample regions. Since 2002, instrumented animals have been generating exceptionally large data sets of oceanographic CTD casts (&gt;500,000 profiles), which are now freely available to the scientific community through the MEOP data portal (http://meop.net). MEOP (Marine Mammals Exploring the Oceans Pole to Pole) is a consortium of international researchers dedicated to sharing animal-derived data and knowledge about the polar oceans. Collectively, MEOP demonstrates the power and cost-effectiveness of using marine mammals as data-collection platforms that can dramatically improve the ocean observing system for biological and physical oceanographers. Here, we review the MEOP program and database to bring it to the attention of the international community.</t>
  </si>
  <si>
    <t>[Treasure, Anne M.; Bester, Marthan N.; McIntyre, Trevor; de Bruyn, P. J. Nico] Univ Pretoria, Dept Zool &amp; Entomol, Mammal Res Inst, Pretoria, South Africa; [Treasure, Anne M.; Ansorge, Isabelle J.] Univ Cape Town, Dept Oceanog, Cape Town, South Africa; [Treasure, Anne M.; Ansorge, Isabelle J.] Univ Cape Town, Marine Res Inst Ma Re, Cape Town, South Africa; [Roquet, Fabien] Stockholm Univ MISU, Dept Meteorol, Stockholm, Sweden; [Boehme, Lars] Univ St Andrews, Scottish Oceans Inst, Sea Mammal Res Unit, St Andrews, Fife, Scotland; [Bornemann, Horst] Helmholtz Zentrum Polar &amp; Meeresforsch, Alfred Wegener Inst, Bremerhaven, Germany; [Charrassin, Jean-Benoit] UPMC Paris 06, Sorbonne Univ, UMR 7159, LOCEAN IPSL,CNRS IRD MNHN, Paris, France; [Chevallier, Damien] Univ Strasbourg, IPHC UMR 7178, Strasbourg, France; [Costa, Daniel P.] Univ Calif Santa Cruz, Dept Ecol &amp; Evolutionary Biol, Santa Cruz, CA 95064 USA; [Fedak, Mike A.] Sea Mammal Res Unit Instrumentat Grp, St Andrews, Fife, Scotland; [Fedak, Mike A.] Univ St Andrews, Scottish Oceans Inst, Sch Biol, St Andrews, Fife, Scotland; [Guinet, Christophe; Picard, Baptiste] CNRS, Ctr Etude Biol Chize, Villiers En Bois, France; [Hindell, Mark A.] Inst Maurice Lamontagne, Dept Fisheries &amp; Oceans, Sci Branch, Mont Joli, PQ, Canada; [Harcourt, Robert G.] Macquarie Univ, Dept Biol Sci, Sydney, NSW, Australia; [Hindell, Mark A.; Lea, Mary-Anne] Univ Tasmania, Inst Marine &amp; Antarctic Studies, Hobart, Tas, Australia; [Kovacs, Kit M.; Lydersen, Christian] Fram Ctr, Norwegian Polar Inst, Tromso, Norway; [Lovell, Phil] Univ St Andrews, Scottish Oceans Inst, Instrument Dev, St Andrews, Fife, Scotland; [Lowther, Andrew D.] Norwegian Polar Res Inst, Biodivers Sect, Tromso, Norway; [McMahon, Clive R.] Sydney Inst Marine Sci, Mosman, NSW, Australia; [Muelbert, Monica M. C.] Fundacao Univ Fed Rio Grande, Inst Oceanog, Programa Posgrad Oceanog Biol, Rio Grande, RS, Brazil; [Nicholls, Keith] British Antarctic Survey, Cambridge, England; [Reverdin, Gilles] Sorbonne Univ, LOCEAN, Res, Paris, France; [Trites, Andrew W.] Univ British Columbia, Fisheries Ctr, Marine Mammal Res Unit, Vancouver, BC, Canada; [Williams, Guy D.] Univ Tasmania, Inst Marine &amp; Antarctic Studies, Hobart, Tas, Australia; [Williams, Guy D.] Univ Tasmania, Antarctic Climate &amp; Ecosyst Cooperat Res Ctr, Hobart, Tas, Australia</t>
  </si>
  <si>
    <t>University of Pretoria; University of Cape Town; University of Cape Town; Stockholm University; University of St Andrews; Helmholtz Association; Alfred Wegener Institute, Helmholtz Centre for Polar &amp; Marine Research; Institut de Recherche pour le Developpement (IRD); Sorbonne Universite; Museum National d'Histoire Naturelle (MNHN); Centre National de la Recherche Scientifique (CNRS); CNRS - National Institute for Earth Sciences &amp; Astronomy (INSU); Centre National de la Recherche Scientifique (CNRS); CNRS - National Institute of Nuclear and Particle Physics (IN2P3); Universites de Strasbourg Etablissements Associes; Universite de Strasbourg; University of California System; University of California Santa Cruz; University of St Andrews; Centre National de la Recherche Scientifique (CNRS); Fisheries &amp; Oceans Canada; Macquarie University; University of Tasmania; Norwegian Polar Institute; University of St Andrews; Norwegian Polar Institute; Sydney Institute of Marine Science; Universidade Federal do Rio Grande; UK Research &amp; Innovation (UKRI); Natural Environment Research Council (NERC); NERC British Antarctic Survey; Sorbonne Universite; Museum National d'Histoire Naturelle (MNHN); University of British Columbia; University of Tasmania; Antarctic Climate &amp; Ecosystems Cooperative Research Centre (ACE CRC); University of Tasmania</t>
  </si>
  <si>
    <t>Treasure, AM (corresponding author), Univ Pretoria, Dept Zool &amp; Entomol, Mammal Res Inst, Pretoria, South Africa.;Treasure, AM (corresponding author), Univ Cape Town, Dept Oceanog, Cape Town, South Africa.;Treasure, AM (corresponding author), Univ Cape Town, Marine Res Inst Ma Re, Cape Town, South Africa.</t>
  </si>
  <si>
    <t>anne.m.treasure@gmail.com</t>
  </si>
  <si>
    <t>Lowther, Andrew/T-2511-2019; Roquet, Fabien/D-4848-2013; Hindell, Mark A/K-1131-2013; Bester, Marthán N/E-5387-2010; McIntyre, Trevor/E-6846-2010; Trites, Andrew/K-5648-2012; McMahon, Clive R/D-5713-2013; Chevallier, Damien/AAD-6754-2020; ANSORGE, ISABELLE/AAY-7396-2020; Guinet, Christophe/AAR-8457-2020; de Bruyn, P. J. Nico/E-4176-2010; Muelbert, Monica/T-3935-2019; Fedak, Michael/B-3987-2009; damien, chevallier/N-6532-2013; Boehme, Lars/B-6567-2009; Lea, Mary-Anne/E-9054-2013</t>
  </si>
  <si>
    <t>Lowther, Andrew/0000-0003-4294-3157; McIntyre, Trevor/0000-0001-8395-7550; McMahon, Clive R/0000-0001-5241-8917; de Bruyn, P. J. Nico/0000-0002-9114-9569; Fedak, Michael/0000-0002-9569-1128; Trites, Andrew/0000-0003-0342-5322; damien, chevallier/0000-0002-2232-6787; Harcourt, Robert/0000-0003-4666-2934; Treasure, Anne/0000-0002-8345-4811; Boehme, Lars/0000-0003-3513-6816; Reverdin, Gilles/0000-0002-5583-8236; Baptiste, Picard/0000-0001-9565-9446; Hindell, Mark/0000-0002-7823-7185; Roquet, Fabien/0000-0003-1124-4564; Lea, Mary-Anne/0000-0001-8318-9299; Ansorge, Isabelle/0000-0001-7071-8147</t>
  </si>
  <si>
    <t>Natural Environment Research Council [bas0100033] Funding Source: researchfish; NERC [bas0100033] Funding Source: UKRI</t>
  </si>
  <si>
    <t>Natural Environment Research Council(UK Research &amp; Innovation (UKRI)Natural Environment Research Council (NERC)); NERC(UK Research &amp; Innovation (UKRI)Natural Environment Research Council (NERC))</t>
  </si>
  <si>
    <t>10.5670/oceanog.2017.234</t>
  </si>
  <si>
    <t>gold, Green Submitted, Green Published, Green Accepted</t>
  </si>
  <si>
    <t>WOS:000410333500027</t>
  </si>
  <si>
    <t>Pacelli, C; Selbmann, L; Zucconi, L; De Vera, JP; Rabbow, E; Horneck, G; de la Torre, R; Onofri, S</t>
  </si>
  <si>
    <t>Pacelli, Claudia; Selbmann, Laura; Zucconi, Laura; De Vera, Jean-Pierre; Rabbow, Elke; Horneck, Gerda; de la Torre, Rosa; Onofri, Silvano</t>
  </si>
  <si>
    <t>BIOMEX Experiment: Ultrastructural Alterations, Molecular Damage and Survival of the Fungus Cryomyces antarcticus after the Experiment Verification Tests</t>
  </si>
  <si>
    <t>ORIGINS OF LIFE AND EVOLUTION OF BIOSPHERES</t>
  </si>
  <si>
    <t>14th European Astrobiology Conference (EANA)</t>
  </si>
  <si>
    <t>OCT 13-16, 2014</t>
  </si>
  <si>
    <t>Edinburgh, SCOTLAND</t>
  </si>
  <si>
    <t>BIOMEX; Cryptoendolithic black fungus; DNAdamage; Mars; Space simulations; Survival</t>
  </si>
  <si>
    <t>LONG-TERM SURVIVAL; SIMULATED SPACE; MARTIAN SOIL; BLACK FUNGI; EXPOSE-E; MARS; DNA; CYANOBACTERIA; RADIATION; LICHENS</t>
  </si>
  <si>
    <t>The search for traces of extinct or extant life in extraterrestrial environments is one of the main goals for astrobiologists; due to their ability to withstand stress producing conditions, extremophiles are perfect candidates for astrobiological studies. The BIOMEX project aims to test the ability of biomolecules and cell components to preserve their stability under space and Mars-like conditions, while at the same time investigating the survival capability of microorganisms. The experiment has been launched into space and is being exposed on the EXPOSE-R2 payload, outside of the International Space Station (ISS) over a time-span of 1.5 years. Along with a number of other extremophilic microorganisms, the Antarctic cryptoendolithic black fungus Cryomyces antarcticus CCFEE 515 has been included in the experiment. Before launch, dried colonies grown on Lunar and Martian regolith analogues were exposed to vacuum, irradiation and temperature cycles in ground based experiments (EVT1 and EVT2). Cultural and molecular tests revealed that the fungus survived on rock analogues under space and simulated Martian conditions, showing only slight ultra-structural and molecular damage.</t>
  </si>
  <si>
    <t>[Pacelli, Claudia; Selbmann, Laura; Zucconi, Laura; Onofri, Silvano] Univ Tuscia, Dept Ecol &amp; Biol Sci DEB, I-01100 Viterbo, Italy; [De Vera, Jean-Pierre] German Aerosp Ctr DLR Berlin, Inst Planetary Res, Rutherfordstr 2, D-12489 Berlin, Germany; [Rabbow, Elke; Horneck, Gerda] German Aerosp Ctr, Inst Aerosp Med, D-51170 Cologne, Germany; [de la Torre, Rosa] Natl Inst Aerosp Tech, INTA, Dept Earth Observat, Madrid, Spain</t>
  </si>
  <si>
    <t>Tuscia University; Helmholtz Association; German Aerospace Centre (DLR); Helmholtz Association; German Aerospace Centre (DLR); Consejo Superior de Investigaciones Cientificas (CSIC); CSIC - Centro de Astrobiologia (INTA)</t>
  </si>
  <si>
    <t>Selbmann, L (corresponding author), Univ Tuscia, Dept Ecol &amp; Biol Sci DEB, I-01100 Viterbo, Italy.</t>
  </si>
  <si>
    <t>selbmann@unitus.it</t>
  </si>
  <si>
    <t>Selbmann, Laura/L-3056-2013; de la Torre Noetzel, Rosa/AAA-2920-2019; Zucconi, L./U-9781-2018; Pacelli, Claudia/AAI-2677-2020</t>
  </si>
  <si>
    <t>Selbmann, Laura/0000-0002-8967-3329; Zucconi, L./0000-0001-9793-2303; Pacelli, Claudia/0000-0001-5113-4293; ONOFRI, Silvano/0000-0001-8872-1440; de la Torre Noetzel, Maria Rosa/0000-0003-2394-0268</t>
  </si>
  <si>
    <t>German Helmholtz Association through the Helmholtz-Alliance BPlanetary Evolution and Life - Italian Space Agency (ASI); PNRA (Italian National Program for Antarctic Research) f; CCFEE (Culture Collection of Fungi From Extreme Environments)</t>
  </si>
  <si>
    <t>This research was funded by the Italian Space Agency (ASI) and was supported by the German Helmholtz Association through the Helmholtz-Alliance BPlanetary Evolution and Life. The authors thank DLR ( Institute of AerospaceMedicine) for space simulation tests. The PNRA (Italian National Program for Antarctic Research) for supporting Antarctic campaigns for sample collection and research laboratory studies in Italy. The Italian National Antarctic Museum BFelice Ippolito is kindly acknowledged for funding CCFEE (Culture Collection of Fungi From Extreme Environments). The authors thank PhD. Ruth A. Bryan for English revision.</t>
  </si>
  <si>
    <t>0169-6149</t>
  </si>
  <si>
    <t>1573-0875</t>
  </si>
  <si>
    <t>ORIGINS LIFE EVOL B</t>
  </si>
  <si>
    <t>Orig. Life Evol. Biosph.</t>
  </si>
  <si>
    <t>10.1007/s11084-016-9485-2</t>
  </si>
  <si>
    <t>Biology</t>
  </si>
  <si>
    <t>Life Sciences &amp; Biomedicine - Other Topics</t>
  </si>
  <si>
    <t>EU5JM</t>
  </si>
  <si>
    <t>WOS:000401067400006</t>
  </si>
  <si>
    <t>Schmittner, A; Bostock, HC; Cartapanis, O; Curry, WB; Filipsson, HL; Galbraith, ED; Gottschalk, J; Herguera, JC; Hoogakker, B; Jaccard, SL; Lisiecki, LE; Lund, DC; Martínez-Méndez, G; Lynch-Stieglitz, J; Mackensen, A; Michel, E; Mix, AC; Oppo, DW; Peterson, CD; Repschläger, J; Sikes, EL; Spero, HJ; Waelbroeck, C</t>
  </si>
  <si>
    <t>Schmittner, Andreas; Bostock, Helen C.; Cartapanis, Olivier; Curry, William B.; Filipsson, Helena L.; Galbraith, Eric D.; Gottschalk, Julia; Carlos Herguera, Juan; Hoogakker, Babette; Jaccard, Samuel L.; Lisiecki, Lorraine E.; Lund, David C.; Martinez-Mendez, Gema; Lynch-Stieglitz, Jean; Mackensen, Andreas; Michel, Elisabeth; Mix, Alan C.; Oppo, Delia W.; Peterson, Carlye D.; Repschlaeger, Janne; Sikes, Elisabeth L.; Spero, Howard J.; Waelbroeck, Claire</t>
  </si>
  <si>
    <t>Calibration of the carbon isotope composition (13C) of benthic foraminifera</t>
  </si>
  <si>
    <t>PALEOCEANOGRAPHY</t>
  </si>
  <si>
    <t>carbon; isotopes; benthic; foraminifera; calibration</t>
  </si>
  <si>
    <t>DEEP-WATER CIRCULATION; SOUTHWEST PACIFIC; ATLANTIC-OCEAN; CIBICIDOIDES-WUELLERSTORFI; LAST DEGLACIATION; OXYGEN ISOTOPES; STABLE CARBON; DELTA-C-13; SEA; MICROHABITATS</t>
  </si>
  <si>
    <t>The carbon isotope composition (C-13) of seawater provides valuable insight on ocean circulation, air-sea exchange, the biological pump, and the global carbon cycle and is reflected by the C-13 of foraminifera tests. Here more than 1700 C-13 observations of the benthic foraminifera genus Cibicides from late Holocene sediments (C-13(Cibnat)) are compiled and compared with newly updated estimates of the natural (preindustrial) water column C-13 of dissolved inorganic carbon (C-13(DICnat)) as part of the international Ocean Circulation and Carbon Cycling (OC3) project. Using selection criteria based on the spatial distance between samples, we find high correlation between C-13(Cibnat) and C-13(DICnat), confirming earlier work. Regression analyses indicate significant carbonate ion (-2.60.4)x10(-3)/(molkg(-1)) [CO32-] and pressure (-4.91.7)x10(-5)m(-1) (depth) effects, which we use to propose a new global calibration for predicting C-13(DICnat) from C-13(Cibnat). This calibration is shown to remove some systematic regional biases and decrease errors compared with the one-to-one relationship (C-13(DICnat)=C-13(Cibnat)). However, these effects and the error reductions are relatively small, which suggests that most conclusions from previous studies using a one-to-one relationship remain robust. The remaining standard error of the regression is generally sigma 0.25 parts per thousand, with larger values found in the southeast Atlantic and Antarctic (sigma 0.4 parts per thousand) and for species other than Cibicides wuellerstorfi. Discussion of species effects and possible sources of the remaining errors may aid future attempts to improve the use of the benthic C-13 record.</t>
  </si>
  <si>
    <t>[Schmittner, Andreas; Mix, Alan C.] Oregon State Univ, Coll Earth Ocean &amp; Atmospher Sci, Corvallis, OR 97331 USA; [Bostock, Helen C.] Natl Inst Water &amp; Atmospher Res, Wellington, New Zealand; [Cartapanis, Olivier; Gottschalk, Julia; Jaccard, Samuel L.] Univ Bern, Inst Geol Sci, Bern, Switzerland; [Cartapanis, Olivier; Gottschalk, Julia; Jaccard, Samuel L.] Univ Bern, Oeschger Ctr Climate Change Res, Bern, Switzerland; [Cartapanis, Olivier; Galbraith, Eric D.] McGill Univ, Dept Earth &amp; Planetary Sci, Montreal, PQ, Canada; [Curry, William B.] Bermuda Inst Ocean Sci, St Georges, Bermuda; [Curry, William B.; Oppo, Delia W.] Woods Hole Oceanog Inst, Dept Geol &amp; Geophys, Woods Hole, MA 02543 USA; [Filipsson, Helena L.] Lund Univ, Dept Geol, Lund, Sweden; [Galbraith, Eric D.] Univ Autonoma Barcelona, Inst Ciencia &amp; Tecnol Ambientals, Barcelona, Spain; [Galbraith, Eric D.] ICREA, Barcelona, Spain; [Carlos Herguera, Juan] Ctr Invest Cient &amp; Educ Super Ensenada, Oceanol, Ensenada, Baja California, Mexico; [Hoogakker, Babette] Heriot Watt Univ, Lyell Ctr, Edinburgh, Midlothian, Scotland; [Lisiecki, Lorraine E.] Univ Calif Santa Barbara, Dept Earth Sci, Santa Barbara, CA 93106 USA; [Lund, David C.] Univ Connecticut, Dept Marine Sci, Groton, CT USA; [Martinez-Mendez, Gema] Univ Bremen, MARUM Ctr Marine Environm Sci, Bremen, Germany; [Lynch-Stieglitz, Jean] Georgia Inst Technol, Sch Earth &amp; Atmospher Sci, Atlanta, GA 30332 USA; [Mackensen, Andreas] Alfred Wegener Inst Polar &amp; Marine Sci, Bremerhaven, Germany; [Michel, Elisabeth; Waelbroeck, Claire] Lab CNRS CEA UVSQ, LSCE IPSL, Gif Sur Yvette, France; [Peterson, Carlye D.; Spero, Howard J.] Univ Calif Davis, Dept Earth &amp; Planetary Sci, Davis, CA 95616 USA; [Repschlaeger, Janne] Max Planck Inst Chem, Mainz, Germany; [Sikes, Elisabeth L.] Rutgers State Univ, Inst Marine &amp; Coastal Sci, New Brunswick, NJ USA</t>
  </si>
  <si>
    <t>Oregon State University; National Institute of Water &amp; Atmospheric Research (NIWA) - New Zealand; University of Bern; University of Bern; McGill University; Bermuda Institute of Ocean Sciences; Woods Hole Oceanographic Institution; Lund University; Autonomous University of Barcelona; ICREA; CICESE - Centro de Investigacion Cientifica y de Educacion Superior de Ensenada; Heriot Watt University; University of California System; University of California Santa Barbara; University of Connecticut; University of Bremen; University System of Georgia; Georgia Institute of Technology; Helmholtz Association; Alfred Wegener Institute, Helmholtz Centre for Polar &amp; Marine Research; Universite Paris Saclay; CEA; Centre National de la Recherche Scientifique (CNRS); University of California System; University of California Davis; Max Planck Society; Rutgers University System; Rutgers University New Brunswick</t>
  </si>
  <si>
    <t>Schmittner, A (corresponding author), Oregon State Univ, Coll Earth Ocean &amp; Atmospher Sci, Corvallis, OR 97331 USA.</t>
  </si>
  <si>
    <t>aschmitt@coas.oregonstate.edu</t>
  </si>
  <si>
    <t>Méndez, Gema Martínez/AAB-2245-2020; Jaccard, Samuel/G-3447-2014; IPO, PAGES/JXY-7546-2024; Sikes, Elisabeth/HPE-8194-2023; Schmittner, Andreas/O-9647-2015; Filipsson, Helena L/F-7419-2011; Bostock, Helen/A-6834-2013; Lisiecki, Lorraine E/C-4066-2008; Jaccard, Samuel/IZP-9669-2023; Cartapanis, Olivier/AAM-9779-2021; Herguera, Juan Carlos/B-7812-2016; Mackensen, Andreas/J-8600-2013; Lynch-Stieglitz, Jean/J-2277-2018</t>
  </si>
  <si>
    <t>Méndez, Gema Martínez/0000-0001-7950-6837; Jaccard, Samuel/0000-0002-5793-0896; Schmittner, Andreas/0000-0002-8376-0843; Filipsson, Helena L/0000-0001-7200-8608; Bostock, Helen/0000-0002-8903-8958; Cartapanis, Olivier/0000-0001-8542-6884; Lisiecki, Lorraine/0000-0001-7859-0096; Hoogakker, Babette/0000-0002-8171-9679; Mackensen, Andreas/0000-0002-5024-4455; Lynch-Stieglitz, Jean/0000-0002-9353-1972; Gottschalk, Julia/0000-0002-0403-3059; Michel, Elisabeth/0000-0001-7810-8888</t>
  </si>
  <si>
    <t>PAGES, a core project of Future Earth; U.S. National Science Foundation; Swiss National Science Foundation; U.S. National Science Foundation [1634719, 0926735, 1125181, OCE-1003500]; Swiss National Science Foundation [PP00P2_144811, 200021_163003]; Canadian Institute for Advanced Research (CIFAR); Canadian Foundation for Innovation (CFI); Natural Sciences and Engineering Research Council (NSERC); Swiss National Science Foundation (SNF) [200021_163003] Funding Source: Swiss National Science Foundation (SNF); Directorate For Geosciences; Division Of Earth Sciences [1440015] Funding Source: National Science Foundation; Division Of Ocean Sciences; Directorate For Geosciences [0926735, 1634719] Funding Source: National Science Foundation; Office Of The Director; Office of Integrative Activities [1125181, 1125422] Funding Source: National Science Foundation</t>
  </si>
  <si>
    <t>PAGES, a core project of Future Earth; U.S. National Science Foundation(National Science Foundation (NSF)); Swiss National Science Foundation(Swiss National Science Foundation (SNSF)); U.S. National Science Foundation(National Science Foundation (NSF)); Swiss National Science Foundation(Swiss National Science Foundation (SNSF)); Canadian Institute for Advanced Research (CIFAR)(Canadian Institute for Advanced Research (CIFAR)); Canadian Foundation for Innovation (CFI)(Canada Foundation for Innovation); Natural Sciences and Engineering Research Council (NSERC)(Natural Sciences and Engineering Research Council of Canada (NSERC)); Swiss National Science Foundation (SNF)(Swiss National Science Foundation (SNSF)); Directorate For Geosciences; Division Of Earth Sciences(National Science Foundation (NSF)NSF - Directorate for Geosciences (GEO)); Division Of Ocean Sciences; Directorate For Geosciences(National Science Foundation (NSF)NSF - Directorate for Geosciences (GEO)); Office Of The Director; Office of Integrative Activities(National Science Foundation (NSF)NSF - Office of the Director (OD)NSF - Office of Integrative Activities (OIA))</t>
  </si>
  <si>
    <t>We thank Matthew P. Humphreys for noting a duplicate cruise in the S13 data set, which we subsequently removed. OC3 is supported by PAGES, a core project of Future Earth. PAGES is supported by the U.S. and Swiss National Science Foundations. Support for this project was also provided by the U.S. National Science Foundation (award 1634719 to A.S. and A.C.M., awards 0926735 and 1125181 to L.E.L. and C.D.P., and award OCE-1003500 to D.C.L.), the Swiss National Science Foundation (awards PP00P2_144811 and 200021_163003 to S.L.J.), the Canadian Institute for Advanced Research (CIFAR), the Canadian Foundation for Innovation (CFI), and the Natural Sciences and Engineering Research Council (NSERC). Authors of newly presented data in this paper express their gratitude to the various ship expedition parties and chief scientists for making material available (SO228, SO245, MSM48, and M124). Data used are listed in the references, tables, and supplements and available at NOAA's Paleoclimate repository at https://www.ncdc.noaa.gov/paleo-search/study/21750 (water column data) and https://www.ncdc.noaa.gov/paleo-search/study/22110 (sediment core top data).</t>
  </si>
  <si>
    <t>0883-8305</t>
  </si>
  <si>
    <t>1944-9186</t>
  </si>
  <si>
    <t>Paleoceanography</t>
  </si>
  <si>
    <t>10.1002/2016PA003072</t>
  </si>
  <si>
    <t>Geosciences, Multidisciplinary; Oceanography; Paleontology</t>
  </si>
  <si>
    <t>Geology; Oceanography; Paleontology</t>
  </si>
  <si>
    <t>FA7PK</t>
  </si>
  <si>
    <t>Green Submitted, Green Published, Bronze</t>
  </si>
  <si>
    <t>WOS:000405638700001</t>
  </si>
  <si>
    <t>Trimborn, S; Thoms, S; Brenneis, T; Heiden, JP; Beszteri, S; Bischof, K</t>
  </si>
  <si>
    <t>Trimborn, Scarlett; Thoms, Silke; Brenneis, Tina; Heiden, Jasmin P.; Beszteri, Sara; Bischof, Kai</t>
  </si>
  <si>
    <t>Two Southern Ocean diatoms are more sensitive to ocean acidification and changes in irradiance than the prymnesiophyte Phaeocystis antarctica</t>
  </si>
  <si>
    <t>PHYSIOLOGIA PLANTARUM</t>
  </si>
  <si>
    <t>PHYTOPLANKTON TAXA PHOTOSYNTHESIS; CARBON-CONCENTRATING MECHANISMS; PHOTOPHYSIOLOGICAL RESPONSES; FRAGILARIOPSIS-CYLINDRUS; ELECTRON-TRANSPORT; INORGANIC CARBON; PHOTOSYSTEM-II; CO2; LIGHT; GROWTH</t>
  </si>
  <si>
    <t>To better understand the impact of ocean acidification (OA) and changes in light availability on Southern Ocean phytoplankton physiology, we investigated the effects of pCO(2) (380 and 800 mu atm) in combination with low and high irradiance (20 or 50 and 200 mu mol photons m(-2) s(-1)) on growth, particulate organic carbon (POC) fixation and photophysiology in the three ecologically relevant species Chaetoceros debilis, Fragilariopsis kerguelensis and Phaeocystis antarctica. Irrespective of the light scenario, neither growth nor POC per cell was stimulated by OA in any of the tested species and the two diatoms even displayed negative responses in growth (e.g. C. debilis) or POC content (e.g. F. kerguelensis) under OA in conjunction with high light. For both diatoms, also maximum quantum yields of photosystem II (F-v/F-m) were decreased under these conditions, indicating lowered photochemical efficiencies. To counteract the negative effects by OA and high light, the two diatoms showed diverging photoacclimation strategies. While cellular chlorophyll a (Chl a) and fucoxanthin contents were enhanced in C. debilis to potentially maximize light absorption, F. kerguelensis exhibited reduced Chl a per cell, increased disconnection of antennae from photosystem II reaction centers and strongly lowered absolute electron transport rates (ETR). The decline in ETRs in F. kerguelensis might be explained in terms of different species-specific strategies for tuning the available flux of adenosine triphosphate and nicotinamide adenine dinucleotide phosphate. Overall, our results revealed that P. antarctica was more tolerant to OA and changes in irradiance than the two diatoms, which may have important implications for biogeochemical cycling.</t>
  </si>
  <si>
    <t>[Trimborn, Scarlett; Thoms, Silke; Brenneis, Tina; Heiden, Jasmin P.; Beszteri, Sara; Bischof, Kai] Alfred Wegener Inst Polar &amp; Marine Res, Dept Biogeosci, D-27515 Bremerhaven, Germany; [Trimborn, Scarlett; Heiden, Jasmin P.; Bischof, Kai] Univ Bremen, Marine Bot, Bremen, Germany</t>
  </si>
  <si>
    <t>Helmholtz Association; Alfred Wegener Institute, Helmholtz Centre for Polar &amp; Marine Research; University of Bremen</t>
  </si>
  <si>
    <t>Trimborn, S (corresponding author), Alfred Wegener Inst Polar &amp; Marine Res, Dept Biogeosci, D-27515 Bremerhaven, Germany.;Trimborn, S (corresponding author), Univ Bremen, Marine Bot, Bremen, Germany.</t>
  </si>
  <si>
    <t>Scarlett.Trimborn@awi.de</t>
  </si>
  <si>
    <t>Trimborn, Scarlett/AAM-1061-2021</t>
  </si>
  <si>
    <t>Trimborn, Scarlett/0000-0003-1434-9927; Heiden, Jasmin Pascale/0000-0001-6940-9347; Bischof, Kai/0000-0002-4497-1920</t>
  </si>
  <si>
    <t>Helmholtz Impulse Fond; Deutsche Forschungsgemeinschaft (DFG) [BE5105/1-1]</t>
  </si>
  <si>
    <t>Helmholtz Impulse Fond; Deutsche Forschungsgemeinschaft (DFG)(German Research Foundation (DFG))</t>
  </si>
  <si>
    <t>Sc. T., T. B. and J. P. H. were funded by the Helmholtz Impulse Fond (HGF Young Investigators Group EcoTrace). S. B. was funded by the Deutsche Forschungsgemeinschaft (DFG) in the framework of the priority program 'Antarctic Research with comparative investigations in Arctic ice areas', grant no.: BE5105/1-1.</t>
  </si>
  <si>
    <t>0031-9317</t>
  </si>
  <si>
    <t>1399-3054</t>
  </si>
  <si>
    <t>PHYSIOL PLANTARUM</t>
  </si>
  <si>
    <t>Physiol. Plant.</t>
  </si>
  <si>
    <t>10.1111/ppl.12539</t>
  </si>
  <si>
    <t>EU7TS</t>
  </si>
  <si>
    <t>WOS:000401238200003</t>
  </si>
  <si>
    <t>Cvetkovska, M; Hüner, NPA; Smith, DR</t>
  </si>
  <si>
    <t>Cvetkovska, Marina; Huner, Norman P. A.; Smith, David Roy</t>
  </si>
  <si>
    <t>Chilling out: the evolution and diversification of psychrophilic algae with a focus on Chlamydomonadales</t>
  </si>
  <si>
    <t>Algae; Chlamydomonas reinhardtii; Chlamydomonas nivalis; Cold adaptation; ICE-L; Psychrophily; UWO241</t>
  </si>
  <si>
    <t>SP UWO 241; SP ICE-L; SNOW ALGA; ANTARCTIC PSYCHROPHILE; PHOTOSYSTEM-I; GREEN-ALGA; PHOTOSYNTHETIC PERFORMANCE; XANTHOPHYLL CYCLE; COLD-ACCLIMATION; GENOME REVEALS</t>
  </si>
  <si>
    <t>The Earth is a cold place. Most of it exists at or below the freezing point of water. Although seemingly inhospitable, such extreme environments can harbour a variety of organisms, including psychrophiles, which can withstand intense cold and by definition cannot survive at more moderate temperatures. Eukaryotic algae often dominate and form the base of the food web in cold environments. Consequently, they are ideal systems for investigating the evolution, physiology, and biochemistry of photosynthesis under frigid conditions, which has implications for the origins of life, exobiology, and climate change. Here, we explore the evolution and diversification of photosynthetic eukaryotes in permanently cold climates. We highlight the known diversity of psychrophilic algae and the unique qualities that allow them to thrive in severe ecosystems where life exists at the edge. We focus on psychrophilic green algae from the Chlamydomonadales, discussing recent discoveries and directions for future research, and argue that they are among the best available models for studying psychrophily and life at the edge in photosynthetic eukaryotes.</t>
  </si>
  <si>
    <t>[Cvetkovska, Marina; Huner, Norman P. A.; Smith, David Roy] Univ Western Ontario, Dept Biol, London, ON N6A 5B7, Canada</t>
  </si>
  <si>
    <t>Western University (University of Western Ontario)</t>
  </si>
  <si>
    <t>Hüner, NPA (corresponding author), Univ Western Ontario, Dept Biol, London, ON N6A 5B7, Canada.</t>
  </si>
  <si>
    <t>nhuner@uwo.ca</t>
  </si>
  <si>
    <t>Smith, David Roy/AAR-1529-2020; Smith, David Roy/L-7910-2015</t>
  </si>
  <si>
    <t>Smith, David Roy/0000-0001-9560-5210; Smith, David Roy/0000-0001-9560-5210; Cvetkovska, Marina/0000-0002-7080-8203</t>
  </si>
  <si>
    <t>Natural Sciences and Engineering Research Council (NSERC) of Canada; NSERC; Canadian Foundation for Innovation; Canada Research Chairs Programme</t>
  </si>
  <si>
    <t>Natural Sciences and Engineering Research Council (NSERC) of Canada(Natural Sciences and Engineering Research Council of Canada (NSERC)); NSERC(Natural Sciences and Engineering Research Council of Canada (NSERC)); Canadian Foundation for Innovation(Canada Foundation for Innovation); Canada Research Chairs Programme(Canada Research Chairs)</t>
  </si>
  <si>
    <t>MC is supported by a postdoctoral fellowship from the Natural Sciences and Engineering Research Council (NSERC) of Canada. NPAH and DRS are each funded by a Discovery Grant from NSERC. NPAH is grateful for support through the Canadian Foundation for Innovation and the Canada Research Chairs Programme.</t>
  </si>
  <si>
    <t>10.1007/s00300-016-2045-4</t>
  </si>
  <si>
    <t>WOS:000403470300001</t>
  </si>
  <si>
    <t>Kociolek, JP; Kopalová, K; Hamsher, SE; Kohler, TJ; Van de Vijver, B; Convey, P; McKnight, DM</t>
  </si>
  <si>
    <t>Kociolek, J. P.; Kopalova, K.; Hamsher, S. E.; Kohler, T. J.; Van de Vijver, B.; Convey, P.; McKnight, D. M.</t>
  </si>
  <si>
    <t>Freshwater diatom biogeography and the genus Luticola: an extreme case of endemism in Antarctica</t>
  </si>
  <si>
    <t>Dry Valleys; Bacillariophyta; Sub-Antarctic islands; Cryosphere; Ubiquity hypothesis; James Ross Island</t>
  </si>
  <si>
    <t>SOUTH SHETLAND ISLANDS; JAMES-ROSS-ISLAND; LIVINGSTON ISLAND; MUELLERIA BACILLARIOPHYTA; TAXA BACILLARIOPHYTA; SP NOV.; DIVERSITY; DISPERSAL; ECOLOGY; ECOSYSTEMS</t>
  </si>
  <si>
    <t>Historical views have characterized Antarctica as a frozen desert with low diversity, although recent studies suggest that this may not be true for microscopic organisms. For microbes, assessing endemism in the Antarctic region has been particularly important, especially against a backdrop of debate regarding their presumed cosmopolitan nature. To contribute to this conversation, we highlight the observed endemism of the freshwater diatom genus Luticola in Antarctica by synthesizing the results of a modern high-resolution taxonomy from the Continental, Maritime, and sub-Antarctic regions. We report that Luticola has one of the highest endemic rates of any diatom genus in Antarctica, in terms of total number of species (taxon endemism) and percentage of the entire genus (phylogenetic endemism). Of the over 200 species of Luticola globally, nearly 20% (43) occur in the Antarctic, with 42 of these being endemic. Within regions, Maritime Antarctica has the largest number of Luticola species and endemics (28 and 23, respectively), followed by Continental Antarctica (14, 9) and sub-Antarctic islands (8, 6). Thus, 38 of the 42 endemics are found in a single region only. While the timing of Luticola diversification has not been established, fossil evidence suggests recent invasions and/or diversification over a relatively short geologic timescale. Understanding the origin and evolution of endemic diatom species in Antarctica will help us better understand microbial biogeography, as well as assess and interpret impacts of large-scale environmental change taking place at southern latitudes.</t>
  </si>
  <si>
    <t>[Kociolek, J. P.; Hamsher, S. E.] Univ Colorado, Museum Nat Hist, UCB 218, Boulder, CO 80309 USA; [Kociolek, J. P.] Univ Colorado, Dept Ecol &amp; Evolutionary Biol, Boulder, CO 80309 USA; [Kopalova, K.; Kohler, T. J.] Charles Univ Prague, Fac Sci, Dept Ecol, Vinicna 7, CR-12844 Prague 2, Czech Republic; [Kohler, T. J.; McKnight, D. M.] Univ Colorado, Inst Arctic &amp; Alpine Res, Boulder, CO 80309 USA; [Van de Vijver, B.] Bot Garden Meise, Dept Bryophyta &amp; Thallophyta, Nieuwelaan 38, B-1860 Meise, Belgium; [Van de Vijver, B.] Univ Antwerp, ECOBE, Dept Biol, Univ Pl 1, B-2610 Antwerp, Belgium; [Convey, P.] British Antarctic Survey, Madingley Rd, Cambridge CB3 0ET, England</t>
  </si>
  <si>
    <t>University of Colorado System; University of Colorado Boulder; University of Colorado System; University of Colorado Boulder; Charles University Prague; University of Colorado System; University of Colorado Boulder; University of Antwerp; UK Research &amp; Innovation (UKRI); Natural Environment Research Council (NERC); NERC British Antarctic Survey</t>
  </si>
  <si>
    <t>Kociolek, JP (corresponding author), Univ Colorado, Museum Nat Hist, UCB 218, Boulder, CO 80309 USA.;Kociolek, JP (corresponding author), Univ Colorado, Dept Ecol &amp; Evolutionary Biol, Boulder, CO 80309 USA.</t>
  </si>
  <si>
    <t>Patrick.Kociolek@colorado.edu</t>
  </si>
  <si>
    <t>Convey, Peter/AAV-5728-2020; Kohler, Tyler Joe/IUO-5352-2023; Kopalova, Katerina/M-6207-2017</t>
  </si>
  <si>
    <t>Convey, Peter/0000-0001-8497-9903; Kohler, Tyler Joe/0000-0001-5137-4844; Kopalova, Katerina/0000-0002-7905-4268</t>
  </si>
  <si>
    <t>MCMLTER [NSFOPP-9211773, OPP-9810219, OPP-424 0096250, OPP-1115245]; NSF Antarctic Organisms and Ecosystems Program Award [OPP-0839020]; Nadani Josefa, Maria a Zdenky Hlavkovych [427]; NERC [bas0100036] Funding Source: UKRI; Natural Environment Research Council [bas0100036] Funding Source: researchfish; Directorate For Geosciences; Office of Polar Programs (OPP) [1115245] Funding Source: National Science Foundation</t>
  </si>
  <si>
    <t>MCMLTER; NSF Antarctic Organisms and Ecosystems Program Award(National Science Foundation (NSF)NSF - Directorate for Geosciences (GEO)); Nadani Josefa, Maria a Zdenky Hlavkovych;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</si>
  <si>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Funding was provided by the MCMLTER (NSFOPP-9211773, OPP-9810219, OPP-424 0096250, and OPP-1115245 over the years) and by NSF Antarctic Organisms and Ecosystems Program Award OPP-0839020. We acknowledge the collaboration with Sarah Spaulding and Diana Nemergut. Katerina Kopalova received financial support 427 from Nadani Josefa, Maria a Zdenky Hlavkovych and Nadace Cesky literarni fond 428 for her travel to the University of Colorado, Boulder.</t>
  </si>
  <si>
    <t>10.1007/s00300-017-2090-7</t>
  </si>
  <si>
    <t>Green Published, Green Accepted</t>
  </si>
  <si>
    <t>WOS:000403470300002</t>
  </si>
  <si>
    <t>Lourenço, S; Saunders, RA; Collins, M; Shreeve, R; Assis, CA; Belchier, M; Watkins, JL; Xavier, JC</t>
  </si>
  <si>
    <t>Lourenco, Silvia; Saunders, Ryan A.; Collins, Martin; Shreeve, Rachel; Assis, Carlos A.; Belchier, Mark; Watkins, Jonathan L.; Xavier, Jose C.</t>
  </si>
  <si>
    <t>Life cycle, distribution and trophodynamics of the lanternfish Krefftichthys anderssoni (Lonnberg, 1905) in the Scotia Sea</t>
  </si>
  <si>
    <t>Southern Ocean; Myctophids; Distribution; Trophic ecology</t>
  </si>
  <si>
    <t>ANTARCTIC FUR SEALS; KING GEORGE ISLAND; SOUTHERN-OCEAN; ARCTOCEPHALUS-GAZELLA; FOOD-WEB; VERTICAL MIGRATION; MESOPELAGIC FISH; APTENODYTES-PATAGONICUS; MYCTOPHID FISHES; FEEDING ECOLOGY</t>
  </si>
  <si>
    <t>Myctophid fish play an important role in the Southern Ocean pelagic food web. The lanternfish Krefftichthys anderssoni is one of the most common myctophids in the region, but its ecology is poorly known. This study examines spatial and temporal patterns in the species distribution of density, life cycle, population structure and diet using samples collected by mid-water trawl nets deployed in different seasons across the Scotia Sea. Virtually absent from the sea-ice zone, the species was most abundant in the northern Scotia Sea around the Georgia Basin at depths below 400 m that are associated with the Circumpolar Deep Water. The species migrated during night from waters deeper than 700 m to waters above the 400 m following their main prey species: the copepods Rhincalanus gigas and Calanoides acutus and euphausiids of the Thysanoessa genus. Larvae length distribution and post-larvae length-frequency analyses suggested a life cycle of similar to 3 years with spawning and recruitment strongly connected with APF and the South Georgia shelf. Our results show that species spatial distribution, population structure and diet changed both seasonally and ontogenetically. This study is the most comprehensive examination of the ecology of K. anderssoni in the Southern Ocean to date and contributes to resolving how pelagic food webs and ecosystems operate in the region.</t>
  </si>
  <si>
    <t>[Lourenco, Silvia; Assis, Carlos A.; Xavier, Jose C.] Univ Coimbra, MARE Marine &amp; Environm Sci Ctr, Dept Ciencias Vida, P-3001401 Coimbra, Portugal; [Lourenco, Silvia; Assis, Carlos A.; Xavier, Jose C.] Univ Lisbon, Fac Ciencias, MARE Marine &amp; Environm Sci Ctr, P-1749016 Lisbon, Portugal; [Lourenco, Silvia] Ctr Maricultura Calheta, Div Serv Invest Direcao Reg Pescas &amp; Aquacultura, Ave D Manuel 1,7, P-9370135 Calheta, Portugal; [Saunders, Ryan A.; Shreeve, Rachel; Belchier, Mark; Watkins, Jonathan L.; Xavier, Jose C.] British Antarctic Survey, NERC, Madingley Rd, Cambridge CB3 0ET, England; [Collins, Martin] Univ Aberdeen, Inst Biol &amp; Environm Sci, Zool Bldg,Tillydrone Ave, Aberdeen AB24 2TZ, Scotland; [Assis, Carlos A.] Univ Lisbon, Fac Ciencias, Dept Biol Anim, P-1749016 Lisbon, Portugal; [Lourenco, Silvia] CIIMAR Interdisciplinary Ctr Marine &amp; Environm Re, Terminal Cruzeiros Porto Leixoes, Ave Gen Norton de Matos S-N, P-4450208 Oporto, Portugal</t>
  </si>
  <si>
    <t>Universidade de Coimbra; Universidade de Lisboa; UK Research &amp; Innovation (UKRI); Natural Environment Research Council (NERC); NERC British Antarctic Survey; University of Aberdeen; Universidade de Lisboa; Universidade do Porto</t>
  </si>
  <si>
    <t>Lourenço, S (corresponding author), Univ Coimbra, MARE Marine &amp; Environm Sci Ctr, Dept Ciencias Vida, P-3001401 Coimbra, Portugal.;Lourenço, S (corresponding author), Univ Lisbon, Fac Ciencias, MARE Marine &amp; Environm Sci Ctr, P-1749016 Lisbon, Portugal.;Lourenço, S (corresponding author), Ctr Maricultura Calheta, Div Serv Invest Direcao Reg Pescas &amp; Aquacultura, Ave D Manuel 1,7, P-9370135 Calheta, Portugal.;Lourenço, S (corresponding author), CIIMAR Interdisciplinary Ctr Marine &amp; Environm Re, Terminal Cruzeiros Porto Leixoes, Ave Gen Norton de Matos S-N, P-4450208 Oporto, Portugal.</t>
  </si>
  <si>
    <t>slourenco2@gmail.pt</t>
  </si>
  <si>
    <t>, Martin/ABE-6728-2020; Quality, Aquaculture Seafood/AAD-7718-2019; Collins, Martin A/J-8560-2017; Lourenço, sílvia/C-7744-2019; da Silva Assis, Carlos António/J-2302-2012; Xavier, José/KFB-6739-2024</t>
  </si>
  <si>
    <t>, Martin/0000-0001-7132-8650; Lourenço, sílvia/0000-0003-4426-0894; da Silva Assis, Carlos António/0000-0001-5352-2978; /0000-0002-9621-6660</t>
  </si>
  <si>
    <t>Portuguese bank Caixa Geral de Depositos; Natural Environment Research Council; Portuguese Science and Technology Foundation, FCT [PTDC/BIA-BDE/64539/2006]; ARDITI (Regional Agency for Development of Research, Technology and Innovation of Madeira) [002243/2013/13]; Investigador FCT programme [IF/00616/2013]; FCT [MARE-UID/MAR/04292/2013]; NERC [bas0100035] Funding Source: UKRI; Natural Environment Research Council [bas0100035] Funding Source: researchfish; Fundação para a Ciência e a Tecnologia [PTDC/BIA-BDE/64539/2006] Funding Source: FCT</t>
  </si>
  <si>
    <t>Portuguese bank Caixa Geral de Depositos; Natural Environment Research Council(UK Research &amp; Innovation (UKRI)Natural Environment Research Council (NERC)); Portuguese Science and Technology Foundation, FCT(Fundacao para a Ciencia e a Tecnologia (FCT)); ARDITI (Regional Agency for Development of Research, Technology and Innovation of Madeira); Investigador FCT programme(Fundacao para a Ciencia e a Tecnologia (FCT)); FCT(Fundacao para a Ciencia e a Tecnologia (FCT)); NERC(UK Research &amp; Innovation (UKRI)Natural Environment Research Council (NERC)); Natural Environment Research Council(UK Research &amp; Innovation (UKRI)Natural Environment Research Council (NERC)); Fundação para a Ciência e a Tecnologia(Fundacao para a Ciencia e a Tecnologia (FCT))</t>
  </si>
  <si>
    <t>The authors wish to thank the Portuguese bank Caixa Geral de Depositos which sponsored the first author with a scholarship, and the three anonymous reviewers whose comments helped to largely improve this manuscript. This work was conducted as part of the British Antarctic Survey's Ecosystem programme, funded by the Natural Environment Research Council, and the projects PTDC/BIA-BDE/64539/2006 and POLAR, supported by the Portuguese Science and Technology Foundation, FCT. S. Lourenco is supported by ARDITI (Regional Agency for Development of Research, Technology and Innovation of Madeira) (S.L. Grant No. 002243/2013/13). J Xavier is supported by the Investigador FCT programme (IF/00616/2013) and this study benefited from the strategic programme of MARE, financed by FCT (MARE-UID/MAR/04292/2013). G. Stowasser and E. Foster assisted with the processing of fish samples and stomach contents.</t>
  </si>
  <si>
    <t>10.1007/s00300-016-2046-3</t>
  </si>
  <si>
    <t>WOS:000403470300005</t>
  </si>
  <si>
    <t>Bacterial community structures and ice recrystallization inhibition activity of bacteria isolated from the phyllosphere of the Antarctic vascular plant Deschampsia antarctica</t>
  </si>
  <si>
    <t>Antifreeze proteins; Antarctic bacteria; Icebinding proteins; Deschampsia antarctica; Phyllosphere; Ice recrystallization inhibition</t>
  </si>
  <si>
    <t>BINDING PROTEINS; PSEUDOMONAS-SYRINGAE; EPIPHYTIC BACTERIA; ANTIFREEZE PROTEIN; DIVERSITY; PCR; MICROBIOLOGY; VARIABILITY; POPULATIONS</t>
  </si>
  <si>
    <t>Despite the recognized interest in Antarctic bacteria, the relationship between bacteria and Antarctic plants has scarcely been studied. Studies have demonstrated that bacteria in the phyllosphere may contribute to plant growth, but their role in native plants, such as Antarctic vascular plants living in hostile environments, is still unknown. Here we explore the bacterial community structure associated with the phyllosphere of Deschampsia antarctica, and evaluate the presence of ice recrystallization inhibition (IRI) activity in crude protein extracts from phyllosphere culturable bacteria. Denaturing gradient gel electrophoresis analysis (16S rRNA genes) showed significant differences in the total bacterial community of eight sampled plants; however, members of Pseudomonadales (Pseudomonas and Psychrobacter) and Rhizobiales (Agrobacterium and Aurantimonas) orders were dominant in all of the analyzed samples. Use of enterobacterial repetitive intergenic consensus polymerase chain reaction technique also revealed a high (&gt; 76 %) genetic diversity in 265 isolates from the phyllosphere. With respect to IRI activity, 32 isolates (21 %) showed IRI activity in crude protein extracts from cold-acclimated bacterial cultures, and 5 isolates (3 %) showed IRI activity in crude protein extracts from nonacclimated cultures.</t>
  </si>
  <si>
    <t>Graether, Steffen P./AFU-0892-2022; JORQUERA, MILKO/O-3038-2019; Jorquera, Milko Alberto/B-7378-2011; Graether, Steffen P./AAR-8849-2021; Bravo, León/AAO-8437-2020; Bravo, Leon/H-9251-2018</t>
  </si>
  <si>
    <t>Graether, Steffen P./0000-0002-2356-3936; JORQUERA, MILKO/0000-0003-4760-6379; Graether, Steffen P./0000-0002-2356-3936; Bravo, León/0000-0003-4705-4842; Bravo, Leon/0000-0003-4705-4842; Cid Alda, Fernanda del Pilar/0000-0001-7080-4205</t>
  </si>
  <si>
    <t>international cooperation project Conicyt-USA [USA2013-0010]; Antarctic Chilean Institute [DT_01-13]; Conicyt [21140534]; La Frontera University</t>
  </si>
  <si>
    <t>international cooperation project Conicyt-USA; Antarctic Chilean Institute; Conicyt(Comision Nacional de Investigacion Cientifica y Tecnologica (CONICYT)); La Frontera University</t>
  </si>
  <si>
    <t>We thank the reviewers for their contributions that improved the quality of this work. This study was financed by international cooperation project Conicyt-USA code USA2013-0010. F.P.C. thanks the Antarctic Chilean Institute for a doctor scholarship (code DT_01-13) and for the permits given by them to collect plants in Antarctic protected areas no. 125, 126, and 150, Conicyt for a doctor scholarship (no. 21140534), and La Frontera University for a scholarship.</t>
  </si>
  <si>
    <t>10.1007/s00300-016-2036-5</t>
  </si>
  <si>
    <t>WOS:000403470300011</t>
  </si>
  <si>
    <t>Moteki, M; Odate, T; Hosie, GW; Takahashi, KT; Swadling, KM; Tanimura, A</t>
  </si>
  <si>
    <t>Moteki, Masato; Odate, Tsuneo; Hosie, Graham W.; Takahashi, Kunio T.; Swadling, Kerrie M.; Tanimura, Atsushi</t>
  </si>
  <si>
    <t>Ecosystem studies in the Indian Ocean sector of the Southern Ocean undertaken by the training vessel Umitaka-maru</t>
  </si>
  <si>
    <t>Umitaka-maru; Indian Ocean sector; Oceanic ecosystem; Sea ice; Climate change</t>
  </si>
  <si>
    <t>ZOOPLANKTON DISTRIBUTION PATTERNS; ANTARCTIC MYCTOPHID FISH; LUTZOW-HOLM BAY; GEORGE V LAND; AUSTRAL SUMMER; EAST ANTARCTICA; COMMUNITY STRUCTURE; ADELIE LAND; ELECTRONA-ANTARCTICA; SPATIAL-DISTRIBUTION</t>
  </si>
  <si>
    <t>This special issue provides an overview of the ten voyages undertaken by the Umitaka-maru from the austral summers of 2002/2003 to 2014/2015 to promote the next phase of study of the ecosystems in the Indian Ocean sector of the Southern Ocean. The voyages by the Umitaka-maru have mainly targeted three areas in the Indian Ocean sector: off Dumont d'Urville Base (France, 140 E transect), off Casey Station (Australia, 110 E transect), and off Syowa Station (Japan, north of Lutzow Holm Bay). The findings of Umitaka-maru's research on the krill-independent food web, animal assemblages, community structure and distribution patterns from the epipelagic to the deeper waters provide invaluable information for elucidating the material cycle and predicting future ecosystem changes. Further studies on assessing the influence of sea ice on food webs in the water column are required, which will provide crucial information for predicting ecosystem changes as a result of projected sea ice changes in the near future. (C) 2017 Published by Elsevier B.V.</t>
  </si>
  <si>
    <t>[Moteki, Masato] Tokyo Univ Marine Sci &amp; Technol, Minato Ku, 4-5-7 Konan, Tokyo 1088477, Japan; [Moteki, Masato; Odate, Tsuneo; Takahashi, Kunio T.; Tanimura, Atsushi] Natl Inst Polar Res, 10-3 Midori Cho, Tachikawa, Tokyo 1908518, Japan; [Odate, Tsuneo; Takahashi, Kunio T.; Tanimura, Atsushi] Grad Univ Adv Studies SOKENDAI, Sch Multidisciplinary Sci, Dept Polar Sci, 10-3 Midori Cho, Tachikawa, Tokyo 1908518, Japan; [Hosie, Graham W.] Sir Alister Hardy Fdn Ocean Sci, Plymouth, Devon, England; [Swadling, Kerrie M.] Univ Tasmania, Antarctic Climate &amp; Ecosyst Cooperat Res Ctr, Private Bag 129, Hobart, Tas 7001, Australia; [Swadling, Kerrie M.] Univ Tasmania, Inst Marine &amp; Antarctic Studies, Private Bag 129, Hobart, Tas 7001, Australia</t>
  </si>
  <si>
    <t>Tokyo University of Marine Science &amp; Technology; Research Organization of Information &amp; Systems (ROIS); National Institute of Polar Research (NIPR) - Japan; Graduate University for Advanced Studies - Japan; Antarctic Climate &amp; Ecosystems Cooperative Research Centre (ACE CRC); University of Tasmania; University of Tasmania</t>
  </si>
  <si>
    <t>Moteki, M (corresponding author), Tokyo Univ Marine Sci &amp; Technol, Minato Ku, 4-5-7 Konan, Tokyo 1088477, Japan.</t>
  </si>
  <si>
    <t>Polar Science office in Tokyo; National Institute of Polar Research [AJ-02, AP-25, AP-46, AP-0923, AMB-2-5, AMB-0902, KP-4, KP-308]; MEXT for JARE Routine Observations, the Physical and Chemical Oceanographic Observations; [15H05239]; [24255001]; Grants-in-Aid for Scientific Research [17K20050, 17H01618] Funding Source: KAKEN</t>
  </si>
  <si>
    <t>Polar Science office in Tokyo; National Institute of Polar Research(National Institute of Polar Research (NIPR) - Japan); MEXT for JARE Routine Observations, the Physical and Chemical Oceanographic Observations; ; ; Grants-in-Aid for Scientific Research(Ministry of Education, Culture, Sports, Science and Technology, Japan (MEXT)Japan Society for the Promotion of ScienceGrants-in-Aid for Scientific Research (KAKENHI))</t>
  </si>
  <si>
    <t>We are grateful to the captain, officers and crew of the Umitaka-maru for all of their efforts, which ensured that KARE voyages were always productive. Takashi Ishimaru of TUMSAT established the early stages of KARE, and the guest managing editor inherited his achievements on the Umitaka-maru. Nobue Takasawa, Kaori Uchiyama, Tomoko Satoh, Keishi Shimada, Takuji Hosaka and Jota Kanda of the Observation and Research Centre for Ocean Systems of TUMSAT assisted in organizing KARE. We are also grateful to the scientists and graduate students who worked on board and the cadets on the ship for scientific discussions and help with observations. In addition, we acknowledge the support of the Polar Science office in Tokyo, the Editor-in-chief Takashi Yamanouchi and his secretary Ayumi Ando. The field observations of this special issue were supported in part by a Grant-in-Aid for Science (No. 15H05239 for M. Moteki and No. 24255001 for T. Odate) and by the National Institute of Polar Research through project research numbers AJ-02, AP-25, AP-46, AP-0923, AMB-2-5, AMB-0902, KP-4 and KP-308, and by the MEXT for JARE Routine Observations, the Physical and Chemical Oceanographic Observations.</t>
  </si>
  <si>
    <t>10.1016/j.polar.2017.04.002</t>
  </si>
  <si>
    <t>WOS:000402350800001</t>
  </si>
  <si>
    <t>Katayama, T; Makabe, R; Sampei, M; Hattori, H; Sasaki, H; Taguchi, S</t>
  </si>
  <si>
    <t>Katayama, Tomoyo; Makabe, Ryosuke; Sampei, Makoto; Hattori, Hiroshi; Sasaki, Hiroshi; Taguchi, Satoru</t>
  </si>
  <si>
    <t>Photoprotection and recovery of photosystem II in the Southern Ocean phytoplankton</t>
  </si>
  <si>
    <t>Xanthophyll pigments; Maximum quantum yield; Photo-inactivation; High light; Polar front</t>
  </si>
  <si>
    <t>CHLOROPHYLL FLUORESCENCE; PHAEOCYSTIS-ANTARCTICA; DIADINOXANTHIN CYCLE; ENERGY-DISSIPATION; XANTHOPHYLL-CYCLE; HIGH LIGHT; PHOTOINHIBITION; DIATOMS; PHOTOSYNTHESIS; TEMPERATURE</t>
  </si>
  <si>
    <t>The future shoaling of surface mixed layer depth due to global warming will expose natural assemblages of phytoplankton to increased mean light. Under these conditions, photoprotective acclimation against high light can determine ecological success. We investigated photoprotective responses to sunlight and recovery from photodamage of photosystem II (PSII) in natural assemblages north and south of the Polar Front (PF). The decrease in the maximum quantum yield (F-v/F-m) of PSII during direct sunlight exposure for 2 h was moderated progressively by the enhancement of diatoxanthin synthesis. When the light exposed cells were incubated under three reduced light conditions, F-v/F-m recovered to more than the initial values north of the PF but did not reach initial values south of the PF. Temperatures higher in the north than the south of the PF could have induced the faster recovery from photodamage of PSII in assemblages north of the PF. These northern assemblages may be able to acclimate to fast-changing light conditions. (C) 2016 Elsevier B.V. and NIPR. All rights reserved.</t>
  </si>
  <si>
    <t>[Katayama, Tomoyo; Taguchi, Satoru] Soka Univ, Fac Sci &amp; Engn, 1-236 Tangi Cho, Hachioji, Tokyo 1928577, Japan; [Makabe, Ryosuke] Natl Inst Polar Res, 9-10 Midori Cho, Tachikawa, Tokyo 1908518, Japan; [Makabe, Ryosuke] Grad Univ Adv Studies SOKENDAI, Dept Polar Sci, 10-3 Midori Cho, Tachikawa, Tokyo 1908518, Japan; [Sampei, Makoto] Hokkaido Univ, Fac Fisheries Sci, 1-1,Minato Cho 3, Hakodate, Hokkaido 0418611, Japan; [Hattori, Hiroshi] Tokai Univ, Fac Biol, 1-1-1,5 Jo, Sapporo, Hokkaido 0058601, Japan; [Sasaki, Hiroshi] Ishinomaki Senshu Univ, Fac Sci &amp; Engn, 1 Shinmito, Ishinomaki, Miyagi 9868580, Japan; [Katayama, Tomoyo] Univ Tokyo, Grad Sch Agr &amp; Life Sci, Bunkyo Ku, 1-1-1 Yayoi, Tokyo 1138657, Japan</t>
  </si>
  <si>
    <t>Soka University; Research Organization of Information &amp; Systems (ROIS); National Institute of Polar Research (NIPR) - Japan; Graduate University for Advanced Studies - Japan; Hokkaido University; Tokai University; University of Tokyo</t>
  </si>
  <si>
    <t>Katayama, T (corresponding author), Soka Univ, Fac Sci &amp; Engn, 1-236 Tangi Cho, Hachioji, Tokyo 1928577, Japan.;Katayama, T (corresponding author), Univ Tokyo, Grad Sch Agr &amp; Life Sci, Bunkyo Ku, 1-1-1 Yayoi, Tokyo 1138657, Japan.</t>
  </si>
  <si>
    <t>akatayam@mail.ecc.u-tokyo.ac.jp</t>
  </si>
  <si>
    <t>Sampei, Makoto/HLQ-6921-2023; Katayama, Tomoyo/HLH-3915-2023</t>
  </si>
  <si>
    <t>Katayama, Tomoyo/0000-0001-7418-7697</t>
  </si>
  <si>
    <t>National Institute of Polar Research (NIPR) under MEXT; Grants-in-Aid for Scientific Research [17H01618, 26340011] Funding Source: KAKEN</t>
  </si>
  <si>
    <t>National Institute of Polar Research (NIPR) under MEXT; Grants-in-Aid for Scientific Research(Ministry of Education, Culture, Sports, Science and Technology, Japan (MEXT)Japan Society for the Promotion of ScienceGrants-in-Aid for Scientific Research (KAKENHI))</t>
  </si>
  <si>
    <t>The authors wish to thank T. Odate and M. Moteki for supporting the cruises and this study. We also wish to thank the captain, officers and crews of TR/V Umitaka-maru, the students of Tokyo University of Marine Science and Technology, and the scientists of JARE-55, especially T. Iida and A. Narita, for technical support during the cruise. This work was a part of the RAMEEC (Responses of Antarctic Marine Ecosystems to global Environmental Changes with Carbonate systems) project of the Scientific Program of Japanese Antarctic Research Expedition (JARE). It was supported by National Institute of Polar Research (NIPR) under MEXT. We thank the anonymous reviewers for their constructive comments, which greatly improved the manuscript.</t>
  </si>
  <si>
    <t>10.1016/j.polar.2016.12.003</t>
  </si>
  <si>
    <t>WOS:000402350800002</t>
  </si>
  <si>
    <t>Akiha, F; Hashida, G; Makabe, R; Hattori, H; Sasaki, H</t>
  </si>
  <si>
    <t>Akiha, Fumihiro; Hashida, Gen; Makabe, Ryosuke; Hattori, Hiroshi; Sasaki, Hiroshi</t>
  </si>
  <si>
    <t>Distribution in the abundance and biomass of shelled pteropods in surface waters of the Indian sector of the Antarctic Ocean in mid-summer</t>
  </si>
  <si>
    <t>Shelled pteropods; Limacina helicina; Limacina retroversa; Antarctic ocean; Distribution</t>
  </si>
  <si>
    <t>SOUTHERN-OCEAN; LIMACINA-HELICINA; PHYTOPLANKTON COMMUNITY; SEA; SINKING; IMPACT; SIZE; FLUX</t>
  </si>
  <si>
    <t>We investigated shelled pteropod abundance and biomass with a 100-mu m closing net, and their estimated downward fluxes using a sediment trap installed in a drifter buoy in the Indian sector of the Antarctic Ocean during the austral summer. Over 90% pteropod abundance was distributed in the upper 50 m; 70-100% were immature veligers. Limacina retroversa was dominant in the &gt;0.2 mm individuals north of 60 degrees S, L helicina dominated south of 62 degrees S, while populations around 60-62 degrees S were mixed. Unidentifiable small Limacina spp. (ssL) were highly abundant in the upper 50 m at 60 degrees S, 63 degrees S, and 64 degrees S on 110 degrees E and 63 degrees S on 115 degrees E, although their estimated particulate organic carbon (POC) biomasses were less than that of Limacina adults. Adult females bearing egg clusters were found in the 0-50 m layer; the veligers likely grew within a short period. The mean downward flux of ssL and veligers at 70 m around 60 degrees S, 110 degrees E was 5.1 +/- 1.6 x 10(3) ind m(-2) d(-1) (0.6 +/- 0.2 mg C m(-2) d(-1)), which was 3.8% of the integrated ssL and veligers in the upper 70 m, suggesting that at least 4% of the veligers were produced daily in the surface layers. The mid-summer spawned ssL and veligers likely contributed to the subsequent increase in large pteropods in the area. (C) 2017 Elsevier B.V. and NIPR. All rights reserved.</t>
  </si>
  <si>
    <t>[Akiha, Fumihiro; Sasaki, Hiroshi] Ishinomaki Senshu Univ, Dept Biol Sci, 1 Shin Mito, Ishinomaki, Miyagi 9868580, Japan; [Hashida, Gen; Makabe, Ryosuke] Natl Inst Polar Res, 10-3 Midori Cho, Tachikawa, Tokyo 1908518, Japan; [Makabe, Ryosuke] Grad Univ Adv Studies SOKENDAI, Dept Polar Sci, 10-3 Midori Cho, Tachikawa, Tokyo 1908518, Japan; [Hattori, Hiroshi] Tokai Univ, Dept Marine Biol &amp; Sci, Minami Ku, 1-1-1,5 Jo, Sapporo, Hokkaido 0058601, Japan; [Akiha, Fumihiro] TRK Co Ltd, Aoba Ku, 2-5-1 Honcho, Sendai, Miyagi 9800014, Japan</t>
  </si>
  <si>
    <t>Research Organization of Information &amp; Systems (ROIS); National Institute of Polar Research (NIPR) - Japan; Graduate University for Advanced Studies - Japan; Tokai University</t>
  </si>
  <si>
    <t>Sasaki, H (corresponding author), Ishinomaki Senshu Univ, Dept Biol Sci, 1 Shin Mito, Ishinomaki, Miyagi 9868580, Japan.</t>
  </si>
  <si>
    <t>sasaki@isenshu-u.ac.jp</t>
  </si>
  <si>
    <t>Research Project Funds of National Institute of Polar Research [KP-308]; Grants-in-Aid for Scientific Research [17H01618] Funding Source: KAKEN</t>
  </si>
  <si>
    <t>Research Project Funds of National Institute of Polar Research; Grants-in-Aid for Scientific Research(Ministry of Education, Culture, Sports, Science and Technology, Japan (MEXT)Japan Society for the Promotion of ScienceGrants-in-Aid for Scientific Research (KAKENHI))</t>
  </si>
  <si>
    <t>The present study was conducted under the Responses of Antarctic Marine Ecosystems to Global Environmental Changes with Carbonate Systems research project, one of the 8th stage prioritized JARE (Japanese Antarctic Research Expedition) projects from 2010 to 2015. We express our sincere gratitude to Dr. M. Moteki (TUMSAT), Dr. T. Odate (NIPR), Dr. S. Takao, Hokkaido University, Mr. A. Suzuki, Tohoku University, Dr. Y. Hiratsuka, Ryukyu University, Dr. V. S. Kuwahara. and Dr. S. Motokawa, Soka University, and the late Mr. S. Suganami, Ishinomaki Senshu University for their help during the cruise. Thanks also to the crew of the Umitaka-maru TUMSAT, for their assistances. We are also grateful for comments of two anonymous reviewers. This work was supported by the Research Project Funds of National Institute of Polar Research (Grant No. KP-308).</t>
  </si>
  <si>
    <t>10.1016/j.polar.2017.02.003</t>
  </si>
  <si>
    <t>WOS:000402350800003</t>
  </si>
  <si>
    <t>Moteki, M; Fujii, K; Amakasu, K; Shimada, K; Tanimura, A; Odate, T</t>
  </si>
  <si>
    <t>Moteki, Masato; Fujii, Kentaro; Amakasu, Kazuo; Shimada, Keishi; Tanimura, Atsushi; Odate, Tsuneo</t>
  </si>
  <si>
    <t>Distributions of larval and juvenile/adult stages of the Antarctic myctophid fish, Electrona antarctica, off Wilkes Land in East Antarctica</t>
  </si>
  <si>
    <t>Diel vertical migration; Electrona antarctica; Myctophids; Spatial distribution; Southern Ocean</t>
  </si>
  <si>
    <t>EARLY-LIFE STAGES; SOUTHERN-OCEAN; EUPHAUSIA-SUPERBA; MESOPELAGIC FISH; ADELIE LAND; WEDDELL SEA; CIRCULATION; ABUNDANCE; ECOSYSTEM; PATTERNS</t>
  </si>
  <si>
    <t>Myctophid fish are an important component of the Southern Ocean food web because of their very high biomass. This study investigated the spatial distributions of larval and juvenile/adult stages of the Antarctic myctophid Electrona antarctica. Fish were sampled in January 2011 and 2012 on a transect along 140 degrees E and in January 2013 along 110 degrees E using two different opening/closing net systems. In total, 1075 specimens of E. antarctica were collected: 948 larvae, 127 juveniles/adults, and 2 in the transformation stage. Most larvae were collected at 5-200 m depth, with diel vertical migration (DVM) not apparent. Larvae were mainly distributed in the Modified Circumpolar Deep Water (-1.5 degrees C-2.0 degrees C). By contrast, an analysis of the echogram at 38 kHz and discrete depth samples implied that juveniles/adults undertook DVM except in the continental slope area (65.5 degrees S). As the distribution of krill is limited to the cold water mass (&lt;-1.5 degrees C) along the continental slope, E. antarctica and krill populations are spatially separated off Wilkes Land during summer. According to the previously estimated larval period of 30-47 days, E. antarctica may spawn in late November to December in the marginal ice zone or near the sea ice edge. This study suggests that the environment related to sea ice provides a nursery ground for early stage larvae of E. antarctica. (C) 2017 Elsevier B.V. and NIPR. All rights reserved.</t>
  </si>
  <si>
    <t>[Moteki, Masato; Fujii, Kentaro; Amakasu, Kazuo] Tokyo Univ Marine Sci &amp; Technol, Dept Ocean Sci, Minato Ku, 4-5-7 Konan, Tokyo 1088477, Japan; [Moteki, Masato; Tanimura, Atsushi; Odate, Tsuneo] Natl Inst Polar Res, 10-3 Midori Cho, Tachikawa, Tokyo 1908518, Japan; [Shimada, Keishi] Tokyo Univ Marine Sci &amp; Technol, Observat &amp; Res Ctr Ocean Syst, Minato Ku, 4-5-7 Konan, Tokyo 1088477, Japan; [Tanimura, Atsushi; Odate, Tsuneo] Grad Univ Adv Studies SOKENDAI, 10-3Midori Cho, Tachikawa, Tokyo 1908518, Japan</t>
  </si>
  <si>
    <t>Tokyo University of Marine Science &amp; Technology; Research Organization of Information &amp; Systems (ROIS); National Institute of Polar Research (NIPR) - Japan; Tokyo University of Marine Science &amp; Technology; Graduate University for Advanced Studies - Japan</t>
  </si>
  <si>
    <t>masato@kaiyodai.ac.jp; yabedeyansu0420@yahoo.co.jp; amakasu@kaiyodai.ac.jp; kshima0@kaiyodai.ac.jp; atani@izu.jp; odate@nipr.ac.jp</t>
  </si>
  <si>
    <t>AMAKASU, Kazuo/O-1857-2014</t>
  </si>
  <si>
    <t>We are grateful to the captain, officers and crew of TV Umitakamaru. Keishi Shimada, Observation and Research Centre for Ocean System of TUMSAT, kindly helped us in the production of some of the figures. This study was supported in part by a Grant-in-Aid for Science (No. 15H05239 to M. Moteki) and by the National Institute of Polar Research through research project no. KP-4.</t>
  </si>
  <si>
    <t>10.1016/j.polar.2017.02.004</t>
  </si>
  <si>
    <t>WOS:000402350800012</t>
  </si>
  <si>
    <t>Jacobs, J; Opås, B; Elburg, MA; Läufer, A; Estrada, S; Ksienzyk, AK; Damaske, D; Hofmann, M</t>
  </si>
  <si>
    <t>Jacobs, J.; Opas, B.; Elburg, M. A.; Laufer, A.; Estrada, S.; Ksienzyk, A. K.; Damaske, D.; Hofmann, M.</t>
  </si>
  <si>
    <t>Cryptic sub-ice geology revealed by a U-Pb zircon study of glacial till in Dronning Maud Land, East Antarctica</t>
  </si>
  <si>
    <t>PRECAMBRIAN RESEARCH</t>
  </si>
  <si>
    <t>U-Pb zircon geochronology; Gondwana; Moraine; Oceanic arc; Stenian-Tonian</t>
  </si>
  <si>
    <t>SOR RONDANE MOUNTAINS; GRENVILLE-AGE METAMORPHISM; BASEMENT PROVINCES; MOZAMBIQUE BELT; GONDWANA SUTURE; AFRICAN OROGEN; PRYDZ BAY; EVOLUTION; ROCKS; GEOCHRONOLOGY</t>
  </si>
  <si>
    <t>We have targeted the southern side of the Dronning Maud Land (DML) mountains in search of moraine material that might reveal the geology in the ice-covered region of the East Antarctic polar plateau. Nine samples of unconsolidated moraine material, carried by the northward flowing East Antarctic ice sheet to the southern side of the DML escarpment, were collected and processed for U-Pb zircon analyses. The analyses resulted in ca. 1100 new U-Pb zircon spot ages between ca. 2000 and 500 Ma. The oldest, Palaeoproterozoic rocks come from the easternmost localities with a probable source region between the Sor Rondane Mountains and Dome Fuji. The samples have major Stenian and early Tonian age peaks. Early Tonian rocks are well known from the SW Terrane in the Sor Rondane Mountains and characterise the major Tonian Oceanic Arc Super Terrane (TOAST). Stenian ages are far less common in the outcropping region. Although Stenian ages are common in both the Maud Province of western-central DML as well as in the Rayner Complex, our samples differ with respect to composition and/or isotope geochemistry; they are juvenile, subduction-related and resemble an early phase of oceanic arcs that was so far unknown in this region. In the westernmost sample, the oldest age peak is ca. 800-720 Ma with possible counterparts in the Schirmacher Oasis. All samples show a protracted Late Neoproterozoic/Early Palaeozoic metamorphic overprint, accompanied by igneous addition, most likely related to the East African-Antarctic Orogen. This overprint appears most intense in clasts collected from the westernmost locality, lasted for ca. 150 Ma and an eastward younging of metamorphic ages is observed. The new moraine samples together with previous outcrop studies reveal that this region has undergone two major phases of oceanic arc/terrane accretion; the first one from ca. 1100 to 900 Ma is probably related to accretion tectonics outboard of Rodinia, the second one from ca. 850 to 580 Ma occurred as a result of ocean closure and finally Gondwana amalgamation. No significant old components are found, but the high proportion of Late Neoproterozoic/Early Palaeozoic ages confirms that the East African-Antarctic Orogen transects DML and East Antarctica. (C) 2017 Elsevier B.V. All rights reserved.</t>
  </si>
  <si>
    <t>[Jacobs, J.; Opas, B.; Ksienzyk, A. K.] Univ Bergen, Dept Earth Sci, PB 7803, N-5020 Bergen, Norway; [Jacobs, J.] Fram Ctr, Norwegian Polar Inst, PB 6606 Langnes, N-9296 Tromso, Norway; [Elburg, M. A.] Univ Johannesburg, Dept Geol, Auckland Pk, ZA-2006 Johannesburg, South Africa; [Laufer, A.; Estrada, S.; Damaske, D.] Fed Inst Geosci &amp; Nat Resources BGR, Stilleweg 2, D-30655 Hannover, Germany; [Hofmann, M.] Senckenberg Nat Hist Sammlungen Dresden, Museum Mineral &amp; Geol, Konigsbrucker Landstr 159, D-01109 Dresden, Germany</t>
  </si>
  <si>
    <t>University of Bergen; Norwegian Polar Institute; University of Johannesburg; Senckenberg Gesellschaft fur Naturforschung (SGN)</t>
  </si>
  <si>
    <t>Jacobs, J (corresponding author), Univ Bergen, Dept Earth Sci, PB 7803, N-5020 Bergen, Norway.</t>
  </si>
  <si>
    <t>joachim.jacobs@uib.no</t>
  </si>
  <si>
    <t>Läufer, Andreas/ABC-1465-2020</t>
  </si>
  <si>
    <t>Läufer, Andreas/0000-0003-2219-0450; Elburg, Marlina/0000-0001-7154-1910</t>
  </si>
  <si>
    <t>Norwegian Research Council-NARE; L. Meltzers Hoyskolefond; South African National Research Foundation; Deutsche Forschungsgemeinschaft (DFG) [LA 1080/9-1, LA 1080/9-3, SPP 1158]</t>
  </si>
  <si>
    <t>Norwegian Research Council-NARE; L. Meltzers Hoyskolefond; South African National Research Foundation(National Research Foundation - South Africa); Deutsche Forschungsgemeinschaft (DFG)(German Research Foundation (DFG))</t>
  </si>
  <si>
    <t>J. Jacobs and M. Elburg greatly appreciate the invitation to participate in the GEA I and II expeditions conducted by the Federal Institute for Geoscience and Natural Resources (BGR). The whole GEA II team would like to thank the helicopter pilots Knut Wagner, Florian Tauber and Jorn Hergenroder of Sky Heli, Germany, for their flying skills, and Alain Hubert, Gigi Johnson-Amin and the whole crew of the Belgian 'Princess Elisabeth' Station for their hospitality and support during the field season. J. Jacobs wishes to thank Alfred-Wegener-Institute for Polar and Marine Research (AWI) and M. Elburg International Polar Foundation (IPF) and BELARE for providing polar clothing. J. Jacobs acknowledges funding through the Norwegian Research Council-NARE and the L. Meltzers Hoyskolefond. M. Elburg acknowledges funding from the South African National Research Foundation. A. Laufer acknowledges funding through Deutsche Forschungsgemeinschaft (DFG) within the Priority Program SPP 1158 Antarctic Research with Comparable Investigations in Arctic Sea Ice Areas (grants LA 1080/9-1 and -3). V. Debaille kindly provided rock samples from the Nansen Ice Field. P. Montero and F. Bea are thanked for help with SHRIMP analyses at the IBERSIMS facility, Granada. F. Henjes-Kunst is thanked for providing Sm-Nd data. S.D. Boger, W. Bauer and R. T. Thomas are thanked for thorough reviews of this paper.</t>
  </si>
  <si>
    <t>0301-9268</t>
  </si>
  <si>
    <t>1872-7433</t>
  </si>
  <si>
    <t>PRECAMBRIAN RES</t>
  </si>
  <si>
    <t>Precambrian Res.</t>
  </si>
  <si>
    <t>10.1016/j.precamres.2017.03.012</t>
  </si>
  <si>
    <t>EW0YQ</t>
  </si>
  <si>
    <t>WOS:000402217500001</t>
  </si>
  <si>
    <t>Nayak, S</t>
  </si>
  <si>
    <t>Nayak, Shailesh</t>
  </si>
  <si>
    <t>Recent Antarctic Research in India: The National Committee Report to SCAR (2017)</t>
  </si>
  <si>
    <t>shailesh@moes.gov.in</t>
  </si>
  <si>
    <t>Nayak, Shailesh/AAC-7784-2021</t>
  </si>
  <si>
    <t>10.16943/ptinsa/2017/48943</t>
  </si>
  <si>
    <t>WOS:000401547500001</t>
  </si>
  <si>
    <t>Warrier, AK; Mahesh, BS; Mohan, R</t>
  </si>
  <si>
    <t>Warrier, Anish Kumar; Mahesh, B. S.; Mohan, Rahul</t>
  </si>
  <si>
    <t>Lake Sediment Studies in Ice-Free Regions of East Antarctica - An Indian Perspective</t>
  </si>
  <si>
    <t>SCHIRMACHER OASIS; LARSEMANN HILLS; GRAIN-SIZE; LACUSTRINE SEDIMENTS; PRIYADARSHINI LAKE; CLIMATIC CHANGES; QUARTZ GRAINS; WATER LAKE; HOLOCENE; CORE</t>
  </si>
  <si>
    <t>Antarctica plays a vital role in controlling Earth's climate. Recent data indicates that there are widespread changes in Antarctica, especially the Antarctic Peninsula due to global warming. Therefore collecting past climatic information from ice-cores, marine and lake sediments are extremely important as the data can be utilized in the available models to plausibly model the future climate for the region. Lake sediments are widely found in Schirmacher Oasis, Larsemann Hills and Vestfold Hills in East Antarctica. During the period 2010-2015, considerable amount of work has been done on surficial sediments, water samples from the sediment-water interface and sediment cores from lakes of these regions for different environmental applications, such as provenance, bacterial diversity and paleoclimatic studies. Techniques such as environmental magnetism, geochemistry (organic and inorganic), sedimentology, clay mineralogy, scanning electron microscopy and geochronology have been employed on these sediments to decipher the past climate and environmental changes on different time-scales and to understand the provenance of these sediments. Few paleoclimatic studies are limited to the Holocene whereas a couple of studies document glacial-interglacial climatic variations in Schirmacher Oasis. These studies have a much better chronological framework when compared to the earlier studies. However, there are still issues with the temporal resolution of the data when compared with ice-cores which offers much better sample resolution. It is therefore crucial that future studies on lake sediments from these regions be made on a high-resolution interval which will allow the researchers to have a good correlation with other archives such as ice-cores, etc.</t>
  </si>
  <si>
    <t>[Warrier, Anish Kumar; Mahesh, B. S.; Mohan, Rahul] Earth Syst Sci Org, Natl Ctr Antarctic &amp; Ocean Res, Vasco Da Gama 403804, Goa, India; [Warrier, Anish Kumar] Manipal Univ, Manipal Inst Technol, Dept Civil Engn, Manipal 576104, Karnataka, India</t>
  </si>
  <si>
    <t>Earth System Science Organization (ESSO); Ministry of Earth Sciences (MoES) - India; National Centre for Polar and Ocean Research (NCPOR); Manipal Academy of Higher Education (MAHE)</t>
  </si>
  <si>
    <t>Warrier, AK (corresponding author), Earth Syst Sci Org, Natl Ctr Antarctic &amp; Ocean Res, Vasco Da Gama 403804, Goa, India.;Warrier, AK (corresponding author), Manipal Univ, Manipal Inst Technol, Dept Civil Engn, Manipal 576104, Karnataka, India.</t>
  </si>
  <si>
    <t>akwarrier@gmail.com</t>
  </si>
  <si>
    <t>Warrier, Anish Kumar/AAW-8890-2020</t>
  </si>
  <si>
    <t>Warrier, Anish Kumar/0000-0003-0044-6224</t>
  </si>
  <si>
    <t>10.16943/ptinsa/2017/48950</t>
  </si>
  <si>
    <t>WOS:000401547500006</t>
  </si>
  <si>
    <t>Thakur, PK; Chouksey, A; Aggarwal, SP; Kumar, AS</t>
  </si>
  <si>
    <t>Thakur, Praveen K.; Chouksey, Arpit; Aggarwal, S. P.; Kumar, A. Senthil</t>
  </si>
  <si>
    <t>Polar Ice Sheet and Glacier Studies - Indian Efforts in last Five Years</t>
  </si>
  <si>
    <t>ANTARCTICA</t>
  </si>
  <si>
    <t>Indian scientists have been involved in studies of cryosphere in Polar Regions from past 35 years. For continuous monitoring and expanding research in the fields of atmospheric science, geosciences, glaciology, environmental sciences, etc. specific to these regions, the ESSO - National Centre for Antarctic and Ocean Research (ESSO-NCAOR) has established three permanent research stations in Antarctica. This paper addresses efforts by Indian scientists in last five years in cryospheric studies on the Antarctica using remote sensing data. Inventories of Antarctic glaciers and ice sheet features prepared by Indian researchers have facilitated for detailed long-term studies on glacier dynamics, sea ice, fluctuations of the continental ice margin and snouts of glaciers. For safe and optimal navigation of ships, a sea ice advisory has been also set up. This paper also addresses recent efforts of using high-resolution earth observation satellite data which were acquired for geospatial mapping of cryospheric features and glacial landforms and for delineation of wind induced snow deposition zones in part of the Antarctica. Spatiotemporal dynamics of surface melting over Antarctic was further studied by using moderate resolution satellite data.</t>
  </si>
  <si>
    <t>[Thakur, Praveen K.; Chouksey, Arpit; Aggarwal, S. P.; Kumar, A. Senthil] Indian Space Res Org, Indian Inst Remote Sensing, Dehra Dun 248001, India</t>
  </si>
  <si>
    <t>Department of Space (DoS), Government of India; Indian Space Research Organisation (ISRO); Indian Institute of Remote Sensing (IIRS)</t>
  </si>
  <si>
    <t>Kumar, AS (corresponding author), Indian Space Res Org, Indian Inst Remote Sensing, Dehra Dun 248001, India.</t>
  </si>
  <si>
    <t>senthil@iirs.gov.in</t>
  </si>
  <si>
    <t>Thakur, Praveen Kumar/G-4295-2010</t>
  </si>
  <si>
    <t>10.16943/ptinsa/2017/48946</t>
  </si>
  <si>
    <t>WOS:000401547500014</t>
  </si>
  <si>
    <t>Soni, VK; Sateesh, M; Das, AK; Peshin, SK</t>
  </si>
  <si>
    <t>Soni, V. K.; Sateesh, M.; Das, Anand K.; Peshin, S. K.</t>
  </si>
  <si>
    <t>Progress in Meteorological Studies Around Indian Stations in Antarctica</t>
  </si>
  <si>
    <t>CLIMATE-CHANGE; TEMPERATURES; REANALYSES; WEATHER; SURFACE; TRENDS</t>
  </si>
  <si>
    <t>The study of climate of Antarctica and its role in the Earth system is critically important as the region experiences change that has global implications. The climate of the continent and the surrounding ocean are closely coupled to other parts of the global environment by the ocean and the atmosphere. Subjects of immediate interest are forecasting of weather and climate and understanding the effects and likely impacts of climate change. India Meteorological Department is taking part in Indian Scientific Expeditions to Antarctica since the very first expedition during 1981-82. The meteorological data collected at Maitri station for the period 1990-2015 have been analyzed. The long term analysis of temperature record showed a cooling trend at Maitri station. The trend analysis of pressure, wind and blizzards during the period 1990-2015 is also discussed. Recently, the India Meteorological Department has established manned permanent meteorological observatory at Bharati station with the objective to collect data on meteorological parameters, solar radiation and ozone so as to understand the Antarctic atmospheric processes and dynamics. WMO has enlisted Meteorological Observatory at Bharati, and assigned WMO Index number 89776. A GPS-based ozonesonde system has also been installed at Bharati for measurement of vertical profile of ozone. IMD provides weather forecast of Maitri and Bharati stations.</t>
  </si>
  <si>
    <t>[Soni, V. K.; Sateesh, M.; Das, Anand K.; Peshin, S. K.] Earth Syst Sci Org, India Meteorol Dept, New Delhi 110003, India</t>
  </si>
  <si>
    <t>Ministry of Earth Sciences (MoES) - India; India Meteorological Department (IMD); Earth System Science Organization (ESSO)</t>
  </si>
  <si>
    <t>Soni, VK (corresponding author), Earth Syst Sci Org, India Meteorol Dept, New Delhi 110003, India.</t>
  </si>
  <si>
    <t>soni_vk@yahoo.com</t>
  </si>
  <si>
    <t>Das, Anand Kant/E-4138-2016</t>
  </si>
  <si>
    <t>/0000-0002-3880-3613</t>
  </si>
  <si>
    <t>10.16943/ptinsa/2017/48954</t>
  </si>
  <si>
    <t>WOS:000401547500019</t>
  </si>
  <si>
    <t>Pande, A; Sivakumar, K; Sathyakumar, S; Kumar, RS; Johnson, JA; Mondol, S; Mathur, VB</t>
  </si>
  <si>
    <t>Pande, Anant; Sivakumar, K.; Sathyakumar, S.; Kumar, R. Suresh; Johnson, J. A.; Mondol, Samrat; Mathur, Vinod B.</t>
  </si>
  <si>
    <t>Monitoring Wildlife and their Habitats in the Southern Ocean and Around Indian Research Stations in Antarctica</t>
  </si>
  <si>
    <t>CLIMATE-CHANGE; EAST ANTARCTICA; ICE; POPULATIONS; PENGUINS; SEALS; KRILL</t>
  </si>
  <si>
    <t>Antarctica and its surrounding ocean are at the centre stage of rapid and extreme environmental events due to prevailing global climate change, which in turn necessitates long-term monitoring of wildlife and their habitats in this region. Systematic monitoring of seabirds and marine mammals were carried out during five austral summers (2008-09, 2009-10, 2013-14, 2014-15 and 2015-16). Vessel-based surveys for pelagic seabirds in the southern Indian Ocean, aerial surveys for seals and penguins and field surveys for locating nesting sites of Antarctic birds were conducted at Indian area of operation in Antarctica. Forty-nine species of seabirds were observed during the vessel-based surveys. Species richness peaked in the mid-latitudes but species abundances increased along higher latitudes towards Antarctica. Planktivorous species in the lower latitudes were replaced by mixed prey dependent species in the higher latitudes. Aerial surveys recorded a total of four species of seals viz. Weddell seal, Crabeater seal, Leopard seal and Ross seal and two penguin species viz. Emperor penguin and Adelie penguin. Out of 15 islands in Larsemann hills that were surveyed on-foot, the presence of nesting sites of seabirds is reported from 13 islands. The preliminary results from our study provide the baseline data for ecologically important species within Indian area of operation in Antarctica and will help design future research activities.</t>
  </si>
  <si>
    <t>[Pande, Anant; Sivakumar, K.; Sathyakumar, S.; Kumar, R. Suresh; Johnson, J. A.; Mondol, Samrat; Mathur, Vinod B.] Wildlife Inst India, Dehra Dun 248001, Uttarakhand, India</t>
  </si>
  <si>
    <t>Wildlife Institute of India</t>
  </si>
  <si>
    <t>Sathyakumar, S (corresponding author), Wildlife Inst India, Dehra Dun 248001, Uttarakhand, India.</t>
  </si>
  <si>
    <t>ssk@wii.gov.in</t>
  </si>
  <si>
    <t>Johnson, Antony/AAU-7939-2021; Mondol, Samrat/JXN-4527-2024</t>
  </si>
  <si>
    <t>Johnson, Antony/0000-0002-6089-6182; Mondol, Samrat/0000-0003-3034-9396; Kuppusamy, Sivakumar/0000-0002-6938-7480</t>
  </si>
  <si>
    <t>10.16943/ptinsa/2017/48958</t>
  </si>
  <si>
    <t>WOS:000401547500021</t>
  </si>
  <si>
    <t>Hui, FM; Zhao, TC; Li, XQ; Shokr, M; Heil, P; Zhao, JC; Zhang, L; Cheng, X</t>
  </si>
  <si>
    <t>Hui, Fengming; Zhao, Tiancheng; Li, Xinqing; Shokr, Mohammed; Heil, Petra; Zhao, Jiechen; Zhang, Lin; Cheng, Xiao</t>
  </si>
  <si>
    <t>Satellite-Based Sea Ice Navigation for Prydz Bay, East Antarctica</t>
  </si>
  <si>
    <t>sea ice; remote sensing; marine navigation; Antarctica</t>
  </si>
  <si>
    <t>VARIABILITY; TRENDS</t>
  </si>
  <si>
    <t>Sea ice adversely impacts nautical, logistical and scientific missions in polar regions. Ship navigation benefits from up-to-date sea ice analyses at both regional and local scales. This study presents a satellite-based sea ice navigation system (SatSINS) that integrates observations and scientific output from remote sensing and meteorological data to develop optimum marine navigational routes in sea ice-covered waters, especially in areas where operational ice information is usually scarce. The system and its applications are presented in the context of a decision-making process to optimize the routing of the RV Xuelong during her passage through Prydz Bay, East Antarctica during three trips in the austral spring of 2011-2013. The study assesses scientifically-generated remote sensing ice parameters for their operational use in marine navigation. Evaluation criteria involve identification of priority parameters, their spatio-temporal requirements in relation to navigational needs, and their level of accuracy in conjunction with the severity of ice conditions. Coarse-resolution ice concentration maps are sufficient to delineate ice edge and develop a safe route when ice concentration is less than 70%, provided that ice dynamics, estimated from examining the cyclonic pattern, is not severe. Otherwise, fine-resolution radar data should be used to identify and avoid deformed ice. Satellite data lagging one day behind the actual location of the ship was sufficient in most cases although the proposed route may have to be adjusted. To evaluate the utility of SatSINS, deviation of the actual route from the proposed route was calculated and found to range between 165 m to about 16.0 km with standard deviations of 2.8-6.1 km. Growth of land-fast ice has proven to be an essential component of the system as it was estimated using a thermodynamic model with input from a meteorological station.</t>
  </si>
  <si>
    <t>[Hui, Fengming; Zhao, Tiancheng; Li, Xinqing; Cheng, Xiao] Beijing Normal Univ, Coll Global Change &amp; Earth Syst Sci, State Key Lab Remote Sensing Sci, Beijing 100875, Peoples R China; [Hui, Fengming; Cheng, Xiao] Joint Ctr Global Change Studies, Beijing 100875, Peoples R China; [Shokr, Mohammed] Environm Canada, Sci &amp; Technol Branch, Toronto, ON M3H 5T4, Canada; [Heil, Petra] Univ Tasmania, Australian Antarctic Div, Hobart, Tas 7001, Australia; [Heil, Petra] Univ Tasmania, Antarctic Climate &amp; Ecosyst Cooperat Res Ctr, Hobart, Tas 7001, Australia; [Zhao, Jiechen; Zhang, Lin] Natl Marine Environm Forecasting Ctr, Key Lab Res Marine Hazards Forecasting SOA, Beijing 100081, Peoples R China</t>
  </si>
  <si>
    <t>Beijing Normal University; Environment &amp; Climate Change Canada; Australian Antarctic Division; University of Tasmania; University of Tasmania; Antarctic Climate &amp; Ecosystems Cooperative Research Centre (ACE CRC); National Marine Environmental Forecasting Center</t>
  </si>
  <si>
    <t>Cheng, X (corresponding author), Beijing Normal Univ, Coll Global Change &amp; Earth Syst Sci, State Key Lab Remote Sensing Sci, Beijing 100875, Peoples R China.;Cheng, X (corresponding author), Joint Ctr Global Change Studies, Beijing 100875, Peoples R China.</t>
  </si>
  <si>
    <t>huifm@bnu.edu.cn; zhaotc100@126.com; lixinqing0710@163.com; mo.shokr.ms@gmail.com; Petra.Heil@utas.edu.au; zhaojcsd@hotmail.com; linzh-60@nmefc.gov.cn; xcheng@bnu.edu.cn</t>
  </si>
  <si>
    <t>zhang, lin/Z-5221-2019; Li, Xinqing/AAT-5475-2020; Zhao, Jiechen/KHV-9905-2024</t>
  </si>
  <si>
    <t>Li, Xinqing/0000-0002-3984-3203; Heil, Petra/0000-0003-2078-0342</t>
  </si>
  <si>
    <t>Chinese Arctic and Antarctic Administration; National Natural Science Foundation of China [41676176, 41676182, 41428603]; Chinese Polar Environment Comprehensive Investigation and Assessment Program; Australian Antarctic Science [4072, 4301]; Antarctic Climate and Ecosystems CRC program</t>
  </si>
  <si>
    <t>Chinese Arctic and Antarctic Administration; National Natural Science Foundation of China(National Natural Science Foundation of China (NSFC)); Chinese Polar Environment Comprehensive Investigation and Assessment Program; Australian Antarctic Science; Antarctic Climate and Ecosystems CRC program(Australian GovernmentDepartment of Industry, Innovation and ScienceCooperative Research Centres (CRC) Programme)</t>
  </si>
  <si>
    <t>This work was supported by Chinese Arctic and Antarctic Administration, National Natural Science Foundation of China (41676176, 41676182 and 41428603), Chinese Polar Environment Comprehensive Investigation and Assessment Program. PH was supported by Australian Antarctic Science grants 4072 and 4301 as well as by the Antarctic Climate and Ecosystems CRC program. RV Xuelong's nautical data were accessed via the XUELONG Online website (http://Xuelong.chinare.cn/Xuelong/). We are grateful to the European Space Agency for providing ASAR data, the Institute of Environmental Physics at University of Bremen of Germany for providing daily sea ice concentration data, NASA for providing daily MODIS mosaic imagery of Antarctica and the Polar Meteorology Group at Byrd Polar Research Center of The Ohio State University for providing AMPS forecast data. The 1: 500,000 bathymetric data are courtesy of the Australian Antarctic Data Centre. Last but not least, the authors wish to thank the anonymous reviewers who did a thorough critical review of the manuscript and provided valuable suggestions to improve it.</t>
  </si>
  <si>
    <t>10.3390/rs9060518</t>
  </si>
  <si>
    <t>WOS:000404623900009</t>
  </si>
  <si>
    <t>Pettorelli, N; Nagendra, H; Rocchini, D; Rowcliffe, M; Williams, R; Ahumada, J; De Angelo, C; Atzberger, C; Boyd, D; Buchanan, G; Chauvenet, A; Disney, M; Duncan, C; Fatoyinbo, T; Fernandez, N; Haklay, M; He, K; Horning, N; Kelly, N; de Klerk, H; Liu, XH; Merchant, N; Paruelo, J; Roy, H; Roy, S; Ryan, S; Sollmann, R; Swenson, J; Wegmann, M</t>
  </si>
  <si>
    <t>Pettorelli, Nathalie; Nagendra, Harini; Rocchini, Duccio; Rowcliffe, Marcus; Williams, Rob; Ahumada, Jorge; De Angelo, Carlos; Atzberger, Clement; Boyd, Doreen; Buchanan, Graeme; Chauvenet, Alienor; Disney, Mathias; Duncan, Clare; Fatoyinbo, Temilola; Fernandez, Nestor; Haklay, Muki; He, Kate; Horning, Ned; Kelly, Natalie; de Klerk, Helen; Liu, Xuehua; Merchant, Nathan; Paruelo, Jose; Roy, Helen; Roy, Shovonlal; Ryan, Sadie; Sollmann, Rahel; Swenson, Jennifer; Wegmann, Martin</t>
  </si>
  <si>
    <t>Remote Sensing in Ecology and Conservation: three years on</t>
  </si>
  <si>
    <t>REMOTE SENSING IN ECOLOGY AND CONSERVATION</t>
  </si>
  <si>
    <t>[Pettorelli, Nathalie; Rowcliffe, Marcus] Zool Soc London, Inst Zool, London, England; [Nagendra, Harini] Azim Premji Univ, Sch Dev, Bangalore, Karnataka, India; [Rocchini, Duccio] Univ Trento, Ctr Agr Food &amp; Environm, San Michele All Adige, Italy; [Williams, Rob] Oceans Initiat, Seattle, WA USA; [Ahumada, Jorge] Conservat Int, TEAM, Arlington, VA USA; [De Angelo, Carlos] Univ Nacl Misiones, Inst Biol Subtrop, Puerto Iguazu, Misiones, Argentina; [De Angelo, Carlos] Consejo Nacl Invest Cient &amp; Tecn, Puerto Iguazu, Misiones, Argentina; [Atzberger, Clement] Univ Nat Resources &amp; Life Sci BOKU, Inst Surveying Remote Sensing &amp; Land Informat, Vienna, Austria; [Boyd, Doreen] Univ Nottingham, Sch Geog, Nottingham, England; [Buchanan, Graeme] RSPB Scotland, RSPB Ctr Conservat Sci, Edinburgh, Midlothian, Scotland; [Chauvenet, Alienor] Univ Queensland, Sch Biol Sci, St Lucia, Qld, Australia; [Disney, Mathias] UCL, Dept Geog, London, England; [Disney, Mathias] NERC Natl Ctr Earth Observat NCEO, Leicester, Leics, England; [Duncan, Clare] Deakin Univ, Sch Life &amp; Environm Sci, Burwood, Australia; [Fatoyinbo, Temilola] NASA, Biospher Sci Lab, Goddard Space Flight Ctr, Greenbelt, MD USA; [Fernandez, Nestor] CSIC, Dept Conservat Biol, Estn Biol Donana, Seville, Spain; [Haklay, Muki] UCL, Dept Civil Environm &amp; Geomat Engn, London, England; [He, Kate] Murray State Univ, Dept Biol Sci, Murray, KY 42071 USA; [Horning, Ned] Amer Museum Nat Hist, Ctr Biodivers &amp; Conservat, New York, NY 10024 USA; [Kelly, Natalie] Australian Antarctic Div, Kingston, Tas, Australia; [de Klerk, Helen] Stellenbosch Univ, Dept Geog &amp; Environm Studies, Stellenbosch, South Africa; [Liu, Xuehua] Tsinghua Univ, Sch Environm, Beijing, Peoples R China; [Merchant, Nathan] Cefas, Noise &amp; Bioacoust Team, Ctr Environm, Lowestoft, Suffolk, England; [Paruelo, Jose] Univ Buenos Aires, Natl Sci &amp; Tech Res Council CONICET, Buenos Aires, DF, Argentina; [Roy, Helen] NERC Ctr Ecol &amp; Hydrol, Wallingford, Oxon, England; [Roy, Shovonlal] Univ Reading, Dept Geog &amp; Environm Sci, Reading, Berks, England; [Ryan, Sadie] Univ Florida, Dept Geog, Gainesville, FL 32611 USA; [Sollmann, Rahel] Univ Calif Davis, Dept Wildlife Fish &amp; Conservat Biol, Davis, CA 95616 USA; [Swenson, Jennifer] Duke Univ, Nicholas Sch Environm, Durham, NC 27708 USA; [Wegmann, Martin] Univ Wurzburg, Dept Remote Sensing, Wurzburg, Germany</t>
  </si>
  <si>
    <t>Zoological Society of London; University of Trento; Conservation International; Consejo Nacional de Investigaciones Cientificas y Tecnicas (CONICET); BOKU University; University of Nottingham; Royal Society for Protection of Birds; University of Queensland; University of London; University College London; Deakin University; National Aeronautics &amp; Space Administration (NASA); NASA Goddard Space Flight Center; Consejo Superior de Investigaciones Cientificas (CSIC); CSIC - Estacion Biologica de Donana (EBD); University of London; University College London; Murray State University; American Museum of Natural History (AMNH); Australian Antarctic Division; Stellenbosch University; Tsinghua University; Centre for Environment Fisheries &amp; Aquaculture Science; University of Buenos Aires; Consejo Nacional de Investigaciones Cientificas y Tecnicas (CONICET); Centro Nacional Patagonico (CENPAT); UK Centre for Ecology &amp; Hydrology (UKCEH); University of Reading; State University System of Florida; University of Florida; University of California System; University of California Davis; Duke University; University of Wurzburg</t>
  </si>
  <si>
    <t>Pettorelli, N (corresponding author), Zool Soc London, Inst Zool, London, England.</t>
  </si>
  <si>
    <t>Boyd, Doreen/IQT-8690-2023; Haklay, Mordechai/AAN-6892-2021; Kelly, Natalie/B-3481-2010; Ahumada, Jorge/JPX-5713-2023; Boyd, Doreen/P-9807-2019; Duncan, Clare/V-6005-2019; Fernández, Néstor/AAA-3523-2020; Pettorelli, Nathalie/AAW-8438-2021; de Klerk, Helen/KBA-9895-2024; Chauvenet, Alienor/L-9135-2015; Merchant, Nathan D/B-7007-2015; Fatoyinbo, Temilola/N-1257-2019; Ryan, Sadie Jane/H-7488-2019; Nagendra, Harini/P-9087-2019; De Angelo, Carlos/JNR-6977-2023; Disney, Mathias I/C-1889-2008; Rowcliffe, Marcus/G-3713-2018; Fernandez, Nestor/N-5802-2014</t>
  </si>
  <si>
    <t>Boyd, Doreen/0000-0003-3040-552X; Haklay, Mordechai/0000-0001-6117-3026; Boyd, Doreen/0000-0003-3040-552X; Duncan, Clare/0000-0001-5315-2997; Chauvenet, Alienor/0000-0002-3743-7375; Fatoyinbo, Temilola/0000-0002-1130-6748; Ryan, Sadie Jane/0000-0002-4308-6321; Nagendra, Harini/0000-0002-1585-0724; Pettorelli, Nathalie/0000-0002-1594-6208; Atzberger, Clement/0000-0003-2169-8009; Disney, Mathias/0000-0002-2407-4026; Kelly, Nat/0000-0002-9664-354X; Swenson, Jennifer J./0000-0002-2069-667X; de Klerk, Helen Margaret/0000-0003-1628-352X; Rowcliffe, Marcus/0000-0002-4286-6887; Paruelo, Jose Maria/0000-0002-8784-9431; Fernandez, Nestor/0000-0002-9645-8571</t>
  </si>
  <si>
    <t>NERC [NE/N00373X/1, NE/P011780/1, nceo020002] Funding Source: UKRI</t>
  </si>
  <si>
    <t>NERC(UK Research &amp; Innovation (UKRI)Natural Environment Research Council (NERC))</t>
  </si>
  <si>
    <t>111 RIVER ST, HOBOKEN, NJ 07030 USA</t>
  </si>
  <si>
    <t>2056-3485</t>
  </si>
  <si>
    <t>REMOTE SENS ECOL CON</t>
  </si>
  <si>
    <t>Remote Sens. Ecol. Conserv.</t>
  </si>
  <si>
    <t>10.1002/rse2.53</t>
  </si>
  <si>
    <t>Ecology; Remote Sensing</t>
  </si>
  <si>
    <t>Environmental Sciences &amp; Ecology; Remote Sensing</t>
  </si>
  <si>
    <t>GK3AH</t>
  </si>
  <si>
    <t>gold, Green Published</t>
  </si>
  <si>
    <t>WOS:000436010900001</t>
  </si>
  <si>
    <t>Hughes, T; Zhao, ZH; Hintz, R; Fastook, J</t>
  </si>
  <si>
    <t>Hughes, Terence; Zhao, Zihong; Hintz, Raymond; Fastook, James</t>
  </si>
  <si>
    <t>Instability of the Antarctic Ross Sea Embayment as climate warms</t>
  </si>
  <si>
    <t>REVIEWS OF GEOPHYSICS</t>
  </si>
  <si>
    <t>LAST GLACIAL MAXIMUM; GROUNDED ICE-SHEET; PLEISTOCENE-HOLOCENE RETREAT; FRACTURE-MECHANICS APPROACH; BYRD GLACIER; SHELF DISINTEGRATION; POLYCRYSTALLINE ICE; BOTTOM CREVASSES; EAST ANTARCTICA; ICEBERG CAPSIZE</t>
  </si>
  <si>
    <t>Collapse of the Antarctic Ice Sheet since the Last Glacial Maximum 18,000 years ago is most pronounced in the Ross Sea Embayment, which is partly ice-free during Antarctic summers, thereby breaching the O-ring of ice shelves and sea ice surrounding Antarctica that stabilizes the ice sheet. The O-ring may have vanished during Early Holocene (5000 to 3000 B.C.), Roman (1 to 400 A.D.), and Medieval (900 to 1300 A.D.) warm periods and reappeared during the Little Ice Age (1300 to 1900 A.D.). We postulate further collapse in the embayment during the post-1900 warming may be forestalled because East Antarctic outlet glaciers nail the Ross Ice Shelf to the Transantarctic Mountains so it can resist the push from West Antarctic ice streams. Our hypothesis is examined for Byrd Glacier and a static ice shelf using three modeling experiments having plastic, viscous, and viscoplastic solutions as more data and improved modeling became available. Observed crevasse patterns were not reproduced. A new research study is needed to model a dynamic Ross Ice Shelf with all its feeder ice streams, outlet glaciers, and ice calving dynamics in three dimensions over time to fully test our hypothesis. The required model must allow accelerated calving if further warming melts sea ice and discerps the ice shelf. Calving must then successively pull the outlet glacier nails so collapse of the marine West Antarctic Ice Sheet proceeds to completion.</t>
  </si>
  <si>
    <t>[Hughes, Terence] Univ Maine, Sch Earth &amp; Climate Sci, Climate Change Inst, Orono, ME 04469 USA; [Zhao, Zihong; Hintz, Raymond] Univ Maine, Sch Engn Technol, Orono, ME USA; [Fastook, James] Univ Maine, Climate Change Inst, Dept Comp Sci, Orono, ME USA</t>
  </si>
  <si>
    <t>University of Maine System; University of Maine Orono; University of Maine System; University of Maine Orono; University of Maine System; University of Maine Orono</t>
  </si>
  <si>
    <t>Hughes, T (corresponding author), Univ Maine, Sch Earth &amp; Climate Sci, Climate Change Inst, Orono, ME 04469 USA.</t>
  </si>
  <si>
    <t>terry.hughes@maine.edu</t>
  </si>
  <si>
    <t>Fastook, James L./J-1465-2019</t>
  </si>
  <si>
    <t>Fastook, James L./0000-0003-3900-671X</t>
  </si>
  <si>
    <t>U.S. National Science Foundation (NSF); NSF; U.S. National Aeronautics and Space Administration (NASA)</t>
  </si>
  <si>
    <t>U.S. National Science Foundation (NSF)(National Science Foundation (NSF)); NSF(National Science Foundation (NSF)); U.S. National Aeronautics and Space Administration (NASA)(National Aeronautics &amp; Space Administration (NASA))</t>
  </si>
  <si>
    <t>There are no supplementary data utilized in this study. We thank Harlan Onsrund, David Tyler, Henry Brecher, and John Scofield for assistance and encouragement in conducting this research. Zihong Zhao measured surface velocities using aerial photogrammetry, calculated surface strain rates, and did the finite-element modeling for plane stress and viscous flow as his doctoral research supervised by Raymond Hintz (his advisor) and James Fastook. Fastook provided the full-stress three-dimensional solution. Terence Hughes provided the analysis of bending converging flow on the Ross Ice Shelf, the plane stress analysis for plastic flow in Byrd Glacier, wrote the paper except for Fastook's contribution, and was the Principal Investigator for our Byrd Glacier studies reported here. Mark Moldwin improved the quality of several of our figures. Zhao was supported by a grant from the U.S. National Science Foundation (NSF) to the University of Maine. Hughes and Fastook had support by NSF and the U.S. National Aeronautics and Space Administration (NASA) in a subcontract to the University of Maine from the Center for Remote Sensing of Ice Sheets (CReSIS) at the University of Kansas. We dedicate this paper to the fond memory and outstanding career of Gordon Hamilton, our glaciological colleague at the University of Maine who fell into a crevasse and died in the Ross Ice Shelf on 22 October 2016 at age 50.</t>
  </si>
  <si>
    <t>8755-1209</t>
  </si>
  <si>
    <t>1944-9208</t>
  </si>
  <si>
    <t>REV GEOPHYS</t>
  </si>
  <si>
    <t>Rev. Geophys.</t>
  </si>
  <si>
    <t>10.1002/2016RG000545</t>
  </si>
  <si>
    <t>FA2XF</t>
  </si>
  <si>
    <t>WOS:000405304200006</t>
  </si>
  <si>
    <t>Dell'Ariccia, G; Phillips, RA; van Franeker, JA; Gaidet, N; Catry, P; Granadeiro, JP; Ryan, PG; Bonadonna, F</t>
  </si>
  <si>
    <t>Dell'Ariccia, Gaia; Phillips, Richard A.; van Franeker, Jan A.; Gaidet, Nicolas; Catry, Paulo; Granadeiro, Jose P.; Ryan, Peter G.; Bonadonna, Francesco</t>
  </si>
  <si>
    <t>Comment on Marine plastic debris emits a keystone infochemical for olfactory foraging seabirds by Savoca et al.</t>
  </si>
  <si>
    <t>SCIENCE ADVANCES</t>
  </si>
  <si>
    <t>DIMETHYL SULFIDE; PROCELLARIIFORM SEABIRDS; SENSITIVITY; ATLANTIC; PETRELS; DETECT</t>
  </si>
  <si>
    <t>In their recent paper, Savoca and collaborators (2016) showed that plastic debris in the ocean may acquire a dimethyl sulfide (DMS) signature from biofouling developing on their surface. According to them, DMS emission may represent an olfactory trap for foraging seabirds, which explains patterns of plastic ingestion among procellariiform seabirds. This hypothesis is appealing, but some of the data that Savoca et al. used to support their claim are questionable, resulting in a misclassification of species, as well as other decisions regarding the variables to include in their models. Furthermore, with their focus on a single lifestyle trait (nesting habit) of dubious relevance for explaining plastic ingestion, Savoca et al. neglect the opportunity to explore other factors that might provide better ecological insight. Finally, we are deeply concerned by the conservation policy recommendation proposed by Savoca et al.-to increase antifouling properties of consumer plastics-which constitutes a substantial environmental risk and delivers the wrong message to decision-makers. The reduction of plastic consumption, waste prevention, and proactive reuse through a circular economy should be at the heart of policy recommendations for future mitigation efforts.</t>
  </si>
  <si>
    <t>[Dell'Ariccia, Gaia; Bonadonna, Francesco] Univ Paul Valery Montpellier, Univ Montpellier, Ctr Ecol Fonct &amp; Evolut, CNRS,EPHE,UMR 5175, Montpellier, France; [Phillips, Richard A.] British Antarctic Survey, Nat Environm Res Council, Cambridge, England; [van Franeker, Jan A.] Wageningen Marine Res, Den Helder, Netherlands; [Gaidet, Nicolas] Ctr Cooperat Int Rech Agron Dev CIRAD, UMRASTRE, F-34398 Montpellier, France; [Gaidet, Nicolas] CIRAD, UPR GREEN, F-34398 Montpellier, France; [Catry, Paulo] ISPA Inst Univ, Marine &amp; Environm Sci Ctr, Lisbon, Portugal; [Granadeiro, Jose P.] Univ Lisbon, Dept Biol Anim, CESAM Ctr Estudos Ambiente &amp; Mar, Fac Ciencias, Lisbon, Portugal; [Ryan, Peter G.] Univ Cape Town, FitzPatrick Inst African Ornithol, Cape Town, South Africa</t>
  </si>
  <si>
    <t>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 UK Research &amp; Innovation (UKRI); Natural Environment Research Council (NERC); NERC British Antarctic Survey; Wageningen University &amp; Research; CIRAD; CIRAD; Instituto Superior Psicologia Aplicada (ISPA); Universidade de Lisboa; University of Cape Town</t>
  </si>
  <si>
    <t>Dell'Ariccia, G (corresponding author), Univ Paul Valery Montpellier, Univ Montpellier, Ctr Ecol Fonct &amp; Evolut, CNRS,EPHE,UMR 5175, Montpellier, France.</t>
  </si>
  <si>
    <t>gaiadellariccia@gmail.com</t>
  </si>
  <si>
    <t>Granadeiro, José Pedro/E-8060-2011; Bonadonna, Francesco/A-7456-2008; Catry, Paulo/I-5408-2013; van Franeker, Jan A./M-3083-2016</t>
  </si>
  <si>
    <t>Granadeiro, José Pedro/0000-0002-7207-3474; Bonadonna, Francesco/0000-0002-2702-5801; Catry, Paulo/0000-0003-3000-0522; Dell'Ariccia, Gaia/0000-0001-9768-0118; van Franeker, Jan A./0000-0002-2035-5007</t>
  </si>
  <si>
    <t>NERC [bas0100035] Funding Source: UKRI; Natural Environment Research Council [bas0100035] Funding Source: researchfish</t>
  </si>
  <si>
    <t>NERC(UK Research &amp; Innovation (UKRI)Natural Environment Research Council (NERC)); Natural Environment Research Council(UK Research &amp; Innovation (UKRI)Natural Environment Research Council (NERC))</t>
  </si>
  <si>
    <t>AMER ASSOC ADVANCEMENT SCIENCE</t>
  </si>
  <si>
    <t>1200 NEW YORK AVE, NW, WASHINGTON, DC 20005 USA</t>
  </si>
  <si>
    <t>2375-2548</t>
  </si>
  <si>
    <t>SCI ADV</t>
  </si>
  <si>
    <t>Sci. Adv.</t>
  </si>
  <si>
    <t>e1700526</t>
  </si>
  <si>
    <t>10.1126/sciadv.1700526</t>
  </si>
  <si>
    <t>FB8EC</t>
  </si>
  <si>
    <t>WOS:000406370700072</t>
  </si>
  <si>
    <t>Hai, OS; Abu Samah, A; Chenoli, SN; Subramaniam, K; Mazuki, MYA</t>
  </si>
  <si>
    <t>Hai, Ooi See; Abu Samah, Azizan; Chenoli, Sheeba Nettukandy; Subramaniam, Kumarenthiran; Mazuki, Muhammad Yunus Ahmad</t>
  </si>
  <si>
    <t>Extreme Rainstorms that Caused Devastating Flooding across the East Coast of Peninsular Malaysia during November and December 2014</t>
  </si>
  <si>
    <t>WEATHER AND FORECASTING</t>
  </si>
  <si>
    <t>MARITIME CONTINENT; RAINFALL EVENTS; SEA; MONSOON; ENSO</t>
  </si>
  <si>
    <t>During the early boreal winter (northeast) monsoon (November-December), cold air frequently bursts out from intense Siberian highs toward the Chinese coast in response to the development and movement of a 500-hPa trough. The resultant strong low-level northwesterlies turn into northeasterlies across the South China Sea as cold surges.'' On interacting with the near-equatorial trough, mesoscale convective systems form north of the trough, normally giving rise to heavy downpours and severe flooding, mainly along the coastal stretch in the east coast states of Peninsular Malaysia. In November 2014, a 1-week-long episode of heavy downpours, producing more than 800mm of rain, occurred along the coastal stretch of northeastern Peninsular Malaysia. However, during December 2014, two episodes of extreme rainfall occurred mostly over inland and mountainous areas of the east coast of Peninsular Malaysia, in particular across its northern sector. These two unusual events, which lasted a total of 11 days and delivered more than 1100mm of precipitation, resulted in extreme and widespread flooding, as well as extensive damage, in many inland areas. Analysis shows that the stronger wind surges from the South China Sea due to very intense cold-air outbreaks of the Siberian high developed under ENSO-neutral conditions. In addition, the mesoscale convective systems that developed across the northeastern Indian Ocean (near northern Sumatra) in response to the propagation of a 500-hPa short-wave trough across the Indian subcontinent toward China were the combined factors for these unusual extreme rainfall and flooding events along the east coast of Peninsular Malaysia.</t>
  </si>
  <si>
    <t>[Hai, Ooi See; Abu Samah, Azizan; Chenoli, Sheeba Nettukandy; Mazuki, Muhammad Yunus Ahmad] Univ Malaya, Inst Postgrad Studies, Natl Antarctic Res Ctr, Kuala Lumpur, Malaysia; [Abu Samah, Azizan] Univ Malaya, Inst Ocean &amp; Earth Sci, Kuala Lumpur, Malaysia; [Subramaniam, Kumarenthiran] Malaysian Meteorol Dept, Petaling Jaya, Selangor, Malaysia</t>
  </si>
  <si>
    <t>Universiti Malaya; Universiti Malaya</t>
  </si>
  <si>
    <t>Chenoli, SN (corresponding author), Univ Malaya, Inst Postgrad Studies, Natl Antarctic Res Ctr, Kuala Lumpur, Malaysia.</t>
  </si>
  <si>
    <t>sheeba@um.edu.my</t>
  </si>
  <si>
    <t>/AFT-6420-2022; ABU SAMAH, AZIZAN HJ/B-8295-2010; Chenoli, Sheeba Nettukandy/G-6726-2012</t>
  </si>
  <si>
    <t>/0000-0001-5640-2963</t>
  </si>
  <si>
    <t>Fundamental Research Grant Scheme (FRGS) [FP049-2013]; Trans Disciplinary Research Grant (TRGS) Project [417 TR001A-2015]; Institute of Ocean and Earth Sciences Research Grant (IOES) of the Ministry of Higher Education, Malaysia [IOES-2014B]</t>
  </si>
  <si>
    <t>Fundamental Research Grant Scheme (FRGS); Trans Disciplinary Research Grant (TRGS) Project; Institute of Ocean and Earth Sciences Research Grant (IOES) of the Ministry of Higher Education, Malaysia</t>
  </si>
  <si>
    <t>ERA-Interim reanalysis data were provided by the ECMWF while TRMM and MTSAT-2 IR1 data were obtained from Giovanni and CERES, respectively. The data analysis supporting this project was carried out using the Grid Analysis and Display System (GrADS) software from OpenGrADS. We thank Dr. Peter Braesicke of Karlsruhe Institute of Technology, Karlsruhe, Germany, for his constructive feedback. This research study has been funded by the Fundamental Research Grant Scheme (FRGS) FP049-2013 and Trans Disciplinary Research Grant (TRGS) Project 417 TR001A-2015, as well as Institute of Ocean and Earth Sciences Research Grant (IOES) IOES-2014B of the Ministry of Higher Education, Malaysia. This work has also been strongly supported by the Vice Chancellor of the University of Malaya and the Director General of the Malaysian Meteorological Department.</t>
  </si>
  <si>
    <t>0882-8156</t>
  </si>
  <si>
    <t>1520-0434</t>
  </si>
  <si>
    <t>WEATHER FORECAST</t>
  </si>
  <si>
    <t>Weather Forecast.</t>
  </si>
  <si>
    <t>10.1175/WAF-D-16-0160.1</t>
  </si>
  <si>
    <t>EY9UX</t>
  </si>
  <si>
    <t>WOS:000404345400003</t>
  </si>
  <si>
    <t>Kerepesi, C; Grolmusz, V</t>
  </si>
  <si>
    <t>Kerepesi, Csaba; Grolmusz, Vince</t>
  </si>
  <si>
    <t>The Giant Virus Finder discovers an abundance of giant viruses in the Antarctic dry valleys</t>
  </si>
  <si>
    <t>ARCHIVES OF VIROLOGY</t>
  </si>
  <si>
    <t>DNA VIRUSES; VIROPHAGE; MOBILOME; ORIGIN</t>
  </si>
  <si>
    <t>Mimivirus was identified in 2003 from a biofilm of an industrial water-cooling tower in England. Later, numerous new giant viruses were found in oceans and freshwater habitats, some of them having 2,500 genes. We have demonstrated their likely presence in four soil samples taken from the Kutch Desert (Gujarat, India). Here we describe a bioinformatics work-flow, called the Giant Virus Finder that is capable of discovering the likely presence of the genomes of giant viruses in metagenomic shotgun-sequenced datasets. The new workflow is applied to numerous hot and cold desert soil samples as well as some tundra- and forest soils. We show that most of these samples contain giant viruses, especially in the Antarctic dry valleys. The results imply that giant viruses could be frequent not only in aqueous habitats, but in a wide spectrum of soils on our planet.</t>
  </si>
  <si>
    <t>[Kerepesi, Csaba; Grolmusz, Vince] Eotvos Lorand Univ, PIT Bioinformat Grp, Pazmany Peter Stny 1-C, H-1117 Budapest, Hungary; [Grolmusz, Vince] Uratim Ltd, H-1118 Budapest, Hungary; [Kerepesi, Csaba] Hungarian Acad Sci, Inst Comp Sci &amp; Control, H-1111 Budapest, Hungary</t>
  </si>
  <si>
    <t>Eotvos Lorand University; Hungarian Academy of Sciences; Hungarian Research Network; HUN-REN Institute for Computer Science &amp; Control</t>
  </si>
  <si>
    <t>Grolmusz, V (corresponding author), Eotvos Lorand Univ, PIT Bioinformat Grp, Pazmany Peter Stny 1-C, H-1117 Budapest, Hungary.;Grolmusz, V (corresponding author), Uratim Ltd, H-1118 Budapest, Hungary.</t>
  </si>
  <si>
    <t>grolmusz@pitgroup.org</t>
  </si>
  <si>
    <t>Kerepesi, Csaba/R-1787-2017</t>
  </si>
  <si>
    <t>Grolmusz, Vince/0000-0001-9456-8876</t>
  </si>
  <si>
    <t>SPRINGER WIEN</t>
  </si>
  <si>
    <t>WIEN</t>
  </si>
  <si>
    <t>SACHSENPLATZ 4-6, PO BOX 89, A-1201 WIEN, AUSTRIA</t>
  </si>
  <si>
    <t>0304-8608</t>
  </si>
  <si>
    <t>1432-8798</t>
  </si>
  <si>
    <t>ARCH VIROL</t>
  </si>
  <si>
    <t>Arch. Virol.</t>
  </si>
  <si>
    <t>10.1007/s00705-017-3286-4</t>
  </si>
  <si>
    <t>Virology</t>
  </si>
  <si>
    <t>EU6BQ</t>
  </si>
  <si>
    <t>Green Submitted, Green Accepted</t>
  </si>
  <si>
    <t>WOS:000401119300022</t>
  </si>
  <si>
    <t>Perez, J; Menendez, M; Losada, IJ</t>
  </si>
  <si>
    <t>Perez, Jorge; Menendez, Melisa; Losada, Inigo J.</t>
  </si>
  <si>
    <t>GOW2: A global wave hindcast for coastal applications</t>
  </si>
  <si>
    <t>COASTAL ENGINEERING</t>
  </si>
  <si>
    <t>Waves; Cyclones; Hindcast; Validation; Wave modeling; Wave spectra</t>
  </si>
  <si>
    <t>TROPICAL CYCLONES; PART I; REANALYSIS; WIND; MODEL; OCEAN; CALIBRATION; HEIGHT; DISSIPATION; RISK</t>
  </si>
  <si>
    <t>Global wave hindcasts provide wave climate information for long time periods which helps to improve our understanding of climate variability, long term trends and extremes. This information is extremely useful for coastal studies and can be used both directly or as boundary conditions for regional and local downscalings. This work presents the GOW(2) database, a long-term wave hindcast covering the world coastline with improved resolution in coastal areas and along ocean islands. For developing the GOW(2) hindcast, WAVEWATCH III wave model is used in a multigrid two-way nesting configuration from 1979 onwards. The multigrid includes a global grid of half degree spatial resolution, specific grids configured for the Arctic and the Antarctic polar areas, and. a grid of higher resolution (about 25 km) for all the coastal locations at a depth shallower than 200 m. Available outputs include hourly sea state parameters (e.g. significant wave height, peak period, mean wave direction) and series of 3-h spectra at more than 40000 locations in coastal areas. Comparisons with instrumental data show a clear improvement with respect to existing global hindcasts, especially in semi-enclosed basins and areas with a complex bathymetry. The effect of tropical cyclones is also well-captured thanks to the high resolution of the forcings and the wave model setup. The new database shows a high potential for a variety of applications in coastal engineering.</t>
  </si>
  <si>
    <t>[Perez, Jorge; Menendez, Melisa; Losada, Inigo J.] Univ Cantabria, Environm Hydraul Inst IHCantabria, Isabel Torres 15, E-39005 Santander, Spain</t>
  </si>
  <si>
    <t>Universidad de Cantabria</t>
  </si>
  <si>
    <t>Perez, J (corresponding author), Univ Cantabria, Environm Hydraul Inst IHCantabria, Isabel Torres 15, E-39005 Santander, Spain.</t>
  </si>
  <si>
    <t>jorge.perezgarcia@unican.es</t>
  </si>
  <si>
    <t>Perez, Jorge/P-5841-2015; Losada, Iñigo J/F-9001-2012; Menendez, Melisa/L-4600-2014</t>
  </si>
  <si>
    <t>Perez, Jorge/0000-0003-3875-3748; Menendez, Melisa/0000-0002-5168-257X</t>
  </si>
  <si>
    <t>Spanish Government through the grant PORTIO [BIA2015-70644-R]; Ramon y Cajal Program [RYC-2014-16469]</t>
  </si>
  <si>
    <t>Spanish Government through the grant PORTIO; Ramon y Cajal Program(Spanish Government)</t>
  </si>
  <si>
    <t>The authors thank CEFAS, Ifremer, INCOIS, Irish Marine Institute, Meteo France, NOAA, and Puertos del Estado, for hosting and providing public access to their data. The work reported here was partially supported by the Spanish Government through the grant PORTIO (BIA2015-70644-R). M. Menendez also acknowledges financial support from the Ramon y Cajal Program (RYC-2014-16469). The authors would also like to acknowledge the valuable suggestions made by Antonio Espejo. We also thank the anonymous reviewers for their comments and suggestions.</t>
  </si>
  <si>
    <t>0378-3839</t>
  </si>
  <si>
    <t>1872-7379</t>
  </si>
  <si>
    <t>COAST ENG</t>
  </si>
  <si>
    <t>Coast. Eng.</t>
  </si>
  <si>
    <t>10.1016/j.coastaleng.2017.03.005</t>
  </si>
  <si>
    <t>Engineering, Civil; Engineering, Ocean</t>
  </si>
  <si>
    <t>Engineering</t>
  </si>
  <si>
    <t>EU9QS</t>
  </si>
  <si>
    <t>WOS:000401375300001</t>
  </si>
  <si>
    <t>Avery, MS; Gee, JS; Constable, CG</t>
  </si>
  <si>
    <t>Avery, Margaret S.; Gee, Jeffrey S.; Constable, Catherine G.</t>
  </si>
  <si>
    <t>Asymmetry in growth and decay of the geomagnetic dipole revealed in seafloor magnetization</t>
  </si>
  <si>
    <t>EARTH AND PLANETARY SCIENCE LETTERS</t>
  </si>
  <si>
    <t>paleomagnetic field strength; dipole moment variations; near-bottom marine magnetic anomalies</t>
  </si>
  <si>
    <t>CUMULATIVE VISCOUS REMANENCE; SAW-TOOTHED PATTERN; PALEOINTENSITY RECORDS; PALEOMAGNETIC FIELD; TINY WIGGLES; ANOMALIES; INTENSITY; LAYER; SCALE; MA</t>
  </si>
  <si>
    <t>Geomagnetic intensity fluctuations provide important constraints on time-scales associated with dynamical processes in the outer core. PADM2M is a reconstructed time series of the 0-2 Ma axial dipole moment (ADM). After smoothing to reject high frequency variations PADM2M's average growth rate is larger than its decay rate. The observed asymmetry in rates of change is compatible with longer term diffusive decay of the ADM balanced by advective growth on shorter time scales, and provides a potentially useful diagnostic for evaluating numerical geodynamo simulations. We re-analyze the PADM2M record using improved low-pass filtering to identify asymmetry and quantify its uncertainty via bootstrap methods before applying the new methodology to other kinds of records. Asymmetry in distribution of axial dipole moment derivatives is quantified using the geomagnetic skewness coefficient, sg. A positive value indicates the distribution has a longer positive tail and the average growth rate is greater than the average decay rate. The original asymmetry noted by Ziegler and Constable (2011) is significant and does not depend on the specifics of the analysis. A long-term record of geomagnetic intensity should also be preserved in the thermoremanent magnetization of oceanic crust recovered by inversion of stacked profiles of marine magnetic anomalies. These provide an independent means of verifying the asymmetry seen in PADM2M. We examine three near bottom surveys: a 0 to 780 ka record from the East Pacific Rise at 19 degrees S, a 0 to 5.2 Ma record from the Pacific Antarctic Ridge at 51 degrees S, and a chron C4Ar-C5r (9.3-11.2 Ma) record from the NE Pacific. All three records show an asymmetry similar in sense to PADM2M with geomagnetic skewness coefficients, s(g) &gt; 0. Results from PADM2M and C4Ar-C5r are most robust, reflecting the higher quality of these geomagnetic records. Our results confirm that marine magnetic anomalies can carry a record of the asymmetric geomagnetic field behavior first found for 0-2 Ma in PADM2M, and show that it was also present during the earlier time interval from 9.3-11.2 Ma. (C) 2017 The Authors. Published by Elsevier B.V.</t>
  </si>
  <si>
    <t>[Avery, Margaret S.; Gee, Jeffrey S.; Constable, Catherine G.] Univ Calif San Diego, Scripps Inst Oceanog, La Jolla, CA 92093 USA</t>
  </si>
  <si>
    <t>Avery, MS (corresponding author), Univ Calif San Diego, Scripps Inst Oceanog, La Jolla, CA 92093 USA.</t>
  </si>
  <si>
    <t>msavery@ucsd.edu</t>
  </si>
  <si>
    <t>Constable, Catherine G/F-7784-2010</t>
  </si>
  <si>
    <t>Gee, Jeffrey/0000-0002-9543-7744</t>
  </si>
  <si>
    <t>NSF CSEDI [EAR 1065597]; Directorate For Geosciences; Division Of Earth Sciences [1623786] Funding Source: National Science Foundation</t>
  </si>
  <si>
    <t>NSF CSEDI(National Science Foundation (NSF)NSF - Directorate for Geosciences (GEO)); Directorate For Geosciences; Division Of Earth Sciences(National Science Foundation (NSF)NSF - Directorate for Geosciences (GEO))</t>
  </si>
  <si>
    <t>The authors thank Stephen Miller for providing a tape of the Southtow Leg 2 dataset, Steve Cande for helpful discussions, and Leah Ziegler for providing the jackknife resampled PADM2M models. This work was funded by the NSF CSEDI program grant number EAR 1065597. Location maps were drafted using GMT (Wessel et al., 2013) and GeoMapApp (http://www.geomapapp.org/). The authors thank two anonymous reviewers, whose thorough and helpful reviews improved the quality of this manuscript.</t>
  </si>
  <si>
    <t>0012-821X</t>
  </si>
  <si>
    <t>1385-013X</t>
  </si>
  <si>
    <t>EARTH PLANET SC LETT</t>
  </si>
  <si>
    <t>Earth Planet. Sci. Lett.</t>
  </si>
  <si>
    <t>10.1016/j.epsl.2017.03.020</t>
  </si>
  <si>
    <t>EU9UP</t>
  </si>
  <si>
    <t>WOS:000401385500009</t>
  </si>
  <si>
    <t>Guerrero, AI; Rogers, TL</t>
  </si>
  <si>
    <t>Guerrero, A. I.; Rogers, T. L.</t>
  </si>
  <si>
    <t>Blubber fatty acid composition and stratification in the crabeater seal, Lobodon carcinophaga</t>
  </si>
  <si>
    <t>JOURNAL OF EXPERIMENTAL MARINE BIOLOGY AND ECOLOGY</t>
  </si>
  <si>
    <t>Antarctic seal; Biomarkers; Fat; Lipids; Marine mammals; Specialist consumer</t>
  </si>
  <si>
    <t>PACK-ICE SEALS; DOLPHIN TURSIOPS-TRUNCATUS; PORPOISE PHOCOENA-PHOCOENA; PHOCA-HISPIDA; FUR SEALS; VERTICAL STRATIFICATION; HALICHOERUS-GRYPUS; THERMAL-PROPERTIES; DIET PREDICTIONS; MIROUNGA-LEONINA</t>
  </si>
  <si>
    <t>The study of blubber fatty acids (FAs) has attracted increasing scientific interest due mainly to its potential use as trophic markers. This is possible because most FAs are transferred unmodified from the prey to the blubber of the predator. Additionally, FAs have also been used to understand other aspects of the biology of marine mammals, including thermoregulation and reproductive stage. The aim of this study is to determine the FA composition of the blubber of the crabeater seal, which has not been reported before, and identify stratification of FAs across the blubber layer. Seals were captured in the western Antarctic Peninsula during the austral summer of 2015 and a whole blubber core (down to the muscle layer) sample was collected. The blubber core was sub-sectioned into inner and outer layers and analysed for FAs. The FA composition of crabeater seals was similar to other marine mammals, with high proportions of 18:1 omega 9, 16:1 omega 7, and 16:0. These FAs are endogenous, that is, they can be readily synthesised by mammals. However, the high proportions of 22:6 omega 3 and 20:5 omega 3 are unusual among other marine mammals. These FAs are potentially reflecting the diet of crabeater seals, as they have a dietary origin and are known to be abundant in krill, the main prey item of this predator. Inner and outer layers were significantly different indicating a stratification of blubber FAs. The pattern of stratification is ubiquitous in marine mammals, with monounsaturated FAs increasing towards the outer layer, and saturated and polyunsaturated FAs increasing towards the inner layer. This difference between inner and outer layers may indicate that they have different metabolic roles. Because most dietary FAs were more abundant in the inner layer, this is likely to be the section where the dietary process takes place. The higher proportions of monounsaturated FAs in the outer layer suggest that this section of the blubber plays a more functional role, probably related to thermoregulation, as these FAs prevent rigidity and improve fluidity, which is particularly important in cold environments. (C) 2017 The Authors. Published by Elsevier B.V.</t>
  </si>
  <si>
    <t>[Guerrero, A. I.; Rogers, T. L.] Univ New South Wales, Sch Biol Earth &amp; Environm Sci, Evolut &amp; Ecol Res Ctr, Sydney, NSW 2052, Australia</t>
  </si>
  <si>
    <t>University of New South Wales Sydney</t>
  </si>
  <si>
    <t>Guerrero, AI (corresponding author), Univ New South Wales, Sch Biol Earth &amp; Environm Sci, Evolut &amp; Ecol Res Ctr, Sydney, NSW 2052, Australia.</t>
  </si>
  <si>
    <t>a.guerrero@unsw.edu.au</t>
  </si>
  <si>
    <t>Rogers, Tracey L/C-3419-2008</t>
  </si>
  <si>
    <t>Rogers, Tracey/0000-0002-7141-4177</t>
  </si>
  <si>
    <t>0022-0981</t>
  </si>
  <si>
    <t>1879-1697</t>
  </si>
  <si>
    <t>J EXP MAR BIOL ECOL</t>
  </si>
  <si>
    <t>J. Exp. Mar. Biol. Ecol.</t>
  </si>
  <si>
    <t>10.1016/j.jembe.2017.03.004</t>
  </si>
  <si>
    <t>Ecology; Marine &amp; Freshwater Biology</t>
  </si>
  <si>
    <t>Environmental Sciences &amp; Ecology; Marine &amp; Freshwater Biology</t>
  </si>
  <si>
    <t>EU7IR</t>
  </si>
  <si>
    <t>WOS:000401209000006</t>
  </si>
  <si>
    <t>Arrarte, E; Garmendia, G; Rossini, C; Wisniewski, M; Vero, S</t>
  </si>
  <si>
    <t>Arrarte, E.; Garmendia, G.; Rossini, C.; Wisniewski, M.; Vero, S.</t>
  </si>
  <si>
    <t>Volatile organic compounds produced by Antarctic strains of Candida sake play a role in the control of postharvest pathogens of apples</t>
  </si>
  <si>
    <t>BIOLOGICAL CONTROL</t>
  </si>
  <si>
    <t>Antifungal VOCs; Biocontrol; Penicillium expansum; Candida sake; Postharvest; Apples</t>
  </si>
  <si>
    <t>BIOCONTROL AGENT; BLUE MOLD; AUREOBASIDIUM-PULLULANS; LEPTOSPERMUM-PETERSONII; BIOLOGICAL-CONTROL; ESSENTIAL OILS; FRUIT; YEAST; GROWTH; CONSTITUENTS</t>
  </si>
  <si>
    <t>In this study the strategy of isolating psychrotrophic, non-pectinolytic yeasts able to grow in apple juice as potential biocontrol agents was a successful approach. Thirty-four yeasts isolated from Antarctic were able to maintain rot incidence caused by P. expansum and B. cinerea under 25% on apples stored at 0-1 degrees C. Two of the isolates, identified as Candida sake, produced antifungal volatile organic compounds (VOCs) which inhibited the growth of five pathogens of apple (P. expansum, B. cinerea, A. alternata, A. tenuissima, and A. arborescens). This is the first report of VOCs produced by C sake, as well as the first study of the inhibitory activity of VOCs produced by yeasts against species of Alternaria that cause postharvest apple rot. In vitro studies were performed on Apple Juice Agar at 0 degrees C and 25 degrees C due to the importance of evaluating antifungal activity in similar conditions to where the biocontrol agent are intended to be used. The VOCs produced by Candida sake strain 41E were also effective on in vivo assays to control P. expansum in Red Delicious apples. (C) 2017 Elsevier Inc. All rights reserved.</t>
  </si>
  <si>
    <t>[Arrarte, E.; Garmendia, G.; Vero, S.] Univ Republica, Fac Quim, Dept Biociencias, Catedra Microbiol, Gral Flores 2124, Montevideo, Uruguay; [Rossini, C.] Univ Republica, Fac Quim, Lab Ecol Quim, Gral Flores 2124, Montevideo, Uruguay; [Wisniewski, M.] USDA ARS, 2217 Wiltshire Rd, Kearneysville, WV USA</t>
  </si>
  <si>
    <t>Universidad de la Republica, Uruguay; Universidad de la Republica, Uruguay; United States Department of Agriculture (USDA)</t>
  </si>
  <si>
    <t>Arrarte, E (corresponding author), Univ Republica, Fac Quim, Dept Biociencias, Catedra Microbiol, Gral Flores 2124, Montevideo, Uruguay.</t>
  </si>
  <si>
    <t>earrarte@fq.edu.uy</t>
  </si>
  <si>
    <t>Arrarte, Eloisa/HDO-7073-2022; Vero, Silvana/AAF-1887-2019; Rossini, Carmen/AFK-8955-2022</t>
  </si>
  <si>
    <t>Arrarte, Eloisa/0000-0002-5160-319X; Vero, Silvana/0000-0002-8934-6379; Rossini, Carmen/0000-0003-1222-5381; Wisniewski, Michael/0000-0002-7481-5590</t>
  </si>
  <si>
    <t>Comision Sectorial de Investigacion Cientifica (CSIC-Uruguay); Instituto Antartico Uruguayo (IAU); Programa de Desarrollo de las Ciencias Basicas (PEDECIBA)</t>
  </si>
  <si>
    <t>This research was supported by the Comision Sectorial de Investigacion Cientifica (CSIC-Uruguay), Instituto Antartico Uruguayo (IAU) and Programa de Desarrollo de las Ciencias Basicas (PEDECIBA).</t>
  </si>
  <si>
    <t>ACADEMIC PRESS INC ELSEVIER SCIENCE</t>
  </si>
  <si>
    <t>SAN DIEGO</t>
  </si>
  <si>
    <t>525 B ST, STE 1900, SAN DIEGO, CA 92101-4495 USA</t>
  </si>
  <si>
    <t>1049-9644</t>
  </si>
  <si>
    <t>1090-2112</t>
  </si>
  <si>
    <t>BIOL CONTROL</t>
  </si>
  <si>
    <t>Biol. Control</t>
  </si>
  <si>
    <t>10.1016/j.biocontrol.2017.03.002</t>
  </si>
  <si>
    <t>Biotechnology &amp; Applied Microbiology; Entomology</t>
  </si>
  <si>
    <t>EU0TB</t>
  </si>
  <si>
    <t>WOS:000400723100002</t>
  </si>
  <si>
    <t>Garrido-Muñoz, A</t>
  </si>
  <si>
    <t>Garrido-Munoz, Asier</t>
  </si>
  <si>
    <t>Managing Uncertainty: The International Court of Justice, 'Objective Reasonableness' and the Judicial Function</t>
  </si>
  <si>
    <t>LEIDEN JOURNAL OF INTERNATIONAL LAW</t>
  </si>
  <si>
    <t>good faith; International Court of Justice; proportionality; reasonableness; standard of review</t>
  </si>
  <si>
    <t>As a standard of review, 'objective reasonableness' has been in the academic spotlight after the Whaling in the Antarctic judgment of the International Court of Justice (ICJ or the Court). The Court's approach was conceptually innovative and seemed to have operated a partial reversal of the burden of proof in favour of the applicant. In response to certain criticisms addressed to that decision, this article makes two claims. First, 'reasonableness', while being inherently vague, gives a justifiable degree of discretion to judges, thereby enabling them to make difficult adjudicatory choices without departing from the applicable legal framework. Second, the term finds sufficient support in the Court's case law dealing with state discretion in the implementation of treaties. Both claims relate to the very same core idea: that even if one remains sceptical as to the capacity of the term to enhance certainty, 'reasonableness' is a basic conceptual tool that facilitates judicial review in complex cases, including those of a scientific nature.</t>
  </si>
  <si>
    <t>[Garrido-Munoz, Asier] Int Court Justice, The Hague, Netherlands</t>
  </si>
  <si>
    <t>Garrido-Muñoz, A (corresponding author), Int Court Justice, The Hague, Netherlands.</t>
  </si>
  <si>
    <t>a.garrido@icj-cij.org</t>
  </si>
  <si>
    <t>0922-1565</t>
  </si>
  <si>
    <t>1478-9698</t>
  </si>
  <si>
    <t>LEIDEN J INT LAW</t>
  </si>
  <si>
    <t>Leiden J. Int. Law</t>
  </si>
  <si>
    <t>10.1017/S0922156517000097</t>
  </si>
  <si>
    <t>Law</t>
  </si>
  <si>
    <t>Social Science Citation Index (SSCI)</t>
  </si>
  <si>
    <t>Government &amp; Law</t>
  </si>
  <si>
    <t>ET9BX</t>
  </si>
  <si>
    <t>WOS:000400601800008</t>
  </si>
  <si>
    <t>Yang, LJ; Guo, J; Zhang, S; Gong, YM</t>
  </si>
  <si>
    <t>Yang, Lijun; Guo, Jing; Zhang, Sen; Gong, Yumei</t>
  </si>
  <si>
    <t>Preparation and characterization of novel super-artificial hair fiber based on biomass materials</t>
  </si>
  <si>
    <t>INTERNATIONAL JOURNAL OF BIOLOGICAL MACROMOLECULES</t>
  </si>
  <si>
    <t>Sodium alginate; Antarctic krill protein; Wig fiber; Flame resistance</t>
  </si>
  <si>
    <t>PAN FIBER; BLENDS; POLY(ETHYLENE-TEREPHTHALATE); WIG; POLYPROPYLENE; 18TH-CENTURY</t>
  </si>
  <si>
    <t>A novel super-artificial hair fiber basing on sodium alginate (SA) and Antarctic Krill protein (AKP) was prepared by wet spinning successfully. Such SA/AKP fiber did not only have similar crystalline structure with human hair, but also had super flame resistance and mechanical performance. It should be noted that the whole preparation process was green without any incorporation of non-toxic solution. Moreover, comparing with human hair, the SA/AKP fiber had a lot of unique groove upon the fiber surface, which contributed a lot to excellent hygroscopicity. Meanwhile, the dyeing performance could be improved notably due to incorporation of protein into the matrix. Herein, the SA/AKP fiber with superior mechanical and functional performance had practical value for application in the field of synthetic wig. (C) 2017 Elsevier B.V. All rights reserved.</t>
  </si>
  <si>
    <t>[Yang, Lijun; Guo, Jing; Zhang, Sen; Gong, Yumei] Dalian Polytech Univ, Liaoning 116034, Peoples R China; [Guo, Jing] Dalian Polytech Univ, Liaoning Engn Technol Res Ctr Funct Fiber &amp; Its C, Dalian 116034, Peoples R China</t>
  </si>
  <si>
    <t>Guo, J; Zhang, S (corresponding author), Dalian Polytech Univ, Liaoning 116034, Peoples R China.</t>
  </si>
  <si>
    <t>guojing8161@163.com; zhsfxl@hotmail.com</t>
  </si>
  <si>
    <t>Zhang, Sen/HKW-2973-2023; zhang, sen/GXH-3513-2022; Li, Yan/JUU-5189-2023; long, wang/KGM-0871-2024</t>
  </si>
  <si>
    <t>Zhang, Sen/0000-0001-7429-7300;</t>
  </si>
  <si>
    <t>National Science Foundation of China [51373027]; National Science Foundation of Liaoning [2015020221]</t>
  </si>
  <si>
    <t>National Science Foundation of China(National Natural Science Foundation of China (NSFC)); National Science Foundation of Liaoning</t>
  </si>
  <si>
    <t>Financial support of this research is provided by National Science Foundation of China (No. 51373027) and National Science Foundation of Liaoning (2015020221).</t>
  </si>
  <si>
    <t>0141-8130</t>
  </si>
  <si>
    <t>1879-0003</t>
  </si>
  <si>
    <t>INT J BIOL MACROMOL</t>
  </si>
  <si>
    <t>Int. J. Biol. Macromol.</t>
  </si>
  <si>
    <t>10.1016/j.ijbiomac.2017.02.077</t>
  </si>
  <si>
    <t>Biochemistry &amp; Molecular Biology; Chemistry, Applied; Polymer Science</t>
  </si>
  <si>
    <t>Biochemistry &amp; Molecular Biology; Chemistry; Polymer Science</t>
  </si>
  <si>
    <t>ET1MS</t>
  </si>
  <si>
    <t>WOS:000400034100020</t>
  </si>
  <si>
    <t>Ruiz-Fernández, J; Oliva, M; García-Hernández, C</t>
  </si>
  <si>
    <t>Ruiz-Fernandez, Jesus; Oliva, Marc; Garcia-Hernandez, Cristina</t>
  </si>
  <si>
    <t>Topographic and geomorphologic controls on the distribution of vegetation formations in Elephant Point (Livingston Island, Maritime Antarctica)</t>
  </si>
  <si>
    <t>SCIENCE OF THE TOTAL ENVIRONMENT</t>
  </si>
  <si>
    <t>Elephant Point; Antarctica; Vegetation; Tundra; Geomorphology</t>
  </si>
  <si>
    <t>SOUTH SHETLAND ISLANDS; REMOTE-SENSING IMAGERY; LAST GLACIAL MAXIMUM; BYERS PENINSULA; DESCHAMPSIA-ANTARCTICA; PLANT-COMMUNITIES; CLIMATE-CHANGE; ECOSYSTEMS; BIOLOGY; LICHEN</t>
  </si>
  <si>
    <t>This article focuses on the spatial distribution of vegetation formations in Elephant Point, an ice-free area of 1.16 km(2) located in Livingston Island (South Shetland Islands, Antarctica). Fieldwork carried out in January 2014 consisted of floristic surveys and designation of a vegetation map. We have examined these data in a GIS environment together with topographical and geomorphological features existing in the peninsula in order to infer the factors controlling vegetation distribution. This has allowed quantifying the total area covered by the four different vegetation formations distributed across the peninsula, proliferating mainly on bedrock plateaus and Holocene raised beaches. Grass formation is essentially composed of Deschampsia antarctica, distributed almost exclusively on raised beaches, and covering 4.1% of the ice-free surface. The remaining three formations are fundamentally composed of cryptogam species. The first of which is fruticose lichen and moss formation, present on high bedrock plateaus and principally formed by lichens such as Usnea aurantiaco-atra. The next is the crustose lichen formation, spreading on bedrock plateaus near the coast populated by bird colonies. In this case, ornitocoprophilous lichens such as Caloplaca regalis, Xanthoria elegans and Haematomma erythromma are predominant. Together, both formations have colonised 5.1% of the peninsula. The last variety, moss carpet and moss cushion formation, occupies 1.4% of the deglaciated surface, spreading primarily in flooded areas, stabilised talus slopes, and bedrock plateaus as well. Therefore, the total surface colonised by vegetation is 12.2 ha, which comprises 10.5% of the peninsula. Due to the retreat of the Rotch Dome glacier, 20.1 ha remain ice-free since 1956 (17.3% of the deglaciated area). Ever since, even though the Antarctic Peninsula has registered one of the most significant temperature rises on Earth, vegetation has only colonised 0.04 ha of this new space, which merely represents 0.3% of the vegetated area in Elephant Point. (C) 2017 Elsevier B.V. All rights reserved.</t>
  </si>
  <si>
    <t>[Ruiz-Fernandez, Jesus; Garcia-Hernandez, Cristina] Univ Oviedo, Dept Geog, Teniente Alfonso Martinez S-N, Oviedo 33011, Spain; [Oliva, Marc] Univ Lisbon, Ctr Geog Studies, Inst Geog &amp; Spatial Planning, Rua Branca Edmee Marques Edificio IGOT, P-1600276 Lisbon, Portugal</t>
  </si>
  <si>
    <t>University of Oviedo; Universidade de Lisboa</t>
  </si>
  <si>
    <t>Ruiz-Fernández, J (corresponding author), Univ Oviedo, Dept Geog, C Teniente Alfonso Martinez S-N, Oviedo 33011, Spain.</t>
  </si>
  <si>
    <t>ruizjesus@uniovi.es</t>
  </si>
  <si>
    <t>Hernández, Cristina García/AAI-6557-2020; Oliva, Marc/K-5423-2014</t>
  </si>
  <si>
    <t>Hernández, Cristina García/0000-0003-3003-9128; Oliva, Marc/0000-0001-6521-6388; Ruiz-Fernandez, Jesus/0000-0001-7161-3320</t>
  </si>
  <si>
    <t>Portuguese Polar Programme (PROPOLAR); Fundacao para a Ciencia e a Tecnologia of Portugal; AXA Research Fund; Spanish Ministry of Education, Culture and Sport [MECD-15-FPU14/01279]; [CTM2016-77878-P]</t>
  </si>
  <si>
    <t>Portuguese Polar Programme (PROPOLAR); Fundacao para a Ciencia e a Tecnologia of Portugal(Fundacao para a Ciencia e a Tecnologia (FCT)); AXA Research Fund(AXA Research Fund); Spanish Ministry of Education, Culture and Sport(Spanish Government);</t>
  </si>
  <si>
    <t>This research has been funded by the project CTM2016-77878-P. The Antarctic campaign of 2014 was supported by the Portuguese Polar Programme (PROPOLAR) and the Fundacao para a Ciencia e a Tecnologia of Portugal. The authors wish to thank the Brazilian Antarctic Programme and the Chilean National Antarctic Programme for their logistical support during the fieldwork. Marc Oliva also thanks the AXA Research Fund for funding his Antarctic research, and Cristina Garcia Hernandez thanks the FPU programme of the Spanish Ministry of Education, Culture and Sport, for funding her doctoral research contract (grant number MECD-15-FPU14/01279).</t>
  </si>
  <si>
    <t>0048-9697</t>
  </si>
  <si>
    <t>1879-1026</t>
  </si>
  <si>
    <t>SCI TOTAL ENVIRON</t>
  </si>
  <si>
    <t>Sci. Total Environ.</t>
  </si>
  <si>
    <t>10.1016/j.scitotenv.2017.02.158</t>
  </si>
  <si>
    <t>ES8ZN</t>
  </si>
  <si>
    <t>Green Published, Green Submitted</t>
  </si>
  <si>
    <t>WOS:000399845800036</t>
  </si>
  <si>
    <t>Corsolini, S; Sarà, G</t>
  </si>
  <si>
    <t>Corsolini, Simonetta; Sara, Gianluca</t>
  </si>
  <si>
    <t>The trophic transfer of persistent pollutants (HCB, DDTs, PCBs) within polar marine food webs</t>
  </si>
  <si>
    <t>Ross Sea; Sub-Arctic; Marine organisms; POPs; Stable isotopes; Biomagnification</t>
  </si>
  <si>
    <t>ORGANIC POLLUTANTS; STABLE-ISOTOPES; GREENLAND; CONTAMINANTS; CHEMICALS; NICHE; BIOMAGNIFICATION; MAGNIFICATION; ECOLOGY; MATTER</t>
  </si>
  <si>
    <t>Biomagnification (increase in contaminant concentrations at successively higher levels of trophic web), is a process that can transversally impair biodiversity and human health. Most research shows that biomagnification should be higher at poles with northern sites having a major tendency to biomagnify Persistent Organic Pollutants (POPs) through their marine food webs. We investigated the biomagnification degree into two marine trophic webs combining carbon and nitrogen stable isotopes and POP analyses. We showed that the Antarctic trophic web was more depleted than the sub-Arctic one and the differences highlighted for the basal part could explain the difference in length between them. Concentrations of polychlorinated biphenyls (PCBs), hexachlorobenzene (HCB), and p,p'-DDE were of the same order of magnitude in the two polar trophic webs, with some values surprisingly higher in the Antarctic than sub-arctic organisms: PCBs ranged (average +/- standard deviation) 1.10 +/- 0.39 -12.93 +/- 7.62, HCB &lt;0.10-7.28 +/- 5.32, and p,p'-DDE 0.52 +/- 0.18-11.36 +/- 5.3 ng/g wet weight (wt) in the Antarctic organisms, and 0.53-5.08, &lt;0.10-1.48, and 0.27 0.35-5.46 1.73 ng/g wet wt, respectively, in the sub-Arctic ones. The contribution of tetra- and penta-CBs to the Sigma PCBs was 10-65% in the Antarctic species and 15-45% in the Arctic species. The relationships between POPs and trophic levels, and the information obtained by the Trophic Magnification Factor revealed that the Antarctic trophic web had a greater tendency to biomagnify PCBs and p,p'-DDE than its sub-Arctic counterpart. POP availability in the environment and specific ecological features may play an important role in the bio-accumulation, and biomagnification is apparently less important than bioconcentration. (C) 2017 Elsevier Ltd. All rights reserved.</t>
  </si>
  <si>
    <t>[Corsolini, Simonetta] Univ Siena, Dept Phys Earth &amp; Environm Sci, Via PA Mattioli 4, I-53100 Siena, Italy; [Sara, Gianluca] Univ Palermo, Dipartimento Sci Terra &amp; Mare, Viale Sci Ed 16, I-90128 Palermo, Italy</t>
  </si>
  <si>
    <t>University of Siena; University of Palermo</t>
  </si>
  <si>
    <t>Corsolini, S (corresponding author), Univ Siena, Dept Phys Earth &amp; Environm Sci, Via PA Mattioli 4, I-53100 Siena, Italy.</t>
  </si>
  <si>
    <t>simonetta.corsolini@unisi.it</t>
  </si>
  <si>
    <t>Corsolini, Simonetta/B-9460-2012</t>
  </si>
  <si>
    <t>Corsolini, Simonetta/0000-0002-9772-2362</t>
  </si>
  <si>
    <t>Italian National Antarctic Research Programme (PNRA) [PdR PNRA 2009/A1.04]</t>
  </si>
  <si>
    <t>Italian National Antarctic Research Programme (PNRA)</t>
  </si>
  <si>
    <t>The Italian National Antarctic Research Programme (PNRA) funded this research (PdR PNRA 2009/A1.04). The Authors are very grateful to all the colleagues at Italian scientific Station Mario Zucchelli and onboard the R/V Italica for their essential support for the fishing operations. We are also very grateful to Dr. Nicoletta Borghesi for the laboratory analysis and for fieldwork.</t>
  </si>
  <si>
    <t>10.1016/j.chemosphere.2017.02.116</t>
  </si>
  <si>
    <t>WOS:000399266600023</t>
  </si>
  <si>
    <t>Suo, YH; Li, SZ; Li, XY; Zhang, Z; Ding, D</t>
  </si>
  <si>
    <t>Suo, Yanhui; Li, Sanzhong; Li, Xiyao; Zhang, Zhen; Ding, Dong</t>
  </si>
  <si>
    <t>The potential hydrothermal systems unexplored in the Southwest Indian Ocean</t>
  </si>
  <si>
    <t>MARINE GEOPHYSICAL RESEARCH</t>
  </si>
  <si>
    <t>Hydrothermal vents; Magmatism; Tectonic; Hotspot; Ocean-continent transition</t>
  </si>
  <si>
    <t>EAST PACIFIC RISE; GRAVITY-ANOMALIES; DETACHMENT FAULTS; RIDGE SEGMENTATION; MIDOCEAN RIDGES; PERIDOTITE; ACCRETION; DISCOVERY; ATLANTIC; CENTERS</t>
  </si>
  <si>
    <t>Deep-sea hydrothermal vents possess complex ecosystems and abundant metallic mineral deposits valuable to human being. On-axial vents along tectonic plate boundaries have achieved prominent results and obtained huge resources, while nearly 90% of the global mid-ocean ridge and the majority of the off-axial vents buried by thick oceanic sediments within plates remain as relatively undiscovered domains. Based on previous detailed investigations, hydrothermal vents have been mapped along five sections along the Southwest Indian Ridge (SWIR) with different bathymetry, spreading rates, and gravity features, two at the western end (10A degrees-16A degrees E Section B and 16A degrees-25A degrees E Section C) and three at the eastern end (49A degrees-52A degrees E Section D, 52A degrees-61A degrees E Section E and 61A degrees-70A degrees E Section F). Hydrothermal vents along the Sections B, C, E and F with thin oceanic crust are hosted by ultramafic rocks under tectonic-controlled magmatic-starved settings, and hydrothermal vents along the Section D are associated with exceed magmatism. Limited coverage of investigations is provided along the 35A degrees-47A degrees E SWIR (between Marion and Indomed fracture zones) and a lot of research has been done around the Bouvet Island, while no hydrothermal vents has been reported. Analyzing bathymetry, gravity and geochemical data, magmatism settings are favourable for the occurrence of hydrothermal systems along these two sections. An off-axial hydrothermal system in the southern flank of the SWIR that exhibits ultra-thin oceanic crust associated with an oceanic continental transition is postulated to exist along the 100-Ma slow-spreading isochron in the Enderby Basin. A discrete, denser enriched or less depleted mantle beneath the Antarctic Plate is an alternative explanation for the large scale thin oceanic crust concentrated on the southern flank of the SWIR.</t>
  </si>
  <si>
    <t>[Suo, Yanhui; Li, Sanzhong; Li, Xiyao; Zhang, Zhen; Ding, Dong] Ocean Univ China, MOE, Submarine Geosci &amp; Prospecting Tech, Qingdao 266100, Peoples R China; [Suo, Yanhui; Li, Sanzhong; Li, Xiyao; Zhang, Zhen; Ding, Dong] Ocean Univ China, Coll Marine Geosci, Qingdao 266100, Peoples R China; [Li, Sanzhong] Qingdao Natl Lab Marine Sci &amp; Technol, Lab Marine Geol, Qingdao 266235, Peoples R China</t>
  </si>
  <si>
    <t>Ocean University of China; Ocean University of China; Laoshan Laboratory</t>
  </si>
  <si>
    <t>Li, SZ (corresponding author), Ocean Univ China, MOE, Submarine Geosci &amp; Prospecting Tech, Qingdao 266100, Peoples R China.;Li, SZ (corresponding author), Ocean Univ China, Coll Marine Geosci, Qingdao 266100, Peoples R China.;Li, SZ (corresponding author), Qingdao Natl Lab Marine Sci &amp; Technol, Lab Marine Geol, Qingdao 266235, Peoples R China.</t>
  </si>
  <si>
    <t>sanzhong@ouc.edu.cn</t>
  </si>
  <si>
    <t>Li, Xiyao/B-6799-2016; Li, Sanzhong/F-6111-2013</t>
  </si>
  <si>
    <t>Li, Sanzhong/0000-0002-3436-2793; Suo, Yanhui/0000-0002-4070-8930</t>
  </si>
  <si>
    <t>NSFC [41502185, 41325009]; Qingdao National Laboratory for Marine Science and Technology; China Postdoc Program [2015M580605]</t>
  </si>
  <si>
    <t>NSFC(National Natural Science Foundation of China (NSFC)); Qingdao National Laboratory for Marine Science and Technology; China Postdoc Program</t>
  </si>
  <si>
    <t>This study was supported by the NSFC projects (Grant Nos. 41502185 and 41325009), China Postdoc Program (2015M580605) and Taishan Scholar Program and Aoshan Talents Program supported by Qingdao National Laboratory for Marine Science and Technology to Prof. Sanzhong Li. We are very grateful to Prof. Jian Lin and Dr. Jian Zhu of Woods Hole Oceanographic Institution for providing the gravity data of the Indian Ocean and methods. Most of the figures used in this study were drawn with GMT software (Wessel and Smith 1995).</t>
  </si>
  <si>
    <t>0025-3235</t>
  </si>
  <si>
    <t>1573-0581</t>
  </si>
  <si>
    <t>MAR GEOPHYS RES</t>
  </si>
  <si>
    <t>Mar. Geophys. Res.</t>
  </si>
  <si>
    <t>1-2</t>
  </si>
  <si>
    <t>10.1007/s11001-016-9300-5</t>
  </si>
  <si>
    <t>Geochemistry &amp; Geophysics; Oceanography</t>
  </si>
  <si>
    <t>ES6ZG</t>
  </si>
  <si>
    <t>WOS:000399698700007</t>
  </si>
  <si>
    <t>Mormede, S; Dunn, A; Parker, S; Hanchet, S</t>
  </si>
  <si>
    <t>Mormede, Sophie; Dunn, Alistair; Parker, Steve; Hanchet, Stuart</t>
  </si>
  <si>
    <t>Using spatial population models to investigate the potential effects of the Ross Sea region Marine Protected Area on the Antarctic toothfish population</t>
  </si>
  <si>
    <t>FISHERIES RESEARCH</t>
  </si>
  <si>
    <t>Spatial population model; Marine Protected Area; Ross Sea; Antarctic toothfish</t>
  </si>
  <si>
    <t>ECOSYSTEM-BASED MANAGEMENT; DISSOSTICHUS-MAWSONI; FISHERIES; FISH; CONSERVATION</t>
  </si>
  <si>
    <t>One aim of Marine Protected Areas (MPAs) is to protect a representative portion of the environment through spatial closures to extractive practices such as fisheries. Although they usually involve the displacement of fisheries, their design rarely takes into account the effect of displacing that fishery on the target fish population. We used a spatially explicit population model of Antarctic toothfish in the Ross Sea region to investigate the effects of the endorsed Ross Sea region MPA on the fishery dynamics and the spatial distribution of the toothfish population. Our study indicates that the MPA will likely improve protection of the juvenile population residing on the Antarctic Shelf, while the number of areas with high levels of depletion is unlikely to increase compared to status quo management. Results also suggested a small increase in the catch limit under the Commission for the Conservation of Antarctic Marine Living Resources (CCAMLR) harvest management rules, but with a slight reduction in catch rates. We have showed that spatial modelling tools can help inform MPA planning by simultaneously quantifying potential effects on the fish population and the ability to achieve conservation goals. (C) 2017 Elsevier B.V. All rights reserved.</t>
  </si>
  <si>
    <t>[Mormede, Sophie; Dunn, Alistair] Natl Inst Water &amp; Atmospher Res NIWA Ltd, Private Bag 14901, Wellington 6241, New Zealand; [Parker, Steve; Hanchet, Stuart] Natl Inst Water &amp; Atmospher Res NIWA Ltd, POB 893, Nelson 7040, New Zealand</t>
  </si>
  <si>
    <t>National Institute of Water &amp; Atmospheric Research (NIWA) - New Zealand; National Institute of Water &amp; Atmospheric Research (NIWA) - New Zealand</t>
  </si>
  <si>
    <t>Mormede, S (corresponding author), Natl Inst Water &amp; Atmospher Res NIWA Ltd, Private Bag 14901, Wellington 6241, New Zealand.</t>
  </si>
  <si>
    <t>sophie.mormede@niwa.co.nz; alistair.dunn@niwa.co.nz; steve.parker@niwa.co.nz; stuart.hanchet@niwa.co.nz</t>
  </si>
  <si>
    <t>McMahon, Clive R/D-5713-2013</t>
  </si>
  <si>
    <t>McMahon, Clive R/0000-0001-5241-8917; Mormede, Sophie/0000-0003-4668-2046</t>
  </si>
  <si>
    <t>New Zealand Ministry for Primary Industries [ANT2013/01]; Ministry of Business, Innovation and Employment [C01x1001]; National Institute of Water and Atmospheric Research Ltd.; New Zealand Ministry of Business, Innovation &amp; Employment (MBIE) [C01X1001] Funding Source: New Zealand Ministry of Business, Innovation &amp; Employment (MBIE)</t>
  </si>
  <si>
    <t>New Zealand Ministry for Primary Industries; Ministry of Business, Innovation and Employment(New Zealand Ministry of Business, Innovation and Employment (MBIE)); National Institute of Water and Atmospheric Research Ltd.; New Zealand Ministry of Business, Innovation &amp; Employment (MBIE)(New Zealand Ministry of Business, Innovation and Employment (MBIE))</t>
  </si>
  <si>
    <t>The authors would like to thank the scientific observers and fishers who collected the data used for this analysis. We thank the CCAMLR Secretariat for providing the data extracts and assisting in the interpretation of the data. We would also like to thank the members of the New Zealand Antarctic Fisheries Stock Assessment Working Group for helpful discussions and input into this paper, and to Matt Pinkerton, Rohan Currey, Ben Sharp, Kath Large, Vonda Cummings, Peter Hairsine, Daniel Goethel and anonymous reviewers for the review of this document. This project was funded by the New Zealand Ministry for Primary Industries [project ANT2013/01], the Ministry of Business, Innovation and Employment [Project C01x1001, Protecting Ross Sea Ecosystems] and the National Institute of Water and Atmospheric Research Ltd. [Fisheries Centre Research Programmes 1 and 3].</t>
  </si>
  <si>
    <t>0165-7836</t>
  </si>
  <si>
    <t>1872-6763</t>
  </si>
  <si>
    <t>FISH RES</t>
  </si>
  <si>
    <t>Fish Res.</t>
  </si>
  <si>
    <t>10.1016/j.fishres.2017.02.015</t>
  </si>
  <si>
    <t>ER5VI</t>
  </si>
  <si>
    <t>WOS:000398871500018</t>
  </si>
  <si>
    <t>Ramos, JE; Ramos-Rodríguez, A; Ferreri, GB; Kurczyn, JA; Rivas, D; Salinas-Zavala, CA</t>
  </si>
  <si>
    <t>Ramos, Jorge E.; Ramos-Rodriguez, Alejandro; Bazzino Ferreri, Gaston; Alejandro Kurczyn, J.; Rivas, David; Salinas-Zavala, Cesar A.</t>
  </si>
  <si>
    <t>Characterization of the northernmost spawning habitat of Dosidicus gigas with implications for its northwards range extension</t>
  </si>
  <si>
    <t>MARINE ECOLOGY PROGRESS SERIES</t>
  </si>
  <si>
    <t>Spawning habitat; Range shift; Biological activity centres; BACs; Jumbo/Humboldt squid; Paralarvae</t>
  </si>
  <si>
    <t>GULF-OF-CALIFORNIA; TODARODES-PACIFICUS CEPHALOPODA; JUMBO SQUID; HUMBOLDT SQUID; NUMERICAL-SIMULATION; UPWELLING SYSTEM; OCTOPUS-VULGARIS; MARINE PREDATOR; PARALARVAE; OMMASTREPHIDAE</t>
  </si>
  <si>
    <t>The jumbo squid Dosidicus gigas is an ecologically and commercially important species whose northernmost geographic limit is the Gulf of California. However, over the last decades this species has extended its geographic distribution polewards, with associated impacts on the ecosystem. The origin of range-shifting individuals is poorly understood; therefore, we aimed to identify and characterize the northernmost spawning habitat of this species. Implications of the location and oceanographic conditions of the spawning habitats, migration capacity and life history characteristics of D. gigas are also discussed to elucidate its migration pattern. The northernmost spawning area was located between the biological activity centres (BACs) around the Gulf of Ulloa at the west coast of southern Baja California Peninsula during winter, summer and autumn 2005. Generalized linear models indicated that the interaction of sea surface salinity and thermocline depth, and the effect of latitude and sea surface temperature explained most of the variability in paralarval presence, whereas chlorophyll a and latitude explained paralarval abundance. Simulations indicated that paralarvae were dispersed towards the southwest or temporarily remained between BACs. The northwards incursion of D. gigas may be favoured by BACs and upwelling events along the coast of the northeastern Pacific. In warm years, D. gigas is likely to spawn off the Baja California Peninsula, it may actively migrate as far north as Alaska (USA) tracking BACs and upwelling conditions in search of feeding grounds, and it may return from different areas along the northeastern Pacific to spawn off the Baja California Peninsula.</t>
  </si>
  <si>
    <t>[Ramos, Jorge E.] Univ Tasmania, Inst Marine &amp; Antarctic Studies, Private Bag 49, Hobart, Tas 7001, Australia; [Ramos-Rodriguez, Alejandro] Ctr Invest Cient &amp; Educ Super Ensenada, Unidad La Paz, La Paz 23050, Baja Calif Sur, Mexico; [Ramos-Rodriguez, Alejandro] Univ Autonoma Baja California Sur, La Paz 23080, Baja Calif Sur, Mexico; [Bazzino Ferreri, Gaston; Salinas-Zavala, Cesar A.] Ctr Invest Biol Noroeste SC, Inst Politecn Nacl 195, La Paz 23096, Baja Calif Sur, Mexico; [Alejandro Kurczyn, J.] Univ Autonoma Campeche, CONACYT Inst Epomex, Ave Agustin Melgar S-N, San Francisco De Campech 24039, Campeche, Mexico; [Rivas, David] Ctr Invest Cient &amp; Educ Super Ensenada, Dept Oceanog Biol, Carretera Ensenada Tijuana 3918, Ensenada 22860, Baja California, Mexico</t>
  </si>
  <si>
    <t>University of Tasmania; CICESE - Centro de Investigacion Cientifica y de Educacion Superior de Ensenada; Universidad Autonoma de Baja California; CIBNOR - Centro de Investigaciones Biologicas del Noroeste; CICESE - Centro de Investigacion Cientifica y de Educacion Superior de Ensenada</t>
  </si>
  <si>
    <t>Ramos, JE (corresponding author), Univ Tasmania, Inst Marine &amp; Antarctic Studies, Private Bag 49, Hobart, Tas 7001, Australia.</t>
  </si>
  <si>
    <t>jeramos@utas.edu.au</t>
  </si>
  <si>
    <t>Ferreri, Gaston A. Bazzino/I-3579-2013; Rivas, David/B-3439-2017; Ramos-Rodríguez, José Alejandro/H-3199-2016; Robledo, Jorge Alejandro Kurczyn/I-8473-2017; Kurczyn Robledo, Jorge Alejandro/N-8166-2019</t>
  </si>
  <si>
    <t>Ferreri, Gaston A. Bazzino/0000-0002-6457-8173; Ramos-Rodríguez, José Alejandro/0000-0001-8447-1739; Kurczyn Robledo, Jorge Alejandro/0000-0001-7123-5913; Rivas, David/0000-0002-7855-4797; Ramos, Jorge E/0000-0002-8690-761X</t>
  </si>
  <si>
    <t>CNES; CICESE's [625118]</t>
  </si>
  <si>
    <t>CNES(Centre National D'etudes Spatiales); CICESE's</t>
  </si>
  <si>
    <t>Thanks to the IMECOCAL Program at CICESE, and to the captain and crew of the RV 'Francisco de Ulloa' for collection of samples and in situ oceanographic data. Sharon Herzka, Bertha Lavaniegos, Eugenio Diaz, Jorge de la Rosa (deceased) and Luis Enriquez provided laboratory facilities for processing of samples. Statistical advice was kindly provided by Rafael Leon. Martin Montes and Emilio Beier provided valuable advice for the development of SimLaTS. The altimeter product was produced by Ssalto/Duacs and distributed by AVISO with support from CNES. D.R. was funded by CICESE's internal project number 625118. Comments by William Gilly, Danna Staaf and 3 anonymous reviewers were valuable to improve an earlier version of the manuscript.</t>
  </si>
  <si>
    <t>INTER-RESEARCH</t>
  </si>
  <si>
    <t>OLDENDORF LUHE</t>
  </si>
  <si>
    <t>NORDBUNTE 23, D-21385 OLDENDORF LUHE, GERMANY</t>
  </si>
  <si>
    <t>0171-8630</t>
  </si>
  <si>
    <t>1616-1599</t>
  </si>
  <si>
    <t>MAR ECOL PROG SER</t>
  </si>
  <si>
    <t>Mar. Ecol.-Prog. Ser.</t>
  </si>
  <si>
    <t>MAY 31</t>
  </si>
  <si>
    <t>10.3354/meps12140</t>
  </si>
  <si>
    <t>Ecology; Marine &amp; Freshwater Biology; Oceanography</t>
  </si>
  <si>
    <t>Environmental Sciences &amp; Ecology; Marine &amp; Freshwater Biology; Oceanography</t>
  </si>
  <si>
    <t>EX7RO</t>
  </si>
  <si>
    <t>WOS:000403446100013</t>
  </si>
  <si>
    <t>Guo, JM; Hu, JY; Li, B; Zhou, L; Wang, W</t>
  </si>
  <si>
    <t>Guo, Jiming; Hu, Jiyuan; Li, Bing; Zhou, Lv; Wang, Wei</t>
  </si>
  <si>
    <t>Land subsidence in Tianjin for 2015 to 2016 revealed by the analysis of Sentinel-1A with SBAS-InSAR</t>
  </si>
  <si>
    <t>JOURNAL OF APPLIED REMOTE SENSING</t>
  </si>
  <si>
    <t>Sentinel-1A; small baselines subset technique; land subsidence; validation; Tianjin</t>
  </si>
  <si>
    <t>TIME-SERIES; PERMANENT SCATTERERS; SURFACE DEFORMATION; RADAR; INTERFEROMETRY</t>
  </si>
  <si>
    <t>It has been suggested that Tianjin, China, has significant land subsidence due to excessive extraction of water. Although it is presently under control, the land subsidence around Tianjin suburbs in recent years should not be ignored. However, existing research work on land subsidence is based on traditional synthetic aperture radar satellite images in which the research time spans are mainly before 2012. An advanced time-series method, namely small baselines subset (SBAS) technique, is applied to a total of 27 Sentinel-1A images over Tianjin acquired between May 31, 2015, and May 13, 2016, to derive the subsidence magnitude and distribution of Tianjin. Furthermore, the overall and quantitative validations of SBAS-derived results are implemented. First, the overall subsidence distribution derived by SBAS is compared with the annual report of land subsidence in Tianjin 2015, which shows the same subsidence trend and distribution. Then, 44 benchmarks and 2 continuously operating reference station datasets, i.e., CH01 and XQYY, are processed to provide a specific validation of SBAS-derived results of Sentinel-1A. Finally, through investigation, an interpretation from two aspects of groundwater extraction and geological structures of the surrounding Wangqingtuo settlement funnel area is given. (C) 2017 Society of Photo-Optical Instrumentation Engineers (SPIE)</t>
  </si>
  <si>
    <t>[Guo, Jiming; Hu, Jiyuan; Zhou, Lv] Wuhan Univ, Sch Geodesy &amp; Geomat, Wuhan, Peoples R China; [Li, Bing] Wuhan Univ, Chinese Antarctic Ctr Surveying &amp; Mapping, Wuhan, Peoples R China; [Zhou, Lv] Beijing Key Lab Urban Spatial Informat Engn, Beijing, Peoples R China; [Zhou, Lv] Guilin Univ Technol, Guangxi Key Lab Spatial Informat &amp; Geomat, Qixing Dist, Guilin, Peoples R China; [Wang, Wei] Tianjin Inst Surveying &amp; Mapping, Tianjin, Peoples R China</t>
  </si>
  <si>
    <t>Wuhan University; Wuhan University; Guilin University of Technology</t>
  </si>
  <si>
    <t>Hu, JY (corresponding author), Wuhan Univ, Sch Geodesy &amp; Geomat, Wuhan, Peoples R China.</t>
  </si>
  <si>
    <t>plgk@whu.edu.cn</t>
  </si>
  <si>
    <t>Li, Ye/JBS-2949-2023; Jiming, Guo/X-5269-2019; Li, bo/IWL-9318-2023; li, bing/GWQ-9617-2022</t>
  </si>
  <si>
    <t>Jiming, Guo/0000-0001-5427-6481;</t>
  </si>
  <si>
    <t>National Natural Science Foundation of China [41474004]; Guangxi Key Laboratory of Spatial Information and Geomatics [1103108-12]; Beijing Key Laboratory of Urban Spatial Information Engineering [2016204]; Open Fund of Guangxi Key Laboratory of Spatial Information and Geomatics [15-140-07-32]</t>
  </si>
  <si>
    <t>National Natural Science Foundation of China(National Natural Science Foundation of China (NSFC)); Guangxi Key Laboratory of Spatial Information and Geomatics; Beijing Key Laboratory of Urban Spatial Information Engineering; Open Fund of Guangxi Key Laboratory of Spatial Information and Geomatics</t>
  </si>
  <si>
    <t>This work was supported by the National Natural Science Foundation of China (Grant No. 41474004), the Guangxi Key Laboratory of Spatial Information and Geomatics (Grant No. 1103108-12), the Beijing Key Laboratory of Urban Spatial Information Engineering (No. 2016204), and the Open Fund of Guangxi Key Laboratory of Spatial Information and Geomatics (Grant No. 15-140-07-32). The leveling and CORS data were provided by Tianjin Institute of Surveying and Mapping. The authors wish to thank ESA for freely providing Sentinel-1A data through Sentinels Scientific Data Hub, and NASA for providing the SRTM3 DEM data. We are also thankful to the reviewers for their careful work. No potential conflict was reported by the authors.</t>
  </si>
  <si>
    <t>SPIE-SOC PHOTO-OPTICAL INSTRUMENTATION ENGINEERS</t>
  </si>
  <si>
    <t>BELLINGHAM</t>
  </si>
  <si>
    <t>1000 20TH ST, PO BOX 10, BELLINGHAM, WA 98225 USA</t>
  </si>
  <si>
    <t>1931-3195</t>
  </si>
  <si>
    <t>J APPL REMOTE SENS</t>
  </si>
  <si>
    <t>J. Appl. Remote Sens.</t>
  </si>
  <si>
    <t>10.1117/1.JRS.11.026024</t>
  </si>
  <si>
    <t>Environmental Sciences; Remote Sensing; Imaging Science &amp; Photographic Technology</t>
  </si>
  <si>
    <t>Environmental Sciences &amp; Ecology; Remote Sensing; Imaging Science &amp; Photographic Technology</t>
  </si>
  <si>
    <t>EW9CB</t>
  </si>
  <si>
    <t>WOS:000402813300001</t>
  </si>
  <si>
    <t>Köhler, H; Contreras, RA; Pizarro, M; Cortés-Antíquera, R; Zúñiga, GE</t>
  </si>
  <si>
    <t>Kohler, Hans; Contreras, Rodrigo A.; Pizarro, Marisol; Cortes-Antiquera, Rodrigo; Zuniga, Gustavo E.</t>
  </si>
  <si>
    <t>Antioxidant Responses Induced by UVB Radiation in Deschampsia antarctica Desv.</t>
  </si>
  <si>
    <t>FRONTIERS IN PLANT SCIENCE</t>
  </si>
  <si>
    <t>Deschampsia Antarctica Desv.; Poaceae; Antarctica; UVB radiation; antioxidant responses</t>
  </si>
  <si>
    <t>ULTRAVIOLET-B RADIATION; SPRINGTIME OZONE DEPLETION; OXIDATIVE STRESS; CHLOROPHYLL BIOSYNTHESIS; ARABIDOPSIS-THALIANA; TERRESTRIAL PLANTS; HYDROGEN-PEROXIDE; BALANCING DAMAGE; VASCULAR PLANTS; DEFENSE GENES</t>
  </si>
  <si>
    <t>Deschampsia antarctica Desv. is one of two vascular plants that live in the Maritime Antarctic Territory and is exposed to high levels of ultraviolet-B (UVB) radiation. In this work, antioxidant physiology of D. antarctica was studied in response to UVB induced oxidative changes. Samples were collected from Antarctica and maintained in vitro culture during 2 years. Plants were sub-cultured in a hydroponic system and exposed to 21.4 kJ m(-2) day(-1), emulating summer Antarctic conditions. Results showed rapid and significant increases in reactive oxygen species (ROS) at 3 h, which rapidly decreased. No dramatic changes were observed in photosynthetic efficiency, chlorophyll content, and level of thiobarbituric acid reactive species (MDA). The enzymatic (superoxide dismutase, SOD and total peroxidases, POD) and non-enzymatic antioxidant activity (total phenolic) increased significantly in response to UVB treatment. These findings suggest that tolerance of D. antarctica to UVB radiation could be attributed to its ability to activate both enzymatic and non-enzymatic antioxidant systems.</t>
  </si>
  <si>
    <t>[Kohler, Hans; Contreras, Rodrigo A.; Pizarro, Marisol; Cortes-Antiquera, Rodrigo; Zuniga, Gustavo E.] Univ Santiago Chile, Ctr Desarrollo Nanociencia &amp; Nanotecnol, Fac Quim &amp; Biol, Lab Fisiol &amp; Biotecnol Vegetal,Dept Biol, Santiago, Chile</t>
  </si>
  <si>
    <t>Universidad de Santiago de Chile</t>
  </si>
  <si>
    <t>Zúñiga, GE (corresponding author), Univ Santiago Chile, Ctr Desarrollo Nanociencia &amp; Nanotecnol, Fac Quim &amp; Biol, Lab Fisiol &amp; Biotecnol Vegetal,Dept Biol, Santiago, Chile.</t>
  </si>
  <si>
    <t>gustavo.zuniga@usach.cl</t>
  </si>
  <si>
    <t>Zuñiga, Gustavo E/P-8306-2015; Contreras, Rodrigo A./I-1871-2013</t>
  </si>
  <si>
    <t>Contreras, Rodrigo A./0000-0001-9970-3125; Zuniga, Gustavo/0000-0002-8286-9468</t>
  </si>
  <si>
    <t>Chilean Antarctic Institute (INACH) [DG01-12]; Proyectos Basales [USA1555 USACH-MECESUP]; [FONDECYT-1140189]</t>
  </si>
  <si>
    <t>Chilean Antarctic Institute (INACH); Proyectos Basales;</t>
  </si>
  <si>
    <t>Thanks to the Ph.D. program in Biotechnology at the University of Santiago of Chile, the training program of advanced human capital of the National Commission for Scientific and Technological Research of Chile (CONICYT). Special thanks to the Chilean Antarctic Institute (INACH) that funded the DG01-12 project entitled: Proteomic and metabolomic analysis of UV-B radiation tolerance in Deschampsia antarctica Desv. ex vitro. Authors would also like to specially acknowledge Elizabeth Barria and Rodolfo Parada for plant culture. This project was supported partially by FONDECYT-1140189 and Proyectos Basales USA1555 USACH-MECESUP (GZ).</t>
  </si>
  <si>
    <t>FRONTIERS MEDIA SA</t>
  </si>
  <si>
    <t>LAUSANNE</t>
  </si>
  <si>
    <t>AVENUE DU TRIBUNAL FEDERAL 34, LAUSANNE, CH-1015, SWITZERLAND</t>
  </si>
  <si>
    <t>1664-462X</t>
  </si>
  <si>
    <t>FRONT PLANT SCI</t>
  </si>
  <si>
    <t>Front. Plant Sci.</t>
  </si>
  <si>
    <t>10.3389/fpls.2017.00921</t>
  </si>
  <si>
    <t>EW3HR</t>
  </si>
  <si>
    <t>WOS:000402386800001</t>
  </si>
  <si>
    <t>Meinshausen, M; Vogel, E; Nauels, A; Lorbacher, K; Meinshausen, N; Etheridge, DM; Fraser, PJ; Montzka, SA; Rayner, PJ; Trudinger, CM; Krummel, PB; Beyerle, U; Canadell, JG; Daniel, JS; Enting, IG; Law, RM; Lunder, CR; O'Doherty, S; Prinn, RG; Reimann, S; Rubino, M; Velders, GJM; Vollmer, MK; Wang, RHJ; Weiss, R</t>
  </si>
  <si>
    <t>Meinshausen, Malte; Vogel, Elisabeth; Nauels, Alexander; Lorbacher, Katja; Meinshausen, Nicolai; Etheridge, David M.; Fraser, Paul J.; Montzka, Stephen A.; Rayner, Peter J.; Trudinger, Cathy M.; Krummel, Paul B.; Beyerle, Urs; Canadell, Josep G.; Daniel, John S.; Enting, Ian G.; Law, Rachel M.; Lunder, Chris R.; O'Doherty, Simon; Prinn, Ron G.; Reimann, Stefan; Rubino, Mauro; Velders, Guus J. M.; Vollmer, Martin K.; Wang, Ray H. J.; Weiss, Ray</t>
  </si>
  <si>
    <t>Historical greenhouse gas concentrations for climate modelling (CMIP6)</t>
  </si>
  <si>
    <t>GEOSCIENTIFIC MODEL DEVELOPMENT</t>
  </si>
  <si>
    <t>ATMOSPHERIC CARBON-DIOXIDE; NITROUS-OXIDE CONCENTRATION; ANTARCTIC FIRN AIR; GLOBAL EMISSIONS; ICE CORE; AGAGE OBSERVATIONS; METHYL-CHLORIDE; CAPE GRIM; CHLORODIFLUOROMETHANE HCFC-22; LATITUDINAL DISTRIBUTION</t>
  </si>
  <si>
    <t>Atmospheric greenhouse gas (GHG) concentrations are at unprecedented, record-high levels compared to the last 800 000 years. Those elevated GHG concentrations warm the planet and - partially offset by net cooling effects by aerosols - are largely responsible for the observed warming over the past 150 years. An accurate representation of GHG concentrations is hence important to understand and model recent climate change. So far, community efforts to create composite datasets of GHG concentrations with seasonal and latitudinal information have focused on marine boundary layer conditions and recent trends since the 1980s. Here, we provide consolidated datasets of historical atmospheric concentrations (mole fractions) of 43 GHGs to be used in the Climate Model Intercomparison Project Phase 6 (CMIP6) experiments. The presented datasets are based on AGAGE and NOAA networks, firn and ice core data, and archived air data, and a large set of published studies. In contrast to previous intercomparisons, the new datasets are latitudinally resolved and include seasonality. We focus on the period 1850-2014 for historical CMIP6 runs, but data are also provided for the last 2000 years. Weprovide consolidated datasets in various spatiotemporal resolutions for carbon dioxide (CO2), mcthanc (CH4) and nitrous oxide (N2O), as well as 40 other GHGs, namely 17 ozone-depleting substances, 11 hydrofluorocarbons (HFCs), 9 perfluorocarbons (PFCs), sulfur hexafluoride (SF6), nitrogen trifluoride (NF3) and sulfuryl fluoride (SO2F2). In addition we provide three equivalence species that aggregate concentrations of GHGs other than CO2, CH4 and N2O, weighted by their radiative forcing efficiencies. For the year 1850, which is used for pre-industrial control runs, we estimate annual global-mean surface concentrations of CO2 at 284.3 ppm, CH4 at 808.2 ppb and N2O at 273.0 ppb. The data are available at https://esgf-node.llnl.gov/search/input4mips/and www.climatecollege.unimelb.edu.au/cmip6. While the minimum CMIP6 recommendation is to use the global-and annual-mean time series, modelling groups can also choose our monthly and latitudinally resolved concentrations, which imply a stronger radiative forcing in the Northern Hemisphere winter (due to the latitudinal gradient and seasonality).</t>
  </si>
  <si>
    <t>[Meinshausen, Malte; Vogel, Elisabeth; Nauels, Alexander; Lorbacher, Katja] Univ Melbourne, Australian German Climate &amp; Energy Coll, Parkville, Vic, Australia; [Meinshausen, Malte; Vogel, Elisabeth; Nauels, Alexander; Lorbacher, Katja; Rayner, Peter J.] Univ Melbourne, Dept Earth Sci, Parkville, Vic, Australia; [Meinshausen, Malte] Potsdam Inst Climate Impact Res, Potsdam, Germany; [Meinshausen, Nicolai] Swiss Fed Inst Technol, Seminar Stat, Zurich, Switzerland; [Etheridge, David M.; Fraser, Paul J.; Trudinger, Cathy M.; Krummel, Paul B.; Law, Rachel M.; Rubino, Mauro] CSIRO Climate Sci Ctr, Oceans &amp; Atmosphere, Aspendale, Vic, Australia; [Montzka, Stephen A.] NOAA, Earth Syst Res Lab, Global Monitoring Div, Boulder, CO USA; [Beyerle, Urs] Swiss Fed Inst Technol, Inst Atmospher &amp; Climate Sci, Zurich, Switzerland; [Canadell, Josep G.] CSIRO Oceans &amp; Atmosphere, Global Carbon Project, Canberra, ACT, Australia; [Daniel, John S.] NOAA, Earth Syst Res Lab, Chem Sci Div, Boulder, CO USA; [Enting, Ian G.] Univ Melbourne, Melbourne, Vic, Australia; [Lunder, Chris R.] Norwegian Inst Air Res, - Kjeller, Norway; [O'Doherty, Simon] Univ Bristol, Bristol, Avon, England; [Prinn, Ron G.] MIT, 77 Massachusetts Ave, Cambridge, MA 02139 USA; [Reimann, Stefan; Vollmer, Martin K.] Empa, Swiss Fed Labs Mat Sci &amp; Technol, Lab Air Pollut &amp; Environm Technol, Dubendorf, Switzerland; [Rubino, Mauro] Seconda Univ Napoli, Dipartimento Matemat &amp; Fis, Caserta, Italy; [Velders, Guus J. M.] Natl Inst Publ Hlth &amp; Environm RIVM, Bilthoven, Netherlands; [Wang, Ray H. J.] Georgia Inst Technol, Sch Earth &amp; Atmospher Sci, Atlanta, GA 30332 USA; [Weiss, Ray] Scripps Inst Oceanog, La Jolla, CA USA</t>
  </si>
  <si>
    <t>University of Melbourne; University of Melbourne; Potsdam Institut fur Klimafolgenforschung; Swiss Federal Institutes of Technology Domain; ETH Zurich; Commonwealth Scientific &amp; Industrial Research Organisation (CSIRO); National Oceanic Atmospheric Admin (NOAA) - USA; Swiss Federal Institutes of Technology Domain; ETH Zurich; Commonwealth Scientific &amp; Industrial Research Organisation (CSIRO); National Oceanic Atmospheric Admin (NOAA) - USA; University of Melbourne; Melbourne Bioinformatics; NILU; University of Bristol; Massachusetts Institute of Technology (MIT); Swiss Federal Institutes of Technology Domain; Swiss Federal Laboratories for Materials Science &amp; Technology (EMPA); Universita della Campania Vanvitelli; Netherlands National Institute for Public Health &amp; the Environment; University System of Georgia; Georgia Institute of Technology; University of California System; University of California San Diego; Scripps Institution of Oceanography</t>
  </si>
  <si>
    <t>Meinshausen, M (corresponding author), Univ Melbourne, Australian German Climate &amp; Energy Coll, Parkville, Vic, Australia.;Meinshausen, M (corresponding author), Univ Melbourne, Dept Earth Sci, Parkville, Vic, Australia.;Meinshausen, M (corresponding author), Potsdam Inst Climate Impact Res, Potsdam, Germany.</t>
  </si>
  <si>
    <t>malte.meinshausen@unimelb.edu.au</t>
  </si>
  <si>
    <t>montzka, stephen/V-6162-2019; Meinshausen, Malte/AAG-7985-2019; Fraser, Paul J. B./D-1755-2012; Law, Rachel/AAV-1949-2020; Canadell, Pep/E-9419-2010; Krummel, Paul B/A-4293-2013; Meinshausen, Malte/AAG-6505-2019; Trudinger, Cathy/A-2532-2008; Daniel, John S/D-9324-2011; Law, Rachel/A-1969-2012; Rubino, Mauro/Q-5578-2016; Meinshausen, Malte/A-7037-2011; Etheridge, David M/B-7334-2013; Beyerle, Urs/M-9490-2017; Velders, Guus/H-1204-2013; Reimann, Stefan/A-2327-2009; Vogel, Elisabeth/Q-5910-2017</t>
  </si>
  <si>
    <t>montzka, stephen/0000-0002-9396-0400; Law, Rachel/0000-0002-7346-0927; Canadell, Pep/0000-0002-8788-3218; Krummel, Paul B/0000-0002-4884-3678; Meinshausen, Malte/0000-0003-4048-3521; Meinshausen, Malte/0000-0003-4048-3521; Trudinger, Cathy/0000-0002-4844-2153; Etheridge, David/0000-0001-7970-2002; Nauels, Alexander/0000-0003-1378-3377; Beyerle, Urs/0000-0002-6464-0838; Rayner, Peter/0000-0001-7707-6298; Velders, Guus/0000-0002-6597-7088; Reimann, Stefan/0000-0002-9885-7138; Rubino, Mauro/0000-0002-8721-4508; Vogel, Elisabeth/0000-0003-1341-6358</t>
  </si>
  <si>
    <t>Australian Research Council [FT130100809]; European Union's Horizon research and innovation programme CRESCENDO [641816]; Australian Government; Australian Research Council [FT130100809] Funding Source: Australian Research Council</t>
  </si>
  <si>
    <t>Australian Research Council(Australian Research Council); European Union's Horizon research and innovation programme CRESCENDO(European Union (EU)); Australian Government(Australian Government); Australian Research Council(Australian Research Council)</t>
  </si>
  <si>
    <t>MM thankfully acknowledges the support by the Australian Research Council Future Fellowship grant FT130100809. This work was undertaken in close collaboration with partners in the European Union's Horizon 2020 research and innovation programme CRESCENDO (grant no. 641816), of which the University of Melbourne is an unfunded partner. CSIRO's contribution was supported by the Australian Government, in part through the Australian Climate Change Science Program.</t>
  </si>
  <si>
    <t>COPERNICUS GESELLSCHAFT MBH</t>
  </si>
  <si>
    <t>GOTTINGEN</t>
  </si>
  <si>
    <t>BAHNHOFSALLEE 1E, GOTTINGEN, 37081, GERMANY</t>
  </si>
  <si>
    <t>1991-959X</t>
  </si>
  <si>
    <t>1991-9603</t>
  </si>
  <si>
    <t>GEOSCI MODEL DEV</t>
  </si>
  <si>
    <t>Geosci. Model Dev.</t>
  </si>
  <si>
    <t>10.5194/gmd-10-2057-2017</t>
  </si>
  <si>
    <t>EW3RF</t>
  </si>
  <si>
    <t>Green Submitted, Green Accepted, gold, Green Published</t>
  </si>
  <si>
    <t>WOS:000402419000002</t>
  </si>
  <si>
    <t>Thangaraj, B; Rajasekar, DP; Vijayaraghavan, R; Garlapati, D; Devanesan, AA; Lakshmanan, U; Dharmar, P</t>
  </si>
  <si>
    <t>Thangaraj, Bhuvaneshwari; Rajasekar, Diana Princey; Vijayaraghavan, Rashmi; Garlapati, Deviram; Devanesan, Arul Ananth; Lakshmanan, Uma; Dharmar, Prabaharan</t>
  </si>
  <si>
    <t>Cytomorphological and nitrogen metabolic enzyme analysis of psychrophilic and mesophilic Nostoc sp.: a comparative outlook</t>
  </si>
  <si>
    <t>3 BIOTECH</t>
  </si>
  <si>
    <t>Temperature stress; Nitrate reductase (NR); Nitrite reductase (NIR); Glutamine synthetase (GS); Nitrogenase</t>
  </si>
  <si>
    <t>16S RIBOSOMAL-RNA; NITRATE REDUCTASE; CYANOBACTERIA; TEMPERATURE; GROWTH; PHOTOSYNTHESIS; RESPIRATION; STRATEGIES; DEPENDENCE; COMMUNITY</t>
  </si>
  <si>
    <t>Cyanobacterial diazotrophs play a significant role in environmental nitrogen economy despite their habitat either tropical or polar. However, the phenomenon by which it copes with temperature induced stress is poorly understood. Temperature response study of psychrophilic and mesophilic Nostoc strains explores their adaptive mechanisms. The selected psychrophilic and mesophilic strains were confirmed as Nostoc punctiforme and Nostoc calcicola respectively, by ultrastructure and 16S rDNA phylogeny. The psychrophilic strain has extensive glycolipid and polysaccharide sheath along with characteristic deposition of cyanophycin, polyhydroxybutyrate granules, and carboxysomes. This is possibly an adaptive strategy exhibited to withstand the freezing temperature and high intense of ultraviolet rays. The biomass measured in terms of dry weight, protein, and chlorophyll indicated a temperature dependant shift in both the psychrophilic and mesophilic strains and attained maximum growth in their respective temperature niches. At low temperature, psychrophilic organism exhibited nitrogenase activity, while mesophilic strains did not. The maximum glutamine synthetase activity was observed at 4 degrees C for psychrophilic and 37 degrees C for mesophilic strains. Activity at 4 degrees C in psychrophilic strains revealed their energetic mechanism even at low temperature. The nitrate and nitrite reductase of both psychrophilic and mesophilic strains showed maximum activity at 37 degrees C denoting their similar nitrogen assimilating mechanisms for combined nitrogen utilization. The activity studies of nitrogen fixation/ assimilation enzymes have differential effects at varying temperatures, which provide valuable insights of physiological contribution and role of Nostoc strains in the biological nitrogen cycle.</t>
  </si>
  <si>
    <t>[Thangaraj, Bhuvaneshwari; Rajasekar, Diana Princey; Garlapati, Deviram; Devanesan, Arul Ananth; Lakshmanan, Uma; Dharmar, Prabaharan] Bharathidasan Univ, Sch Marine Sci, Dept Marine Biotechnol, Natl Facil Marine Cyanobacteria, Tiruchirappalli 620024, India; [Vijayaraghavan, Rashmi] Srimad Andavan Arts &amp; Sci Coll Autonomous, Dept Microbiol, Tiruchirappalli 620005, Tamil Nadu, India</t>
  </si>
  <si>
    <t>Bharathidasan University; Srimad Andavan Arts &amp; Science College</t>
  </si>
  <si>
    <t>Dharmar, P (corresponding author), Bharathidasan Univ, Sch Marine Sci, Dept Marine Biotechnol, Natl Facil Marine Cyanobacteria, Tiruchirappalli 620024, India.</t>
  </si>
  <si>
    <t>dharmarpraba@gmail.com</t>
  </si>
  <si>
    <t>Devanesan, Arul Ananth/AAA-6237-2022; Garlapati, Deviram/A-9067-2019</t>
  </si>
  <si>
    <t>Devanesan, Arul Ananth/0000-0002-2210-9416; Garlapati, Deviram/0000-0001-5674-594X</t>
  </si>
  <si>
    <t>Department of Biotechnology, Govt. of India [BT/PR7005/PBD/26/357/2012]; University Grants commission (UGC), Govt. of India [42-192/2013SR]</t>
  </si>
  <si>
    <t>Department of Biotechnology, Govt. of India(Department of Biotechnology (DBT) India); University Grants commission (UGC), Govt. of India(University Grants Commission, India)</t>
  </si>
  <si>
    <t>The authors are grateful to Department of Biotechnology, Govt. of India (BT/PR7005/PBD/26/357/2012) for funding National Repository for Microalgae and Cyanobacteria and National Centre for Antarctic and Ocean Research, Ministry of Earth Sciences, Govt. of India, Goa for logistics support during Arctic Expeditions. We thank University Grants commission (UGC), Govt. of India (42-192/2013SR) for the financial support and Christian Medical College, Vellore, Tamil Nadu for their support in transmission electron microscopy and its analysis.</t>
  </si>
  <si>
    <t>2190-572X</t>
  </si>
  <si>
    <t>2190-5738</t>
  </si>
  <si>
    <t>3 Biotech</t>
  </si>
  <si>
    <t>MAY 30</t>
  </si>
  <si>
    <t>10.1007/s13205-017-0724-7</t>
  </si>
  <si>
    <t>Biotechnology &amp; Applied Microbiology</t>
  </si>
  <si>
    <t>EW5KK</t>
  </si>
  <si>
    <t>WOS:000402544500011</t>
  </si>
  <si>
    <t>Hauquier, F; Leliaert, F; Rigaux, A; Derycke, S; Vanreusel, A</t>
  </si>
  <si>
    <t>Hauquier, Freija; Leliaert, Frederik; Rigaux, Annelien; Derycke, Sofie; Vanreusel, Ann</t>
  </si>
  <si>
    <t>Distinct genetic differentiation and species diversification within two marine nematodes with different habitat preference in Antarctic sediments</t>
  </si>
  <si>
    <t>BMC EVOLUTIONARY BIOLOGY</t>
  </si>
  <si>
    <t>Antarctica; Continental shelf; Cryptic species; Desmodora; Dispersal; Nematoda; Phylogeny; Population genetics; Sabatieria</t>
  </si>
  <si>
    <t>MITOCHONDRIAL-DNA; CRYPTIC DIVERSITY; POPULATION; DISPERSAL; SPECIATION; BIOGEOGRAPHY; CONNECTIVITY; PATTERNS; INVERTEBRATES; BIODIVERSITY</t>
  </si>
  <si>
    <t>Background: Dispersal ability, population genetic structure and species divergence in marine nematodes are still poorly understood, especially in remote areas such as the Southern Ocean. We investigated genetic differentiation of species and populations of the free-living endobenthic nematode genera Sabatieria and Desmodora using nuclear 18S rDNA, internal transcribed spacer (ITS) rDNA, and mitochondrial cytochrome oxidase I (COI) gene sequences. Specimens were collected at continental shelf depths (200-500 m) near the Antarctic Peninsula, Scotia Arc and eastern side of the Weddell Sea. The two nematode genera co-occurred at all sampled locations, but with different vertical distribution in the sediment. A combination of phylogenetic (GMYC, Bayesian Inference, Maximum Likelihood) and population genetic (AMOVA) analyses were used for species delimitation and assessment of gene flow between sampling locations. Results: Sequence analyses resulted in the delimitation of four divergent species lineages in Sabatieria, two of which could not be discriminated morphologically and most likely constitute cryptic species. Two species were recognised in Desmodora, one of which showed large intraspecific morphological variation. Both genera comprised species that were restricted to one side of the Weddell Sea and species that were widely spread across it. Population genetic structuring was highly significant and more pronounced in the deeper sediment-dwelling Sabatieria species, which are generally less prone to resuspension and passive dispersal in the water column than surface Desmodora species. Conclusions: Our results indicate that gene flow is restricted at large geographic distance in the Southern Ocean, which casts doubt on the efficiency of the Weddell gyre and Antarctic Circumpolar Current in facilitating circum-Antarctic nematode species distributions. We also show that genetic structuring and cryptic speciation can be very different in nematode species isolated from the same geographic area, but with different habitat preferences (surface versus deeper sediment layers).</t>
  </si>
  <si>
    <t>[Hauquier, Freija; Leliaert, Frederik; Rigaux, Annelien; Derycke, Sofie; Vanreusel, Ann] Univ Ghent, Biol Dept, Marine Biol Res Grp, Krijgslaan 281, B-9000 Ghent, Belgium; [Leliaert, Frederik] Bot Garden Meise, Nieuwelaan 38, B-1860 Meise, Belgium; [Derycke, Sofie] Royal Belgian Inst Nat Sci, Operat Directorate Taxon &amp; Phylogeny, Rue Vautier 29, B-1000 Brussels, Belgium</t>
  </si>
  <si>
    <t>Ghent University; Royal Belgian Institute of Natural Sciences</t>
  </si>
  <si>
    <t>Hauquier, F (corresponding author), Univ Ghent, Biol Dept, Marine Biol Res Grp, Krijgslaan 281, B-9000 Ghent, Belgium.</t>
  </si>
  <si>
    <t>freija.hauquier@ugent.be</t>
  </si>
  <si>
    <t>Leliaert, Frederik/A-9162-2009</t>
  </si>
  <si>
    <t>Leliaert, Frederik/0000-0002-4627-7318</t>
  </si>
  <si>
    <t>Research Foundation of Flanders [FWO11/ASP/256]; Belgian Science Policy (BELSPO/BRAIN) [BR/132/A1/vERSO]</t>
  </si>
  <si>
    <t>Research Foundation of Flanders(FWO); Belgian Science Policy (BELSPO/BRAIN)</t>
  </si>
  <si>
    <t>FH acknowledges a doctoral fellowship from the Research Foundation of Flanders (FWO11/ASP/256). This work contributes to project BR/132/A1/vERSO of the Belgian Science Policy (BELSPO/BRAIN).</t>
  </si>
  <si>
    <t>BMC</t>
  </si>
  <si>
    <t>CAMPUS, 4 CRINAN ST, LONDON N1 9XW, ENGLAND</t>
  </si>
  <si>
    <t>1471-2148</t>
  </si>
  <si>
    <t>BMC EVOL BIOL</t>
  </si>
  <si>
    <t>BMC Evol. Biol.</t>
  </si>
  <si>
    <t>10.1186/s12862-017-0968-1</t>
  </si>
  <si>
    <t>Evolutionary Biology; Genetics &amp; Heredity</t>
  </si>
  <si>
    <t>EW6SQ</t>
  </si>
  <si>
    <t>WOS:000402641000001</t>
  </si>
  <si>
    <t>Shibuya, R; Sato, K; Tsutsumi, M; Sato, T; Tomikawa, Y; Nishimura, K; Kohma, M</t>
  </si>
  <si>
    <t>Shibuya, Ryosuke; Sato, Kaoru; Tsutsumi, Masaki; Sato, Toru; Tomikawa, Yoshihiro; Nishimura, Koji; Kohma, Masashi</t>
  </si>
  <si>
    <t>Quasi-12 h inertia-gravity waves in the lower mesosphere observed by the PANSY radar at Syowa Station (39.6° E, 69.0° S)</t>
  </si>
  <si>
    <t>ATMOSPHERIC CHEMISTRY AND PHYSICS</t>
  </si>
  <si>
    <t>GENERAL-CIRCULATION MODEL; POLAR STRATOSPHERIC CLOUDS; SOUTH-POLE; MOMENTUM FLUX; MIDDLE-ATMOSPHERE; CLIMATE MODELS; MU-RADAR; PART I; PROPAGATION DIRECTION; SPONTANEOUS RADIATION</t>
  </si>
  <si>
    <t>The first observations made by a complete PANSY radar system (Program of the Antarctic Syowa MST/IS Radar) installed at Syowa Station (39.6 degrees E, 69.0 degrees S) were successfully performed from 16 to 24 March 2015. Over this period, quasi-half-day period (12 h) disturbances in the lower mesosphere at heights of 70 to 80 km were observed. Estimated vertical wavelengths, wave periods and vertical phase velocities of the disturbances were approximately 13.7 km, 12.3 h and -0.3ms(-1), respectively. Under the working hypothesis that such disturbances are attributable to inertiagravity waves, wave parameters are estimated using a hodograph analysis. The estimated horizontal wavelengths are longer than 1100 km, and the wavenumber vectors tend to point northeastward or southwestward. Using the nonhydrostatic numerical model with a model top of 87 km, quasi12 h disturbances in the mesosphere were successfully simulated. We show that quasi-12 h disturbances are due to wavelike disturbances with horizontal wavelengths longer than 1400 km and are not due to semidiurnal migrating tides. Wave parameters, such as horizontal wavelengths, vertical wavelengths and wave periods, simulated by the model agree well with those estimated by the PANSY radar observations under the abovementioned assumption. The parameters of the simulated waves are consistent with the dispersion relationship of the inertia-gravity wave. These results indicate that the quasi-12 h disturbances observed by the PANSY radar are attributable to large-scale inertia-gravity waves. By examining a residual of the nonlinear balance equation, it is inferred that the inertia-gravity waves are likely generated by the spontaneous radiation mechanism of two different jet streams. One is the midlatitude tropospheric jet around the tropopause while the other is the polar night jet. Large vertical fluxes of zonal and meridional momentum associated with large-scale inertia-gravity waves are distributed across a slanted region from the midlatitude lower stratosphere to the polar mesosphere in the meridional cross section. Moreover, the vertical flux of the zonal momentum has a strong negative peak in the mesosphere, suggesting that some large-scale inertia-gravity waves originate in the upper stratosphere.</t>
  </si>
  <si>
    <t>[Shibuya, Ryosuke; Sato, Kaoru; Kohma, Masashi] Univ Tokyo, Dept Earth &amp; Planetary Sci, Tokyo, Japan; [Tsutsumi, Masaki; Tomikawa, Yoshihiro; Nishimura, Koji] Natl Inst Polar Res, Tachikawa, Tokyo, Japan; [Tsutsumi, Masaki; Tomikawa, Yoshihiro; Nishimura, Koji] Grad Univ Adv Studies SOKENDAI, Tokyo, Japan; [Sato, Toru] Kyoto Univ, Dept Commun &amp; Comp Engn, Kyoto, Japan</t>
  </si>
  <si>
    <t>University of Tokyo; Research Organization of Information &amp; Systems (ROIS); National Institute of Polar Research (NIPR) - Japan; Graduate University for Advanced Studies - Japan; Kyoto University</t>
  </si>
  <si>
    <t>Shibuya, R (corresponding author), Univ Tokyo, Dept Earth &amp; Planetary Sci, Tokyo, Japan.</t>
  </si>
  <si>
    <t>shibuya@eps.s.u-tokyo.ac.jp</t>
  </si>
  <si>
    <t>Tomikawa, Yoshihiro/D-5304-2012; Sato, Toru/F-3818-2012; Kohma, Masashi/C-8055-2015; Sato, Kaoru/E-1693-2012</t>
  </si>
  <si>
    <t>Tomikawa, Yoshihiro/0000-0002-5652-3017; Nishimura, Koji/0000-0001-8824-9844; Kohma, Masashi/0000-0001-9875-3032; Sato, Kaoru/0000-0002-6225-6066</t>
  </si>
  <si>
    <t>Program for Leading Graduate Schools, MEXT, Japan; Japan Society for the Promotion of Science (JSPS) [25247075, 26-9257]; CREST, JST</t>
  </si>
  <si>
    <t>Program for Leading Graduate Schools, MEXT, Japan; Japan Society for the Promotion of Science (JSPS)(Ministry of Education, Culture, Sports, Science and Technology, Japan (MEXT)Japan Society for the Promotion of Science); CREST, JST(Japan Science &amp; Technology Agency (JST)Core Research for Evolutional Science and Technology (CREST))</t>
  </si>
  <si>
    <t>The PANSY multi-institutional project operated by the University of Tokyo and the National Institute of Polar Research (NIPR), and the PANSY radar system was operated by the Japanese Antarctic Research Expedition. We thank Takuji Nakamura for his many useful comments and discussions. We also thank Arata Amemiya for describing the idealized ray tracing model. Numerical simulations were run on the NIPR supercomputer. All figures shown in this paper were created using the Dennou Club Library (DCL). This study was supported by the Program for Leading Graduate Schools, MEXT, Japan. The study was also supported through the Japan Society for the Promotion of Science (JSPS) Grant-in-Aid Scientific Research (A) 25247075 (Kaoru Sato) and Grant-in-Aid for Research Fellow (26-9257) (Ryosuke Shibuya) programs. This work was partly supported by CREST, JST.</t>
  </si>
  <si>
    <t>1680-7316</t>
  </si>
  <si>
    <t>1680-7324</t>
  </si>
  <si>
    <t>ATMOS CHEM PHYS</t>
  </si>
  <si>
    <t>Atmos. Chem. Phys.</t>
  </si>
  <si>
    <t>10.5194/acp-17-6455-2017</t>
  </si>
  <si>
    <t>Environmental Sciences; Meteorology &amp; Atmospheric Sciences</t>
  </si>
  <si>
    <t>Environmental Sciences &amp; Ecology; Meteorology &amp; Atmospheric Sciences</t>
  </si>
  <si>
    <t>EW2IN</t>
  </si>
  <si>
    <t>gold, Green Submitted</t>
  </si>
  <si>
    <t>WOS:000402320300004</t>
  </si>
  <si>
    <t>Ho, PT; Park, E; Hong, SG; Kim, EH; Kim, K; Jang, SJ; Vrijenhoek, RC; Won, YJ</t>
  </si>
  <si>
    <t>Ho, Phuong-Thao; Park, Eunji; Hong, Soon Gyu; Kim, Eun-Hye; Kim, Kangchon; Jang, Sook-Jin; Vrijenhoek, Robert C.; Won, Yong-Jin</t>
  </si>
  <si>
    <t>Geographical structure of endosymbiotic bacteria hosted by Bathymodiolus mussels at eastern Pacific hydrothermal vents</t>
  </si>
  <si>
    <t>Chemosynthetic symbiosis; Deep-sea hydrothermal vent; Bathymodiolus mussels; Sulfur-oxidizing endosymbiont; Gammaproteobacteria; Geographical population structure</t>
  </si>
  <si>
    <t>COLD SEEP MUSSEL; DEEP-SEA; GENETIC DIVERSITY; POPULATION-GENETICS; RIFTIA-PACHYPTILA; HYBRID ZONE; SYMBIONTS; TRANSMISSION; PHYLOGENY; EVOLUTION</t>
  </si>
  <si>
    <t>Background: Chemolithoautotrophic primary production sustains dense invertebrate communities at deep-sea hydrothermal vents and hydrocarbon seeps. Symbiotic bacteria that oxidize dissolved sulfur, methane, and hydrogen gases nourish bathymodiolin mussels that thrive in these environments worldwide. The mussel symbionts are newly acquired in each generation via infection by free-living forms. This study examined geographical subdivision of the thiotrophic endosymbionts hosted by Bathymodiolus mussels living along the eastern Pacific hydrothermal vents. High-throughput sequencing data of 16S ribosomal RNA encoding gene and fragments of six protein-coding genes of symbionts were examined in the samples collected from nine vent localities at the East Pacific Rise, Galapagos Rift, and Pacific-Antarctic Ridge. Results: Both of the parapatric sister-species, B. thermophilus and B. antarcticus, hosted the same numerically dominant phylotype of thiotrophic Gammaproteobacteria. However, sequences from six protein-coding genes revealed highly divergent symbiont lineages living north and south of the Easter Microplate and hosted by these two Bathymodiolus mussel species. High heterogeneity of symbiont haplotypes among host individuals sampled from the same location suggested that stochasticity associated with initial infections was amplified as symbionts proliferated within the host individuals. The mussel species presently contact one another and hybridize along the Easter Microplate, but the northern and southern symbionts appear to be completely isolated. Vicariance associated with orogeny of the Easter Microplate region, 2.5-5.3 million years ago, may have initiated isolation of the symbiont and host populations. Estimates of synonymous substitution rates for the protein-coding bacterial genes examined in this study were 0.77-1.62%/nucleotide/million years. Conclusions: Our present study reports the most comprehensive population genetic analyses of the chemosynthetic endosymbiotic bacteria based on high-throughput genetic data and extensive geographical sampling to date, and demonstrates the role of the geographical features, the Easter Microplate and geographical distance, in the intraspecific divergence of this bacterial species along the mid-ocean ridge axes in the eastern Pacific. Altogether, our results provide insights into extrinsic and intrinsic factors affecting the dispersal and evolution of chemosynthetic symbiotic partners in the hydrothermal vents along the eastern Pacific Ocean.</t>
  </si>
  <si>
    <t>[Ho, Phuong-Thao; Kim, Kangchon; Jang, Sook-Jin; Won, Yong-Jin] Ewha Womans Univ, Grad Sch, Interdisciplinary Program EcoCreat, Seoul 03760, South Korea; [Park, Eunji; Won, Yong-Jin] Ewha Womans Univ, Div EcoSci, Seoul 03760, South Korea; [Hong, Soon Gyu; Kim, Eun-Hye] Korea Polar Res Inst, Div Polar Life Sci, 26 Songdomirae Ro, Incheon 21990, South Korea; [Vrijenhoek, Robert C.] Monterey Bay Aquarium Res Inst, Moss Landing, CA 95039 USA</t>
  </si>
  <si>
    <t>Ewha Womans University; Ewha Womans University; Korea Polar Research Institute (KOPRI); Monterey Bay Aquarium Research Institute</t>
  </si>
  <si>
    <t>Won, YJ (corresponding author), Ewha Womans Univ, Grad Sch, Interdisciplinary Program EcoCreat, Seoul 03760, South Korea.;Won, YJ (corresponding author), Ewha Womans Univ, Div EcoSci, Seoul 03760, South Korea.</t>
  </si>
  <si>
    <t>won@ewha.ac.kr</t>
  </si>
  <si>
    <t>THI PHUONG THAO, HO/ABO-9661-2022</t>
  </si>
  <si>
    <t>THI PHUONG THAO, HO/0000-0001-8157-1128; Park, Eunji/0000-0002-5087-2398</t>
  </si>
  <si>
    <t>Korea Polar Research Institute (KOPRI) [PP13040, PE15050]; National Research Foundation of Korea (NRF) - Korea government (MSIP) [NRF-2015R1A4A1041997]; United States National Science Foundation [OCE8917311, OCE9217026, OCE-9529819, OCE9910799, OCE-0241613]</t>
  </si>
  <si>
    <t>Korea Polar Research Institute (KOPRI); National Research Foundation of Korea (NRF) - Korea government (MSIP); United States National Science Foundation(National Science Foundation (NSF))</t>
  </si>
  <si>
    <t>This work received funding from the following institutions: the Korea Polar Research Institute (KOPRI) (grants number PP13040 and PE15050) and the National Research Foundation of Korea (NRF) grant funded by the Korea government (MSIP) (grant number NRF-2015R1A4A1041997) to YJW; the United States National Science Foundation (OCE8917311, OCE9217026, OCE-9529819, OCE9910799, OCE-0241613) to RCV.</t>
  </si>
  <si>
    <t>10.1186/s12862-017-0966-3</t>
  </si>
  <si>
    <t>WOS:000402641000002</t>
  </si>
  <si>
    <t>Cong, BL; Wang, NF; Liu, SH; Liu, F; Yin, XF; Shen, JH</t>
  </si>
  <si>
    <t>Cong, Bailin; Wang, Nengfei; Liu, Shenghao; Liu, Feng; Yin, Xiaofei; Shen, Jihong</t>
  </si>
  <si>
    <t>Isolation, characterization and transcriptome analysis of a novel Antarctic Aspergillus sydowii strain MS-19 as a potential lignocellulosic enzyme source</t>
  </si>
  <si>
    <t>BMC MICROBIOLOGY</t>
  </si>
  <si>
    <t>Polar organisms; Aspergillus sydowii; Transcriptome; Lignocellulose degradation; Low temperature enzyme; Lignin peroxidase; Manganese peroxidase</t>
  </si>
  <si>
    <t>LIGNIN-DEGRADING BASIDIOMYCETE; ETHANOL-PRODUCTION; EXPRESSION; PURIFICATION; DEGRADATION; PEROXIDASES; HYDROLYSIS; SEQUENCE; XYLANASE; GENOME</t>
  </si>
  <si>
    <t>Background: With the growing demand for fossil fuels and the severe energy crisis, lignocellulose is widely regarded as a promising cost-effective renewable resource for ethanol production, and the use of lignocellulose residues as raw material is remarkable. Polar organisms have important value in scientific research and development for their novelty, uniqueness and diversity. Results: In this study, a fungus Aspergillus sydowii MS-19, with the potential for lignocellulose degradation was screened out and isolated from an Antarctic region. The growth profile of Aspergillus sydowii MS-19 was measured, revealing that Aspergillus sydowii MS-19 could utilize lignin as a sole carbon source. Its ability to synthesize low-temperature lignin peroxidase (Lip) and manganese peroxidase (Mnp) enzymes was verified, and the properties of these enzymes were also investigated. High-throughput sequencing was employed to identify and characterize the transcriptome of Aspergillus sydowii MS-19. Carbohydrate-Active Enzymes (CAZyme)-annotated genes in Aspergillus sydowii MS-19 were compared with those in the brown-rot fungus representative species, Postia placenta and Penicillium decumbens. There were 701CAZymes annotated in Aspergillus sydowii MS-19, including 17 cellulases and 19 feruloyl esterases related to lignocellulose-degradation. Remarkably, one sequence annotated as laccase was obtained, which can degrade lignin. Three peroxidase sequences sharing a similar structure with typical lignin peroxidase and manganese peroxidase were also found and annotated as haem-binding peroxidase, glutathione peroxidase and catalase-peroxidase. Conclusions: In this study, the fungus Aspergillus sydowii MS-19 was isolated and shown to synthesize low-temperature lignin-degrading enzymes: lignin peroxidase (Lip) and manganese peroxidase (Mnp). These findings provide useful information to improve our understanding of low-temperature lignocellulosic enzyme production by polar microorganisms and to facilitate research and applications of the novel Antarctic Aspergillus sydowii strain MS-19 as a potential lignocellulosic enzyme source.</t>
  </si>
  <si>
    <t>[Cong, Bailin; Wang, Nengfei; Liu, Shenghao; Liu, Feng; Yin, Xiaofei; Shen, Jihong] State Ocean Adm, Inst Oceanog 1, Qingdao 266061, Peoples R China</t>
  </si>
  <si>
    <t>First Institute of Oceanography, Ministry of Natural Resources</t>
  </si>
  <si>
    <t>Cong, BL (corresponding author), State Ocean Adm, Inst Oceanog 1, Qingdao 266061, Peoples R China.</t>
  </si>
  <si>
    <t>biolin@fio.org.cn</t>
  </si>
  <si>
    <t>Liu, Shenghao/ISU-3076-2023</t>
  </si>
  <si>
    <t>Liu, Shenghao/0000-0002-1449-3526</t>
  </si>
  <si>
    <t>Chinese National Natural Science Foundation [41006102]; Chinese Polar Environment Comprehensive Investigation &amp; Assessment Programs [CHINARE 2015-01-06, CHINARE 2015-02-01]; Fujian Provincial Department of Science and Technology [2016N0016]</t>
  </si>
  <si>
    <t>Chinese National Natural Science Foundation(National Natural Science Foundation of China (NSFC)); Chinese Polar Environment Comprehensive Investigation &amp; Assessment Programs; Fujian Provincial Department of Science and Technology</t>
  </si>
  <si>
    <t>This work was financially supported by Chinese National Natural Science Foundation Grant No. 41006102, Chinese Polar Environment Comprehensive Investigation &amp; Assessment Programs (Grant nos. CHINARE 2015-01-06 and CHINARE 2015-02-01), the Agriculture Guiding Project of Fujian Provincial Department of Science and Technology Grant No. 2016N0016.</t>
  </si>
  <si>
    <t>1471-2180</t>
  </si>
  <si>
    <t>BMC MICROBIOL</t>
  </si>
  <si>
    <t>BMC Microbiol.</t>
  </si>
  <si>
    <t>10.1186/s12866-017-1028-0</t>
  </si>
  <si>
    <t>EW3BK</t>
  </si>
  <si>
    <t>WOS:000402369500001</t>
  </si>
  <si>
    <t>Loucaides, S; Rèrolle, VMC; Papadimitriou, S; Kennedy, H; Mowlem, MC; Dickson, AG; Gledhill, M; Achterberg, EP</t>
  </si>
  <si>
    <t>Loucaides, Socratis; Rerolle, Victoire M. C.; Papadimitriou, Stathys; Kennedy, Hilary; Mowlem, Matthew C.; Dickson, Andrew G.; Gledhill, Martha; Achterberg, Eric P.</t>
  </si>
  <si>
    <t>Characterization of meta-Cresol Purple for spectrophotometric pH measurements in saline and hypersaline media at sub-zero temperatures</t>
  </si>
  <si>
    <t>SCIENTIFIC REPORTS</t>
  </si>
  <si>
    <t>ANTARCTIC SEA-ICE; OCEAN ACIDIFICATION; ARCTIC-OCEAN; SEAWATER; CO2; CARBON; IMPACT; PURIFICATION; SYSTEM; BRINE</t>
  </si>
  <si>
    <t>Accurate pH measurements in polar waters and sea ice brines require pH indicator dyes characterized at near-zero and below-zero temperatures and high salinities. We present experimentally determined physical and chemical characteristics of purified meta-Cresol Purple (mCP) pH indicator dye suitable for pH measurements in seawater and conservative seawater-derived brines at salinities (S) between 35 and 100 and temperatures (T) between their freezing point and 298.15 K (25 degrees C). Within this temperature and salinity range, using purified mCP and a novel thermostated spectrophotometric device, the pH on the total scale (pH(T)) can be calculated from direct measurements of the absorbance ratio R of the dye in natural samples as pH(T) = -log(k(2)(T)e(2)) + log(R - e(1)/1 - R-e3/(e2)) Based on the mCP characterization in these extended conditions, the temperature and salinity dependence of the molar absorptivity ratios and - log( k(2)(T)e(2)) of purified mCP is described by the following functions: e(1) = -0.004363 + 3.598 x 10(-5)T, e(3)/e(2) = -0.016224 + 2.42851 x 10(-4)T + 5.05663 x 10(-5)(S-35), and -log( k(2)(T)e(2)) = - 319.8369 + 0.688159 S -0.00018374 S-2 + ( 10508.724 - 32.9599 S + 0.059082S(2)) T-1 + ( 55.54253 - 0.101639 S) ln T -0.08112151T. This work takes the characterisation of mCP beyond the currently available ranges of 278.15 K &lt;= T &lt;= 308.15 K and 20 &lt;= S &lt;= 40 in natural seawater, thereby allowing high quality pHT measurements in polar systems.</t>
  </si>
  <si>
    <t>[Loucaides, Socratis; Gledhill, Martha; Achterberg, Eric P.] Univ Southampton, Waterfront Campus, Southampton SO14 3ZH, Hants, England; [Loucaides, Socratis; Rerolle, Victoire M. C.; Mowlem, Matthew C.] Natl Oceanog Ctr, European Way, Southampton SO14 3ZH, Hants, England; [Papadimitriou, Stathys; Kennedy, Hilary] Bangor Univ, Coll Nat Sci, Ocean Sci, Menai Bridge LL59 5AB, Gwynedd, Wales; [Dickson, Andrew G.] Univ Calif San Diego, Scripps Inst Oceanog, Marine Phys Lab, 9500 Gilman Dr, La Jolla, CA 92093 USA; [Gledhill, Martha; Achterberg, Eric P.] GEOMAR Helmholtz Ctr Ocean Res, D-24148 Kiel, Germany</t>
  </si>
  <si>
    <t>University of Southampton; University of Southampton; NERC National Oceanography Centre; Bangor University; University of California System; University of California San Diego; Scripps Institution of Oceanography; Helmholtz Association; GEOMAR Helmholtz Center for Ocean Research Kiel</t>
  </si>
  <si>
    <t>Loucaides, S (corresponding author), Univ Southampton, Waterfront Campus, Southampton SO14 3ZH, Hants, England.</t>
  </si>
  <si>
    <t>s.loucaides@noc.ac.uk</t>
  </si>
  <si>
    <t>Dickson, Andrew Gilmore/HPE-2168-2023; Gledhill, Martha/D-2819-2009; Kennedy, Hilary A/M-5574-2014; Achterberg, Eric P/C-5820-2009</t>
  </si>
  <si>
    <t>Gledhill, Martha/0000-0003-3859-2112; Kennedy, Hilary A/0000-0003-2290-2120; Papadimitriou, Stathys/0000-0001-8540-1169; Mowlem, Matthew/0000-0001-7613-6121; Loucaides, Socratis/0000-0001-5285-660X</t>
  </si>
  <si>
    <t>NERC [NE/P02081X/1, noc010013, NE/J011096/1, NE/J007129/1] Funding Source: UKRI; Natural Environment Research Council [NE/P02081X/1, NE/J007129/1, noc010013, NE/J011096/1] Funding Source: researchfish</t>
  </si>
  <si>
    <t>NATURE PORTFOLIO</t>
  </si>
  <si>
    <t>BERLIN</t>
  </si>
  <si>
    <t>HEIDELBERGER PLATZ 3, BERLIN, 14197, GERMANY</t>
  </si>
  <si>
    <t>2045-2322</t>
  </si>
  <si>
    <t>SCI REP-UK</t>
  </si>
  <si>
    <t>Sci Rep</t>
  </si>
  <si>
    <t>10.1038/s41598-017-02624-0</t>
  </si>
  <si>
    <t>EW2FA</t>
  </si>
  <si>
    <t>Green Published, Green Accepted, gold</t>
  </si>
  <si>
    <t>WOS:000402310700010</t>
  </si>
  <si>
    <t>Davis, JL; Vinogradova, NT</t>
  </si>
  <si>
    <t>Davis, James L.; Vinogradova, Nadya T.</t>
  </si>
  <si>
    <t>Causes of accelerating sea level on the East Coast of North America</t>
  </si>
  <si>
    <t>GEOPHYSICAL RESEARCH LETTERS</t>
  </si>
  <si>
    <t>GLACIAL ISOSTATIC-ADJUSTMENT; TIDE-GAUGE RECORD; OVERTURNING CIRCULATION; ATLANTIC COAST; UNITED-STATES; MASS-BALANCE; RISE; VARIABILITY; OCEAN; PATTERNS</t>
  </si>
  <si>
    <t>The tide-gauge record from the North American East Coast reveals significant accelerations in sea level starting in the late twentieth century. The estimated post-1990 accelerations range from near zero to approximate to 0.3mmyr(-2). We find that the observed sea level acceleration is well modeled using several processes: mass change in Greenland and Antarctica as measured by the Gravity Recovery and Climate Experiment satellites; ocean dynamic and steric variability provided by the GECCO2 ocean synthesis; and the inverted barometer effect. However, to achieve this fit requires estimation of an admittance for the dynamical and steric contribution, possibly due to the coarse resolution of this analysis or to simplifications associated with parameterization of bottom friction in the shallow coastal areas. The acceleration from ice loss alone is equivalent to a regional sea level rise in one century of 0.2m in the north and 0.75m in the south of this region. Plain Language Summary We describe a new analysis of sea level accelerations derived from tide-gauge data along the East Coast of North America. Previous analyses of acceleration in this region have focused on ocean dynamics as the cause of recent rapid sea level changes. We have included a number of sources of sea level acceleration, including not only ocean dynamics but also ice-mass loss from Greenland and Antarctica and atmospheric pressure. By focusing on accelerations we are able to remove one of the greatest sources of uncertainty in the sea level budget, postglacial rebound. We have devised an approach wherein data from previous decades (during which the long-term variation is assumed linear) are included, thereby improving the accuracy of estimated post-1990 accelerations by a factor of 3. We conclude that the spatial variability of sea level acceleration is well modeled using these multiple processes. The results indicate that multiple physical processes must be considered to understand changing sea level. We also conclude that the acceleration from Antarctic and Greenland ice loss alone is equivalent to a sea level rise in one century of 0.2m in the north and 0.75m in the south of this region.</t>
  </si>
  <si>
    <t>[Davis, James L.] Columbia Univ, Lamont Doherty Earth Observ, New York, NY 10027 USA; [Vinogradova, Nadya T.] Cambridge Climate Inst, Boston, MA USA</t>
  </si>
  <si>
    <t>Columbia University</t>
  </si>
  <si>
    <t>Davis, JL (corresponding author), Columbia Univ, Lamont Doherty Earth Observ, New York, NY 10027 USA.</t>
  </si>
  <si>
    <t>jdavis@ldeo.columbia.edu</t>
  </si>
  <si>
    <t>Davis, James/D-8766-2013</t>
  </si>
  <si>
    <t>Davis, James/0000-0003-3057-477X</t>
  </si>
  <si>
    <t>National Aeronautics and Space Administration grants [NNX14AP33G, NNX12AF34G]; U.S. Department of Energy, Office of Science Biological and Environmental Research (BER); National Oceanic and Atmospheric Administration Climate Program Office; NASA [674736, NNX14AP33G, NNX12AF34G, 75136] Funding Source: Federal RePORTER</t>
  </si>
  <si>
    <t>National Aeronautics and Space Administration grants; U.S. Department of Energy, Office of Science Biological and Environmental Research (BER)(United States Department of Energy (DOE)); National Oceanic and Atmospheric Administration Climate Program Office(National Oceanic Atmospheric Admin (NOAA) - USA); NASA(National Aeronautics &amp; Space Administration (NASA))</t>
  </si>
  <si>
    <t>This work was supported by National Aeronautics and Space Administration grants NNX14AP33G (Sea-Level Change Team) and NNX12AF34G (GRACE Science Team). Figures were produced using Generic Mapping Tools [Wessel et al., 2013]. The GECCO2 solution is available at icdc.zmaw.de. PSMSL tide-gauge data are available at psmsl.org. Support for the Twentieth Century Reanalysis Project version 2c data set is provided by the U.S. Department of Energy, Office of Science Biological and Environmental Research (BER) and by the National Oceanic and Atmospheric Administration Climate Program Office and is available at www.esrl.noaa.gov. We thank two anonymous reviewers for their valuable comments on the manuscript. This is LDEO contribution number 8117.</t>
  </si>
  <si>
    <t>0094-8276</t>
  </si>
  <si>
    <t>1944-8007</t>
  </si>
  <si>
    <t>GEOPHYS RES LETT</t>
  </si>
  <si>
    <t>Geophys. Res. Lett.</t>
  </si>
  <si>
    <t>MAY 28</t>
  </si>
  <si>
    <t>10.1002/2017GL072845</t>
  </si>
  <si>
    <t>EY6YX</t>
  </si>
  <si>
    <t>WOS:000404131900089</t>
  </si>
  <si>
    <t>Ardyna, M; Claustre, H; Sallée, JB; D'Ovidio, F; Gentili, B; van Dijken, G; D'Ortenzio, F; Arrigo, KR</t>
  </si>
  <si>
    <t>Ardyna, Mathieu; Claustre, Herve; Sallee, Jean-Baptiste; D'Ovidio, Francesco; Gentili, Bernard; van Dijken, Gert; D'Ortenzio, Fabrizio; Arrigo, Kevin R.</t>
  </si>
  <si>
    <t>Delineating environmental control of phytoplankton biomass and phenology in the Southern Ocean</t>
  </si>
  <si>
    <t>ANTARCTIC CIRCUMPOLAR CURRENT; TROPHIC REGIMES; IRON; SEA; VARIABILITY; IMPACT; MODEL; PRODUCTIVITY; COMMUNITIES; DYNAMICS</t>
  </si>
  <si>
    <t>The Southern Ocean (SO), an area highly sensitive to climate change, is currently experiencing rapid warming and freshening. Such drastic physical changes might significantly alter the SO's biological pump. For more accurate predictions of the possible evolution of this pump, a better understanding of the environmental factors controlling SO phytoplankton dynamics is needed. Here we present a satellite-based study deciphering the complex environmental control of phytoplankton biomass (PB) and phenology (PH; timing and magnitude of phytoplankton blooms) in the SO. We reveal that PH and PB are mostly organized in the SO at two scales: a large latitudinal scale and a regional scale. Latitudinally, a clear gradient in the timing of bloom occurrence appears tightly linked to the seasonal cycle in irradiance, with some exceptions in specific light-limited regimes (i.e., well-mixed areas). Superimposed on this latitudinal scale, zonal asymmetries, up to 3 orders of magnitude, in regional-scale PB are mainly driven by local advective and iron supply processes. These findings provide a global understanding of PB and PH in the SO, which is of fundamental interest for identifying and explaining ongoing changes as well as predicting future changes in the SO biological pump.</t>
  </si>
  <si>
    <t>[Ardyna, Mathieu; Claustre, Herve; Gentili, Bernard; D'Ortenzio, Fabrizio] UPMC Univ Paris 06, Sorbonne Univ, INSU CNRS, Lab Oceanog Villefranche, Villefranche Sur Mer, France; [Sallee, Jean-Baptiste; D'Ovidio, Francesco] UPMC Univ Paris 06, Sorbonne Univ, CNRS IRD MNHN, LOCEAN Lab, Paris, France; [van Dijken, Gert; Arrigo, Kevin R.] Stanford Univ, Dept Earth Syst Sci, Stanford, CA 94305 USA</t>
  </si>
  <si>
    <t>Sorbonne Universite; Centre National de la Recherche Scientifique (CNRS); CNRS - National Institute for Earth Sciences &amp; Astronomy (INSU); Institut de Recherche pour le Developpement (IRD); Sorbonne Universite; Museum National d'Histoire Naturelle (MNHN); Stanford University</t>
  </si>
  <si>
    <t>Ardyna, M (corresponding author), UPMC Univ Paris 06, Sorbonne Univ, INSU CNRS, Lab Oceanog Villefranche, Villefranche Sur Mer, France.</t>
  </si>
  <si>
    <t>mathieu.ardyna@obs-vlfr.fr</t>
  </si>
  <si>
    <t>Ardyna, Mathieu/N-2027-2018; Van Dijken, Gert L/C-5276-2011; SALLEE, Jean baptiste/HDO-5355-2022; CLAUSTRE, Herve/E-6877-2011; d'Ovidio, Francesco/ABA-8461-2021; Claustre, Herve/JPL-2367-2023; SALLEE, Jean baptiste/A-5837-2010</t>
  </si>
  <si>
    <t>Ardyna, Mathieu/0000-0002-4703-6655; CLAUSTRE, Herve/0000-0001-6243-0258; Van Dijken, Gert/0000-0002-9587-6317; SALLEE, Jean baptiste/0000-0002-6109-5176; d'Ovidio, Francesco/0000-0002-9664-7778</t>
  </si>
  <si>
    <t>CNES (Centre National d'Etudes Spatiales); European Research Council (ERC) [246777]</t>
  </si>
  <si>
    <t>CNES (Centre National d'Etudes Spatiales)(Centre National D'etudes Spatiales); European Research Council (ERC)(European Research Council (ERC)Spanish Government)</t>
  </si>
  <si>
    <t>The GLOBcolour data were made available by the European Space Agency's GlobColour project (http://www.glob-colour.info). The altimetric data were provided by AVISO/CNES from their website http://www.aviso.altimetry.fr/fr/. We gratefully acknowledge the whole OMTAB team and Anabelle Baya for constructive discussion on initial versions of the manuscript. We also thank Bernard Queguiner and an anonymous reviewer for constructive comments on the manuscript. M.A. received a postdoctoral fellowship from the CNES (Centre National d'Etudes Spatiales) and the European Research Council (ERC) remOcean project (grant agreement 246777).</t>
  </si>
  <si>
    <t>10.1002/2016GL072428</t>
  </si>
  <si>
    <t>WOS:000404131900076</t>
  </si>
  <si>
    <t>Zhao, J; Chu, XZ; Chen, C; Lu, X; Fong, WC; Yu, ZB; Jones, RM; Roberts, BR; Dörnbrack, A</t>
  </si>
  <si>
    <t>Zhao, Jian; Chu, Xinzhao; Chen, Cao; Lu, Xian; Fong, Weichun; Yu, Zhibin; Jones, R. Michael; Roberts, Brendan R.; Doernbrack, Andreas</t>
  </si>
  <si>
    <t>Lidar observations of stratospheric gravity waves from 2011 to 2015 at McMurdo (77.84°S, 166.69°E), Antarctica: 1. Vertical wavelengths, periods, and frequency and vertical wave number spectra</t>
  </si>
  <si>
    <t>JOURNAL OF GEOPHYSICAL RESEARCH-ATMOSPHERES</t>
  </si>
  <si>
    <t>MOMENTUM FLUX; MIDDLE ATMOSPHERE; LOWER THERMOSPHERE; SOUTH-POLE; MESOSPHERE; CLIMATE; 77.8-DEGREES-S; GENERATION; DRAG; DYNAMICS</t>
  </si>
  <si>
    <t>Five years of atmospheric temperature data, collected with an Fe Boltzmann lidar by the University of Colorado group from 2011 to 2015 at Arrival Heights, are used to characterize the vertical wavelengths, periods, vertical phase speeds, frequency spectra, and vertical wave number spectra of stratospheric gravity waves from 30 to 50 km altitudes. Over 1000 dominant gravity wave events are identified from the data. The seasonal spectral distributions of vertical wavelengths, periods, and vertical phase speeds in summer, winter, and spring/fall are found obeying a lognormal distribution. Both the downward and upward phase progression gravity waves are observed by the lidar, and the fractions of gravity waves with downward phase progression increase from summer similar to 59% to winter similar to 70%. The seasonal and monthly mean vertical wavelengths and periods exhibit clear seasonal cycles with vertical wavelength growing from summer similar to 5.5 km to winter similar to 8.5 km, and period increasing from summer similar to 4.5 h to winter similar to 6 h. Statistically significant linear correlations are found between the monthly mean vertical wavelengths/periods and the mean zonal wind velocities from 30 to 50 km. Assuming horizontal phase speeds independent of month, the monthly mean horizontal wavelengths, intrinsic periods, and group velocities are estimated for stratospheric gravity waves. The slopes of wave frequency spectra change from similar to 1.9 at 30-60 km to similar to 1.45 around 60-65 km. The vertical wave number spectra show the power spectral density at vertical wavelengths of 5-20 km decreasing from winter maximum to summer minimum. Several aforementioned features are observed for the first time in Antarctica. Plain Language Summary Generated by buoyancy force, gravity waves are one of the most ubiquitous and important atmospheric waves. They transport momentum and energy over the globe, affect the atmospheric circulation and chemical reactions, generate turbulence, and mix the air. The missing gravity wave drag especially in the Antarctic stratosphere is regarded as one possible mechanism for the long-lasting cold-pole problem in most climate models, and the challenge came from the sparsity of polar gravity wave observations. Five years of Fe Boltzmann lidar observations at McMurdo, Antarctica, provide a unique opportunity to meet this challenge and reveal numerous gravity wave properties for the first time in Antarctica. From these observational facts, the science points in the paper lead to a better understanding of the potential wave sources and provide information for gravity wave parameterization, a key point for atmospheric models to be right. In addition, a new method is rigorously developed to infer the intrinsic period, horizontal phase speed, and wavelength from the nearly linear relation of gravity wave parameters with the mean background winds. Overall, a complete picture of gravity waves in the polar stratosphere resolvable from lidar starts to emerge and would greatly impact the whole atmosphere community.</t>
  </si>
  <si>
    <t>[Zhao, Jian; Chu, Xinzhao; Chen, Cao; Lu, Xian; Fong, Weichun; Yu, Zhibin; Jones, R. Michael; Roberts, Brendan R.] Univ Colorado Boulder, Cooperat Inst Res Environm Sci, Boulder, CO 80309 USA; [Zhao, Jian; Chu, Xinzhao; Chen, Cao; Fong, Weichun; Yu, Zhibin; Roberts, Brendan R.] Univ Colorado Boulder, Dept Aerosp Engn Sci, Boulder, CO 80309 USA; [Lu, Xian] Clemson Univ, Dept Phys &amp; Astron, Clemson, SC 29634 USA; [Doernbrack, Andreas] DLR Oberpfaffenhofen, Inst Phys Atmosphare, Oberpfaffenhofen, Germany</t>
  </si>
  <si>
    <t>University of Colorado System; University of Colorado Boulder; University of Colorado System; University of Colorado Boulder; Clemson University; Helmholtz Association; German Aerospace Centre (DLR)</t>
  </si>
  <si>
    <t>Chu, XZ (corresponding author), Univ Colorado Boulder, Cooperat Inst Res Environm Sci, Boulder, CO 80309 USA.;Chu, XZ (corresponding author), Univ Colorado Boulder, Dept Aerosp Engn Sci, Boulder, CO 80309 USA.</t>
  </si>
  <si>
    <t>Lu, Xian/AAZ-3385-2021; Yu, Zhibin/GZA-3374-2022; Chen, Cao/D-9851-2016; LU, XIAN/A-2980-2015; CHU, XINZHAO/I-5670-2015</t>
  </si>
  <si>
    <t>Yu, Zhibin/0000-0001-5128-809X; Chen, Cao/0000-0002-7780-2787; JONES, RICHARD MICHAEL/0000-0002-9493-7456; LU, XIAN/0000-0002-2535-8151; CHU, XINZHAO/0000-0001-6147-1963</t>
  </si>
  <si>
    <t>National Science Foundation (NSF) [ANT-0839091, PLR-1246405]; NSF [AGS-1705448, PLR-1705450]</t>
  </si>
  <si>
    <t>National Science Foundation (NSF)(National Science Foundation (NSF)); NSF(National Science Foundation (NSF))</t>
  </si>
  <si>
    <t>We sincerely acknowledge Adrian J. McDonald and Chester S. Gardner for invaluable discussions on the gravity wave theory and characterization. We thank Zhangjun Wang, Wentao Huang, John A. Smith, Ian F. Barry, and Muzhou Lu for their contributions to the McMurdo lidar campaign. We are indebted to Vladimir Papitashvili and Julie Palais for their guidance and discussions. We are grateful to Richard Dean and Judy Shiple for their engineering help and support. We sincerely appreciate the staff of the United States Antarctic Program, McMurdo Station, Antarctica New Zealand, and Scott Base for their superb support over the years. We are grateful to the high-quality data from the European Centre for Medium Range Weather Forecasts (ECMWF) for this research. We thank Sharon L. Vadas and two other anonymous reviewers for their review comments that helped improve the manuscript quality. This project was supported by the National Science Foundation (NSF) grants ANT-0839091 and PLR-1246405. Xian Lu's research is supported by NSF grants AGS-1705448 (CEDAR) and PLR-1705450. Data necessary to reproduce the results are available from the authors upon request (xinzhao.chu@colorado.edu).</t>
  </si>
  <si>
    <t>2169-897X</t>
  </si>
  <si>
    <t>2169-8996</t>
  </si>
  <si>
    <t>J GEOPHYS RES-ATMOS</t>
  </si>
  <si>
    <t>J. Geophys. Res.-Atmos.</t>
  </si>
  <si>
    <t>MAY 27</t>
  </si>
  <si>
    <t>10.1002/2016JD026368</t>
  </si>
  <si>
    <t>EY6YT</t>
  </si>
  <si>
    <t>Bronze, Green Published, Green Accepted</t>
  </si>
  <si>
    <t>WOS:000404131500001</t>
  </si>
  <si>
    <t>Dittmar, T; Stubbins, A; Ito, T; Jones, DC</t>
  </si>
  <si>
    <t>Dittmar, Thorsten; Stubbins, Aron; Ito, Takamitsu; Jones, Daniel C.</t>
  </si>
  <si>
    <t>Comment on Dissolved organic sulfur in the ocean: Biogeochemistry of a petagram inventory</t>
  </si>
  <si>
    <t>SCIENCE</t>
  </si>
  <si>
    <t>MATTER; CARBON; RADIOCARBON</t>
  </si>
  <si>
    <t>Ksionzek et al. (Reports, 28 October 2016, p. 456) provide important data describing the distribution of dissolved organic sulfur (DOS) in the Atlantic Ocean. Here, we show that mixing between water masses is sufficient to explain the observed distribution of DOS, concluding that the turnover time of refractory DOS that Ksionzek et al. present cannot be deduced from their data.</t>
  </si>
  <si>
    <t>[Dittmar, Thorsten] Carl von Ossietzky Univ Oldenburg, Inst Chem &amp; Biol Marine Environm ICBM, Carl von Ossietzky Str 9-11, D-26129 Oldenburg, Germany; [Stubbins, Aron] Univ Georgia, Dept Marine Sci, Skidaway Inst Oceanog, Savannah, GA 31411 USA; [Ito, Takamitsu] Georgia Inst Technol, Sch Earth &amp; Atmospher Sci, 311 Ferst Dr, Atlanta, GA 30332 USA; [Jones, Daniel C.] British Antarctic Survey, Madingley Rd, Cambridge CB3 0ET, England</t>
  </si>
  <si>
    <t>Carl von Ossietzky Universitat Oldenburg; University System of Georgia; Georgia Institute of Technology; UK Research &amp; Innovation (UKRI); Natural Environment Research Council (NERC); NERC British Antarctic Survey</t>
  </si>
  <si>
    <t>Dittmar, T (corresponding author), Carl von Ossietzky Univ Oldenburg, Inst Chem &amp; Biol Marine Environm ICBM, Carl von Ossietzky Str 9-11, D-26129 Oldenburg, Germany.</t>
  </si>
  <si>
    <t>thorsten.dittmar@uni-oldenburg.de</t>
  </si>
  <si>
    <t>Dittmar, Thorsten/L-7796-2013; Stubbins, Aron/M-8801-2014; Ito, Takamitsu/F-3856-2010</t>
  </si>
  <si>
    <t>Dittmar, Thorsten/0000-0002-3462-0107; Jones, Dani/0000-0002-8701-4506; Stubbins, Aron/0000-0002-3994-1946; Ito, Takamitsu/0000-0001-9873-099X</t>
  </si>
  <si>
    <t>NERC [NE/N018095/1, NE/N018001/1, NE/N018028/1, bas0100033] Funding Source: UKRI</t>
  </si>
  <si>
    <t>0036-8075</t>
  </si>
  <si>
    <t>1095-9203</t>
  </si>
  <si>
    <t>Science</t>
  </si>
  <si>
    <t>MAY 26</t>
  </si>
  <si>
    <t>10.1126/science.aam6039</t>
  </si>
  <si>
    <t>EV7LP</t>
  </si>
  <si>
    <t>WOS:000401957900029</t>
  </si>
  <si>
    <t>Koch, BP; Ksionzek, KB; Lechtenfeld, OJ; McCallister, SL; Schmitt-Kopplin, P; Geuer, JK; Geibert, W</t>
  </si>
  <si>
    <t>Koch, Boris P.; Ksionzek, Kerstin B.; Lechtenfeld, Oliver J.; McCallister, S. Leigh; Schmitt-Kopplin, Philippe; Geuer, Jana K.; Geibert, Walter</t>
  </si>
  <si>
    <t>Response to Comment on Dissolved organic sulfur in the ocean: Biogeochemistry of a petagram inventory</t>
  </si>
  <si>
    <t>MATTER; DEGRADATION; CARBON</t>
  </si>
  <si>
    <t>Dittmar et al. proposed thatmixing alone can explain our observed decrease inmarine dissolved organic sulfur with age. However, their simple model lacks an explanation for the origin of sulfur-depleted organic matter in the deep ocean and cannot adequately reproduce our observed stoichiometric changes. Using radiocarbon age also implicitlymodels the preferential cycling of sulfur that they are disputing.</t>
  </si>
  <si>
    <t>[Koch, Boris P.; Ksionzek, Kerstin B.; Lechtenfeld, Oliver J.; Geuer, Jana K.; Geibert, Walter] Helmholtz Ctr Polar &amp; Marine Res, Alfred Wegener Inst, Handelshafen 12, D-27570 Bremerhaven, Germany; [Koch, Boris P.; Ksionzek, Kerstin B.] MARUM Ctr Marine Environm Sci, Leobener Str, D-28359 Bremen, Germany; [Koch, Boris P.] Univ Appl Sci, Karlstadt 8, D-27568 Bremerhaven, Germany; [McCallister, S. Leigh] Virginia Commonwealth Univ, Dept Biol, Ctr Environm Studies, 1000 West Cary St, Richmond, VA 23284 USA; [Schmitt-Kopplin, Philippe] Helmholtz Zentrum Munchen HMGU, German Res Ctr Environm Hlth, Analyt BioGeoChem BGC, Ingolstadter Landstr 1, D-85764 Neuherberg, Germany; [Schmitt-Kopplin, Philippe] Tech Univ Munich, Chair Analyt Food Chem, Alte Akad 10, D-85354 Freising Weihenstephan, Germany; [Lechtenfeld, Oliver J.] UFZ Helmholtz Ctr Environm Res, Dept Analyt Chem, Permoserstr 15, D-04318 Leipzig, Germany</t>
  </si>
  <si>
    <t>Helmholtz Association; Alfred Wegener Institute, Helmholtz Centre for Polar &amp; Marine Research; University of Bremen; Virginia Commonwealth University; Helmholtz Association; Helmholtz-Center Munich - German Research Center for Environmental Health; Technical University of Munich; Helmholtz Association; Helmholtz Center for Environmental Research (UFZ)</t>
  </si>
  <si>
    <t>Koch, BP (corresponding author), Helmholtz Ctr Polar &amp; Marine Res, Alfred Wegener Inst, Handelshafen 12, D-27570 Bremerhaven, Germany.;Koch, BP (corresponding author), MARUM Ctr Marine Environm Sci, Leobener Str, D-28359 Bremen, Germany.;Koch, BP (corresponding author), Univ Appl Sci, Karlstadt 8, D-27568 Bremerhaven, Germany.</t>
  </si>
  <si>
    <t>boris.koch@awi.de</t>
  </si>
  <si>
    <t>Lechtenfeld, Oliver J./A-6480-2013; Geibert, Walter/ABA-9785-2020; Schmitt-Kopplin, Philippe/H-6271-2011; Koch, Boris/B-2784-2009; Geuer, Jana/AAZ-2217-2020</t>
  </si>
  <si>
    <t>Lechtenfeld, Oliver J./0000-0001-5313-6014; Geibert, Walter/0000-0001-8646-2334; Schmitt-Kopplin, Philippe/0000-0003-0824-2664; Koch, Boris/0000-0002-8453-731X; Geuer, Jana/0000-0002-9663-5072</t>
  </si>
  <si>
    <t>Deutsche Forschungsgemeinschaft (DFG) Research Centre/Cluster of Excellence The Ocean in the Earth System; DFG [KO 2164/8-1+2]</t>
  </si>
  <si>
    <t>Deutsche Forschungsgemeinschaft (DFG) Research Centre/Cluster of Excellence The Ocean in the Earth System(German Research Foundation (DFG)); DFG(German Research Foundation (DFG))</t>
  </si>
  <si>
    <t>This work was supported by the Deutsche Forschungsgemeinschaft (DFG) Research Centre/Cluster of Excellence The Ocean in the Earth System and a Ph.D. grant by the DFG in the framework of the priority program Antarctic Research with comparative investigations in Arctic ice areas (grant KO 2164/8-1+2).</t>
  </si>
  <si>
    <t>10.1126/science.aam6328</t>
  </si>
  <si>
    <t>WOS:000401957900030</t>
  </si>
  <si>
    <t>Möller, P; Lüders, V; De Lucia, M</t>
  </si>
  <si>
    <t>Moeller, P.; Lueders, V.; De Lucia, M.</t>
  </si>
  <si>
    <t>Formation of Rotliegend Ca-Cl brines in the North German Basin compared to analogues in the geological record</t>
  </si>
  <si>
    <t>CHEMICAL GEOLOGY</t>
  </si>
  <si>
    <t>Ca-Cl brines; Generation of Rotliegend brines; North German Basin</t>
  </si>
  <si>
    <t>UPPER CONTINENTAL-CRUST; SOUTHERN PERMIAN BASIN; BRISTOL DRY LAKE; ISOTOPE COMPOSITION; HYDROGEN ISOTOPE; CANADIAN SHIELD; DEATH-VALLEY; EVOLUTION; OXYGEN; FLUID</t>
  </si>
  <si>
    <t>The formation of terrestrial Ca-Cl brines is controlled by two major processes: chemical reactions between halite brines and igneous and metamorphic rocks and/or their debris in sedimentary basins, and the abstraction of H2O by evaporation, freezing or formation of hydrous minerals. Albitization dominates in environments of low H2O activity, Le., halite saturated systems. Chloritization, serpentinization and formation of smectites seems to be related to less saline systems, i.e., enhanced water activity. The Rotliegend brines of the North German Basin evolved by interaction of infiltrating halite brines with volcanic debris of the Permian acid volcanic rocks by albitization and chloritization of plagioclase. At present their temperatures are between 130 and 150 degrees C at 3000-4000 m depth. Although they developed in a different environment they chemically and isotopically resemble the basinal brines from the Mississippi Salt Dome basin or even the deep brines from the Red Sea. All these brines have in common that halite brines interacted with plagioclase (An + SiO2 + 2Na(+) double left right arrow 2Alb + Ca2+) or possibly with clay minerals (Ca-clay + 2Na(+) double left right arrow Na-2-clay + Ca2+) at enhanced temperatures. The trends of stable isotopes show slopes in the delta D-delta O-18 diagram which are typical for hydrothermal reactions of evaporation brines with rock or sediments. The genesis of Rotliegend brines differ from Ca-Cl brines in the Canadian Shield, Siberian Platform, the Dry Valleys in Antarctica and even the local brines from the Chilean salars and the Californian Bristol Dry Lake. The Antarctic Dry Valley brines seem to be dominated by melting of ice-cements of their permafrost sections. The Ca-Cl brines of springs in the Chilean salars and the Bristol Dry Lake ascend due to thermal convection along tectonic faults. Although the Canadian Shield brines chemically resemble those of the Siberian Platform their stable isotope fractionation suggest that they developed by different processes of water abstraction. Exotic stable isotope values in brines are gained by freezing or ultrafiltration processes in the precursor sediments of the present crystalline rocks of the Canadian Shield and by small volume ratios of liquids and metamorphic rocks such as of KTB/VB.</t>
  </si>
  <si>
    <t>[Moeller, P.; Lueders, V.; De Lucia, M.] Helmholtz Ctr Potsdam, German Res Ctr Geosci, Sect 3-4, D-14473 Potsdam, Germany</t>
  </si>
  <si>
    <t>Helmholtz Association; Helmholtz-Center Potsdam GFZ German Research Center for Geosciences</t>
  </si>
  <si>
    <t>Möller, P (corresponding author), Helmholtz Ctr Potsdam, German Res Ctr Geosci, Sect 3-4, D-14473 Potsdam, Germany.</t>
  </si>
  <si>
    <t>pemoe@gfz-potsdam.de</t>
  </si>
  <si>
    <t>De Lucia, Marco/B-3697-2016</t>
  </si>
  <si>
    <t>De Lucia, Marco/0000-0002-1186-4491; Moller, Peter/0000-0003-1580-4215</t>
  </si>
  <si>
    <t>0009-2541</t>
  </si>
  <si>
    <t>1872-6836</t>
  </si>
  <si>
    <t>CHEM GEOL</t>
  </si>
  <si>
    <t>Chem. Geol.</t>
  </si>
  <si>
    <t>MAY 25</t>
  </si>
  <si>
    <t>10.1016/j.chemgeo.2017.04.001</t>
  </si>
  <si>
    <t>EV6KS</t>
  </si>
  <si>
    <t>WOS:000401878900004</t>
  </si>
  <si>
    <t>D'Andrilli, J; Foreman, CM; Sigl, M; Priscu, JC; McConnell, JR</t>
  </si>
  <si>
    <t>D'Andrilli, Juliana; Foreman, Christine M.; Sigl, Michael; Priscu, John C.; McConnell, Joseph R.</t>
  </si>
  <si>
    <t>A 21 000-year record of fluorescent organic matter markers in the WAIS Divide ice core</t>
  </si>
  <si>
    <t>CLIMATE OF THE PAST</t>
  </si>
  <si>
    <t>DOME-C; GREENLAND; CARBON; WATER; SPECTROSCOPY; CLIMATE; SEA; IDENTIFICATION; TERRESTRIAL; VARIABILITY</t>
  </si>
  <si>
    <t>Englacial ice contains a significant reservoir of organic material (OM), preserving a chronological record of materials from Earth's past. Here, we investigate if OM composition surveys in ice core research can provide paleoecological information on the dynamic nature of our Earth through time. Temporal trends in OM composition from the early Holocene extending back to the Last Glacial Maximum (LGM) of the West Antarctic Ice Sheet Divide (WD) ice core were measured by fluorescence spectroscopy. Multivariate parallel factor (PARAFAC) analysis is widely used to isolate the chemical components that best describe the observed variation across three-dimensional fluorescence spectroscopy (excitation-emission matrices; EEMs) assays. Fluorescent OM markers identified by PARAFAC modeling of the EEMs from the LGM (27.0-18.0 kyr BP; before present 1950) through the last deglaciation (LD; 18.0-11.5 kyr BP), to the mid-Holocene (11.5-6.0 kyr BP) provided evidence of different types of fluorescent OM composition and origin in the WD ice core over 21.0 kyr. Low excitation-emission wavelength fluorescent PARAFAC component one (C1), associated with chemical species similar to simple lignin phenols was the greatest contributor throughout the ice core, suggesting a strong signature of terrestrial OM in all climate periods. The component two (C2) OM marker, encompassed distinct variability in the ice core describing chemical species similar to tannin-and phenylalanine-like material. Component three (C3), associated with humic-like terrestrial material further resistant to biodegradation, was only characteristic of the Holocene, suggesting that more complex organic polymers such as lignins or tannins may be an ecological marker of warmer climates. We suggest that fluorescent OM markers observed during the LGM were the result of greater continental dust loading of lignin precursor (monolignol) material in a drier climate, with lower marine influences when sea ice extent was higher and continents had more expansive tundra cover. As the climate warmed, the record of OM markers in the WD ice core changed, reflecting shifts in carbon productivity as a result of global ecosystem response.</t>
  </si>
  <si>
    <t>[D'Andrilli, Juliana; Foreman, Christine M.] Montana State Univ, Dept Chem &amp; Biol Engn, Bozeman, MT 59717 USA; [D'Andrilli, Juliana; Foreman, Christine M.] Montana State Univ, Ctr Biofilm Engn, Bozeman, MT 59717 USA; [Sigl, Michael; McConnell, Joseph R.] Desert Res Inst, Div Hydrol Sci, Reno, NV 89512 USA; [Priscu, John C.] Montana State Univ, Dept Land Resources &amp; Environm Sci, Bozeman, MT 59717 USA</t>
  </si>
  <si>
    <t>Montana State University System; Montana State University Bozeman; Montana State University System; Montana State University Bozeman; Nevada System of Higher Education (NSHE); Desert Research Institute NSHE; Montana State University System; Montana State University Bozeman</t>
  </si>
  <si>
    <t>D'Andrilli, J (corresponding author), Montana State Univ, Dept Chem &amp; Biol Engn, Bozeman, MT 59717 USA.;D'Andrilli, J (corresponding author), Montana State Univ, Ctr Biofilm Engn, Bozeman, MT 59717 USA.</t>
  </si>
  <si>
    <t>juliana@montana.edu</t>
  </si>
  <si>
    <t>Foreman, Christine/0000-0003-0230-4692; McConnell, Joseph/0000-0001-9051-5240; D'Andrilli, Juliana/0000-0002-3352-2564</t>
  </si>
  <si>
    <t>National Science Foundation (NSF) Division of Antarctic Sciences [PLR-0839075, PLR-0839093, PLR-1142166]; WAIS Divide Science Coordination Office at the Desert Research Institute, Reno, NV, USA; University of New Hampshire, USA (NSF) [0230396, 0440817, 0944348, 0944266]; NSF Division of Polar Programs</t>
  </si>
  <si>
    <t>National Science Foundation (NSF) Division of Antarctic Sciences(National Science Foundation (NSF)NSF - Directorate for Geosciences (GEO)); WAIS Divide Science Coordination Office at the Desert Research Institute, Reno, NV, USA; University of New Hampshire, USA (NSF)(National Science Foundation (NSF)); NSF Division of Polar Programs(National Science Foundation (NSF)NSF - Directorate for Geosciences (GEO))</t>
  </si>
  <si>
    <t>This work was supported by the National Science Foundation (NSF) Division of Antarctic Sciences through PLR-0839075, -0839093, and -1142166. We thank the West Antarctic Ice Sheet (WAIS) Divide Core community and field teams, participants of the WAIS Divide Meetings 2010-2013, the National Ice Core Laboratory (NICL), and members of the McConnell laboratory team who assisted in ice core melting in 2011-2012. Special thanks to G. R. Aiken, K. Hunt, J. R. Junker, D. M. McKnight, C. A. Stedmon, our anonymous reviewers, and A. Baker for their suggestions and contributions regarding organizing large dataset analyses and fluorescent interpretations. The authors appreciate the support of the WAIS Divide Science Coordination Office at the Desert Research Institute, Reno, NV, USA, and the University of New Hampshire, USA, for the collection and distribution of the WAIS Divide ice cores and related tasks (NSF Grants 0230396, 0440817, 0944348, and 0944266). Kendrick Taylor led the field effort that collected the samples. The NSF Division of Polar Programs also funded the Ice Drilling Program Office (IDPO) and Ice Drilling Design and Operations (IDDO) group for coring activities. We thank NICL for curation of the core, the Antarctic Support Contractor for logistics support in Antarctica, and the 109th New York Air Guard for airlift in Antarctica. Any opinions, findings, or conclusions expressed in this material are those of the authors and do not necessarily reflect the views of the NSF.</t>
  </si>
  <si>
    <t>1814-9324</t>
  </si>
  <si>
    <t>1814-9332</t>
  </si>
  <si>
    <t>CLIM PAST</t>
  </si>
  <si>
    <t>Clim. Past.</t>
  </si>
  <si>
    <t>MAY 24</t>
  </si>
  <si>
    <t>10.5194/cp-13-533-2017</t>
  </si>
  <si>
    <t>Geosciences, Multidisciplinary; Meteorology &amp; Atmospheric Sciences</t>
  </si>
  <si>
    <t>Geology; Meteorology &amp; Atmospheric Sciences</t>
  </si>
  <si>
    <t>EV8AM</t>
  </si>
  <si>
    <t>WOS:000402002700001</t>
  </si>
  <si>
    <t>Jordan, TM; Cooper, MA; Schroeder, DM; Williams, CN; Paden, JD; Siegert, MJ; Bamber, JL</t>
  </si>
  <si>
    <t>Jordan, Thomas M.; Cooper, Michael A.; Schroeder, Dustin M.; Williams, Christopher N.; Paden, John D.; Siegert, Martin J.; Bamber, Jonathan L.</t>
  </si>
  <si>
    <t>Self-affine subglacial roughness: consequences for radar scattering and basal water discrimination in northern Greenland</t>
  </si>
  <si>
    <t>CRYOSPHERE</t>
  </si>
  <si>
    <t>ANTARCTIC ICE-SHEET; SEA-LEVEL RISE; BENEATH THWAITES GLACIER; WEST ANTARCTICA; BED ROUGHNESS; STATISTICAL PROPERTIES; SPECTRAL ROUGHNESS; JAKOBSHAVN ISBRAE; EAST ANTARCTICA; SHEAR-MARGIN</t>
  </si>
  <si>
    <t>Subglacial roughness can be determined at a variety of length scales from radio-echo sounding (RES) data either via statistical analysis of topography or inferred from basal radar scattering. Past studies have demonstrated that subglacial terrain exhibits self-affine (power law) roughness scaling behaviour, but existing radar scattering models do not take this into account. Here, using RES data from northern Greenland, we introduce a self-affine statistical framework that enables a consistent integration of topographicscale roughness with the electromagnetic theory of radar scattering. We demonstrate that the degree of radar scattering, quantified using the waveform abruptness (pulse peakiness), is topographically controlled by the Hurst (roughness power law) exponent. Notably, specular bed reflections are associated with a lower Hurst exponent, with diffuse scattering associated with a higher Hurst exponent. Abrupt waveforms (specular reflections) have previously been used as a RES diagnostic for basal water, and to test this assumption we compare our radar scattering map with a recent prediction for the basal thermal state. We demonstrate that the majority of thawed regions (above pressure melting point) exhibit a diffuse scattering signature, which is in contradiction to the prior approach. Self-affine statistics provide a generalised model for subglacial terrain and can improve our understanding of the relationship between basal properties and ice-sheet dynamics.</t>
  </si>
  <si>
    <t>[Jordan, Thomas M.; Cooper, Michael A.; Williams, Christopher N.; Bamber, Jonathan L.] Univ Bristol, Sch Geog Sci, Bristol Glaciol Ctr, Bristol, Avon, England; [Schroeder, Dustin M.] Stanford Univ, Dept Geophys, Stanford, CA 94305 USA; [Paden, John D.] Univ Kansas, Ctr Remote Sensing Ice Sheets, Lawrence, KS 66045 USA; [Siegert, Martin J.] Imperial Coll, Grantham Inst, London, England; [Siegert, Martin J.] Imperial Coll, Dept Earth Sci &amp; Engn, London, England</t>
  </si>
  <si>
    <t>University of Bristol; Stanford University; University of Kansas; Imperial College London; Imperial College London</t>
  </si>
  <si>
    <t>Jordan, TM (corresponding author), Univ Bristol, Sch Geog Sci, Bristol Glaciol Ctr, Bristol, Avon, England.</t>
  </si>
  <si>
    <t>tom.jordan@bris.ac.uk</t>
  </si>
  <si>
    <t>Bamber, Jonathan/C-7608-2011; Siegert, Martin J/A-3826-2008; Siegert, Martin/M-9939-2019; Williams, Christopher/A-2723-2015; Williams, Christopher/P-4904-2015</t>
  </si>
  <si>
    <t>Bamber, Jonathan/0000-0002-2280-2819; Siegert, Martin J/0000-0002-0090-4806; Siegert, Martin/0000-0002-0090-4806; Schroeder, Dustin/0000-0003-1916-3929; Jordan, Thomas/0000-0002-2096-8858; Williams, Chris/0000-0003-1436-6479; Williams, Christopher/0000-0001-5806-9842</t>
  </si>
  <si>
    <t>UK NERC grant as part of the Basal Properties of Greenland project [NE/M000869/1]; UK NERC grant as part of the NERC Great Western Four + (GW4+) Doctoral Training Partnership [NE/L002434/1]; Natural Environment Research Council [NE/K004956/2, NE/H021078/1, NE/M000869/1, NE/H021078/2, NE/K004956/1] Funding Source: researchfish; NERC [NE/H021078/1, NE/H021078/2, NE/K004956/2, NE/K004956/1, NE/M000869/1] Funding Source: UKRI</t>
  </si>
  <si>
    <t>UK NERC grant as part of the Basal Properties of Greenland project; UK NERC grant as part of the NERC Great Western Four + (GW4+) Doctoral Training Partnership; Natural Environment Research Council(UK Research &amp; Innovation (UKRI)Natural Environment Research Council (NERC)); NERC(UK Research &amp; Innovation (UKRI)Natural Environment Research Council (NERC))</t>
  </si>
  <si>
    <t>T. M. Jordan, J. L. Bamber, and C. N. Williams were supported by UK NERC grant NE/M000869/1 as part of the Basal Properties of Greenland project. M. A. Cooper was supported by the UK NERC grant NE/L002434/1 as part of the NERC Great Western Four + (GW4+) Doctoral Training Partnership. We would like to thank Neil Ross and an anonymous reviewer for their highly constructive reviewer comments, as well as Olaf Eisen for handling our manuscript submission. We would like to thank Joseph MacGregor, NASA Goddard Space Flight Center, for kindly supplying the Greenland thermal state mask.</t>
  </si>
  <si>
    <t>1994-0416</t>
  </si>
  <si>
    <t>1994-0424</t>
  </si>
  <si>
    <t>Cryosphere</t>
  </si>
  <si>
    <t>10.5194/tc-11-1247-2017</t>
  </si>
  <si>
    <t>EV8CY</t>
  </si>
  <si>
    <t>Green Submitted, gold, Green Accepted</t>
  </si>
  <si>
    <t>WOS:000402009300001</t>
  </si>
  <si>
    <t>Edgar, GJ; Stuart-Smith, RD; Thomson, RJ; Freeman, DJ</t>
  </si>
  <si>
    <t>Edgar, Graham J.; Stuart-Smith, Rick D.; Thomson, Russell J.; Freeman, Debbie J.</t>
  </si>
  <si>
    <t>Consistent multi-level trophic effects of marine reserve protection across northern New Zealand</t>
  </si>
  <si>
    <t>PLOS ONE</t>
  </si>
  <si>
    <t>REEF HABITATS; ROCKY; FISH; KELP; PATTERNS; DENSITY; CASCADE; INVERTEBRATES; ABUNDANCE; TRENDS</t>
  </si>
  <si>
    <t>Through systematic Reef Life Survey censuses of rocky reef fishes, invertebrates and macroalgae at eight marine reserves across northern New Zealand and the Kermadec Islands, we investigated whether a system of no-take marine reserves generates consistent biodiversity outcomes. Ecological responses of reef assemblages to protection from fishing, including potential trophic cascades, were assessed using a control-impact design for the six marine reserves studied with associated reference sites, and also by comparing observations at reserve sites with predictions from random forest models that assume reserve locations are fished. Reserve sites were characterised by higher abundance and biomass of large fishes than fished sites, most notably for snapper Chrysophrys auratus, with forty-fold higher observed biomass inside relative to out. In agreement with conceptual models, significant reserve effects not only reflected direct interactions between fishing and targeted species (higher large fish biomass; higher snapper and lobster abundance), but also second order interactions (lower urchin abundance), third order interactions (higher kelp cover), and fourth order interactions (lower understory algal cover). Unexpectedly, we also found: (i) a consistent trend for higher (similar to 20%) Ecklonia cover across reserves relative to nearby fished sites regardless of lobster and urchin density, (ii) an inconsistent response of crustose coralline algae to urchin density, (iii) low cover of other understory algae in marine reserves with few urchins, and (iv) more variable fish and benthic invertebrate communities at reserve relative to fished locations. Overall, reef food webs showed complex but consistent responses to protection from fishing in well-enforced temperate New Zealand marine reserves. The small proportion of the northeastern New Zealand coastal zone located within marine reserves (similar to 0.2%) encompassed a disproportionately large representation of the full range of fish and benthic invertebrate biodiversity within this region.</t>
  </si>
  <si>
    <t>[Edgar, Graham J.; Stuart-Smith, Rick D.] Inst Marine &amp; Antarctic Studies, Hobart, Tas, Australia; [Thomson, Russell J.] Western Sydney Univ, Ctr Res Math, Parramatta Campus, Penrith, NSW, Australia; [Freeman, Debbie J.] Dept Conservat Te Papa Atawhai, Wellington, New Zealand</t>
  </si>
  <si>
    <t>University of Tasmania; Western Sydney University</t>
  </si>
  <si>
    <t>Edgar, GJ (corresponding author), Inst Marine &amp; Antarctic Studies, Hobart, Tas, Australia.</t>
  </si>
  <si>
    <t>g.edgar@utas.edu.au</t>
  </si>
  <si>
    <t>Stuart-Smith, Rick D/M-1829-2013; Edgar, Graham/AAY-3797-2020; Stuart-Smith, Rick/I-5214-2019; Thomson, Russell/H-5653-2012</t>
  </si>
  <si>
    <t>Stuart-Smith, Rick D/0000-0002-8874-0083; Edgar, Graham/0000-0003-0833-9001; Stuart-Smith, Rick/0000-0002-8874-0083; Thomson, Russell/0000-0003-4949-4120</t>
  </si>
  <si>
    <t>National Geographic Society [9223-12]; Department of Conservation, Science Investigation [4498]; Australian Research Council Linkage Grant [LP100200122]</t>
  </si>
  <si>
    <t>National Geographic Society(National Geographic Society); Department of Conservation, Science Investigation; Australian Research Council Linkage Grant(Australian Research Council)</t>
  </si>
  <si>
    <t>Field surveys were supported by National Geographic Society grant #9223-12 (http://www.nationalgeographic.com/explorers/grants-programs/cre/). Analysis of data from the New Zealand surveys was partly funded by the Department of Conservation, Science Investigation number 4498 (http://www.doc.govt.nz/), and Australian Research Council Linkage Grant LP100200122 (http://www.arc.gov.au/).; We thank Reef Life Survey divers who contributed to data collection: Peter Southwood, Andrew Green, Anna Berthelson, Bob Edgar, Charlie Bedford, Christine Kibele, Ian Shaw, Jared Kibele, Kirsten Rodgers, Paul Caiger, Richard Hughes and Sam Griffiths; Richard Taylor for assistance with local surveys; Toni Cooper, Just Berkhout and Jemina Stuart-Smith for data management and photoquadrat digitization; and Helen Curtis for producing Fig 1. Field surveys were supported by National Geographic Society grant #922312. Development of the Reef Life Survey program was facilitated by the Commonwealth Environment Research Facilities Program of the Australian Government. Analysis of data from the New Zealand surveys was partly funded by the Department of Conservation, Science Investigation number 4498, and Australian Research Council Linkage Grant LP100200122.</t>
  </si>
  <si>
    <t>PUBLIC LIBRARY SCIENCE</t>
  </si>
  <si>
    <t>SAN FRANCISCO</t>
  </si>
  <si>
    <t>1160 BATTERY STREET, STE 100, SAN FRANCISCO, CA 94111 USA</t>
  </si>
  <si>
    <t>1932-6203</t>
  </si>
  <si>
    <t>PLoS One</t>
  </si>
  <si>
    <t>e0177216</t>
  </si>
  <si>
    <t>10.1371/journal.pone.0177216</t>
  </si>
  <si>
    <t>EV8VE</t>
  </si>
  <si>
    <t>WOS:000402061500015</t>
  </si>
  <si>
    <t>Yang, X; Nedela, V; Runstuk, J; Ondrusková, G; Krausko, J; Vetráková, L; Heger, D</t>
  </si>
  <si>
    <t>Yang, Xin; Nedela, Vilem; Runstuk, Jiri; Ondruskova, Gabriela; Krausko, Jan; Vetrakova, L'ubica; Heger, Dominik</t>
  </si>
  <si>
    <t>Evaporating brine from frost flowers with electron microscopy and implications for atmospheric chemistry and sea-salt aerosol formation</t>
  </si>
  <si>
    <t>EXPERIMENTAL-COMPUTATIONAL APPROACH; AQUEOUS-SOLUTIONS; BOUNDARY-LAYER; BLOWING SNOW; SPECTROSCOPIC PROPERTIES; LOW-TEMPERATURES; OZONE DEPLETION; ICE NUCLEATION; HEXAGONAL ICE; IN-SITU</t>
  </si>
  <si>
    <t>An environmental scanning electron microscope (ESEM) was used for the first time to obtain well-resolved images, in both temporal and spatial dimensions, of lab-prepared frost flowers (FFs) under evaporation within the chamber temperature range from -5 to -18 degrees C and pressures above 500 Pa. Our scanning shows temperature-dependent NaCl speciation: the brine covering the ice was observed at all conditions, whereas the NaCl crystals were formed at temperatures below -10 degrees C as the brine oversaturation was achieved. Finger-like ice structures covered by the brine, with a diameter of several micrometres and length of tens to 100 mu m, are exposed to the ambient air. The brine-covered fingers are highly flexible and cohesive. The exposure of the liquid brine on the micrometric fingers indicates a significant increase in the brine surface area compared to that of the flat ice surface at high temperatures; the NaCl crystals formed can become sites of heterogeneous reactivity at lower temperatures. There is no evidence that, without external forces, salty FFs could automatically fall apart to create a number of sub-particles at the scale of micrometres as the exposed brine fingers seem cohesive and hard to break in the middle. The fingers tend to combine together to form large spheres and then join back to the mother body, eventually forming a large chunk of salt after complete dehydration. The present microscopic observation rationalizes several previously unexplained observations, namely, that FFs are not a direct source of sea-salt aerosols and that saline ice crystals under evapora-tion could accelerate the heterogeneous reactions of bromine liberation.</t>
  </si>
  <si>
    <t>[Yang, Xin] NERC, British Antarctic Survey, Cambridge, England; [Nedela, Vilem; Runstuk, Jiri] CAS, Inst Sci Instruments, Environm Electron Microscopy Grp, Brno, Czech Republic; [Ondruskova, Gabriela; Krausko, Jan; Vetrakova, L'ubica; Heger, Dominik] Masaryk Univ, Fac Sci, Dept Chem, Kamenice 5-A8, Brno 62500, Czech Republic; [Ondruskova, Gabriela; Krausko, Jan; Vetrakova, L'ubica; Heger, Dominik] Masaryk Univ, Res Ctr Tox Cpds Environm RECETOX, Kamenice 5-A29, Brno 62500, Czech Republic</t>
  </si>
  <si>
    <t>UK Research &amp; Innovation (UKRI); Natural Environment Research Council (NERC); NERC British Antarctic Survey; Czech Academy of Sciences; Institute of Scientific Instruments of the Czech Academy of Sciences; Masaryk University Brno; Masaryk University Brno</t>
  </si>
  <si>
    <t>Yang, X (corresponding author), NERC, British Antarctic Survey, Cambridge, England.;Heger, D (corresponding author), Masaryk Univ, Fac Sci, Dept Chem, Kamenice 5-A8, Brno 62500, Czech Republic.;Heger, D (corresponding author), Masaryk Univ, Res Ctr Tox Cpds Environm RECETOX, Kamenice 5-A29, Brno 62500, Czech Republic.</t>
  </si>
  <si>
    <t>xinyang55@bas.ac.uk; hegerd@chemi.muni.cz</t>
  </si>
  <si>
    <t>Vetráková, Ľubica/F-5040-2017; Heger, Dominik/V-4369-2019; Runštuk, Jiří/G-2216-2014; Yang, Xin/AGB-3514-2022; Heger, Dominik/H-9934-2012; /E-3565-2012</t>
  </si>
  <si>
    <t>Vetráková, Ľubica/0000-0003-3536-1706; Heger, Dominik/0000-0002-6881-8699; Yang, Xin/0000-0002-3838-9758; Heger, Dominik/0000-0002-6881-8699; /0000-0001-6029-5435</t>
  </si>
  <si>
    <t>BAS Collaboration Fund, UK; Czech Science Foundation [GA14-22777S, GA15-12386S]; Czech Ministry of Education [LO1214, LM2011028]; NERC/UK [NE/J023051/1]; NERC [bas0100032] Funding Source: UKRI</t>
  </si>
  <si>
    <t>BAS Collaboration Fund, UK; Czech Science Foundation(Grant Agency of the Czech Republic); Czech Ministry of Education(Ministry of Education, Youth &amp; Sports - Czech Republic); NERC/UK(UK Research &amp; Innovation (UKRI)Natural Environment Research Council (NERC)); NERC(UK Research &amp; Innovation (UKRI)Natural Environment Research Council (NERC))</t>
  </si>
  <si>
    <t>This work was supported by the BAS Collaboration Fund, UK, and Czech Science Foundation (GA14-22777S, GA15-12386S); the affiliated RECETOX research infrastructure is funded by projects of the Czech Ministry of Education (LO1214, LM2011028). Xin Yang gratefully acknowledge financial support from NERC/UK through project BLOWSEA (NE/J023051/1).</t>
  </si>
  <si>
    <t>MAY 23</t>
  </si>
  <si>
    <t>10.5194/acp-17-6291-2017</t>
  </si>
  <si>
    <t>EV6YR</t>
  </si>
  <si>
    <t>Green Submitted, Green Accepted, gold</t>
  </si>
  <si>
    <t>WOS:000401921300001</t>
  </si>
  <si>
    <t>Samanta, M; Ellwood, MJ; Sinoir, M; Hassler, CS</t>
  </si>
  <si>
    <t>Samanta, Moneesha; Ellwood, Michael J.; Sinoir, Marie; Hassler, Christel S.</t>
  </si>
  <si>
    <t>Dissolved zinc isotope cycling in the Tasman Sea, SW Pacific Ocean</t>
  </si>
  <si>
    <t>MARINE CHEMISTRY</t>
  </si>
  <si>
    <t>Zinc isotopes; Tasman Sea; Phytoplankton; GEOTRACES</t>
  </si>
  <si>
    <t>TRACE-METALS; ZN; PHYTOPLANKTON; CU; FRACTIONATION; CADMIUM; IRON; CD; SPECIATION; SEAWATER</t>
  </si>
  <si>
    <t>The trace metal micronutrient zinc (Zn) act as a cofactor in several essential enzymes within phytoplankton. The uptake of Zn by phytoplankton is complex and depends on the concentration and chemical speciation of dissolved Zn; both of which affect Zn bio-availability. In some parts of the surface ocean dissolved Zn concentrations are sufficiently low, in the picomolar range, to potentially limit the growth of certain phytoplankton species. Here we investigated the relationship between Zn availability and primary production using the dissolvedZn isotopic composition of samples collected across high and low productivity waters in the Tasman Sea, SW Pacific Ocean. Maximum variability in the isotope composition of dissolved Zn was observed in the upper ocean (0-200 m) at two stations where productivity was dominated by eukaryotic phytoplankton. At these stations, heavier S66Zn values tended to coincide with the chlorophyll maxima indicating preferential uptake of lighter Zn isotopes by phytoplankton.A significant correlation was obtained between the dissolved Zn isotopic composition and the relative fluorescence in the upper 200 m strengthening the observation that isotope fractionation occurs during Zn uptake by phytoplankton. Immediately below the chlorophyll maxima, the isotope composition of dissolved Zn became lighter indicating the preferential regeneration of isotopically lighter Zn from sinking particulate organic material. A seasonal change in the Zn isotope signal was observed for a north Tasman Sea station with heavier Zn isotope values appearing to be coupled to an increase in biological production during the austral autumn. Based on the biological data, the ligand data (from a companion study) and the delta Zn-66 values, we suggest that the composition of the resident phytoplankton community controls Zn isotope fractionation and Zn speciation in the upper water column for the Tasman Sea. (C) 2017 Elsevier B.V. All rights reserved.</t>
  </si>
  <si>
    <t>[Samanta, Moneesha; Ellwood, Michael J.] Australian Natl Univ, Res Sch Earth Sci, Canberra, ACT 2601, Australia; [Sinoir, Marie] CSIRO, Marine &amp; Atmospher Res Labs, GPO Box 1538, Hobart, Tas 7000, Australia; [Sinoir, Marie] Univ Tasmania, Inst Marine &amp; Antarctic Studies, Hobart, Tas 7001, Australia; [Hassler, Christel S.] Univ Geneva, Inst FA Forel, 10 Rte Suisse, CH-1290 Versoix, Switzerland</t>
  </si>
  <si>
    <t>Australian National University; Commonwealth Scientific &amp; Industrial Research Organisation (CSIRO); University of Tasmania; University of Geneva</t>
  </si>
  <si>
    <t>Samanta, M (corresponding author), Australian Natl Univ, Res Sch Earth Sci, Canberra, ACT 2601, Australia.</t>
  </si>
  <si>
    <t>moneesha.samanta@anu.edu.au; michael.ellwood@anu.edu.au</t>
  </si>
  <si>
    <t>Ellwood, Michael J/G-7390-2011</t>
  </si>
  <si>
    <t>Ellwood, Michael/0000-0003-4288-8530; Hassler, Christel/0000-0002-8976-5469; samanta, moneesha/0000-0001-8310-0696</t>
  </si>
  <si>
    <t>Australian Research Council [DP110100108]; UTS Chancellor Fellowship; Swiss National Science Foundation Fellowship [PP00P2_138955]; Swiss National Science Foundation (SNF) [PP00P2_138955] Funding Source: Swiss National Science Foundation (SNF)</t>
  </si>
  <si>
    <t>Australian Research Council(Australian Research Council); UTS Chancellor Fellowship; Swiss National Science Foundation Fellowship(Swiss National Science Foundation (SNSF)); Swiss National Science Foundation (SNF)(Swiss National Science Foundation (SNSF))</t>
  </si>
  <si>
    <t>The authors would like to thank the two anonymous reviewers for their constructive comments. We thank the following people for help with sample collection and analysis of various supporting measurements to this paper: Claire Thompson, Martina Doblin, Gabriel Shaw, Lesley, Sue Reynolds and Alicia Navidad. We also thank the Marine National Facility and the offices and crew of the RV Southern Surveyor for the PINTS and GP13 voyages. We thank Graham Mortimer and Leslie Kinsley for their help and advice. The Australian Research Council is also acknowledged for funding awarded to Ellwood and Hassler (DP110100108). Hassler was also funded by a UTS Chancellor Fellowship and a Swiss National Science Foundation Fellowship (PP00P2_138955).</t>
  </si>
  <si>
    <t>0304-4203</t>
  </si>
  <si>
    <t>1872-7581</t>
  </si>
  <si>
    <t>MAR CHEM</t>
  </si>
  <si>
    <t>Mar. Chem.</t>
  </si>
  <si>
    <t>MAY 20</t>
  </si>
  <si>
    <t>10.1016/j.marchem.2017.03.004</t>
  </si>
  <si>
    <t>Chemistry, Multidisciplinary; Oceanography</t>
  </si>
  <si>
    <t>Chemistry; Oceanography</t>
  </si>
  <si>
    <t>EY5CP</t>
  </si>
  <si>
    <t>WOS:000403995100001</t>
  </si>
  <si>
    <t>Salzmann, M</t>
  </si>
  <si>
    <t>Salzmann, Marc</t>
  </si>
  <si>
    <t>The polar amplification asymmetry: role of Antarctic surface height</t>
  </si>
  <si>
    <t>EARTH SYSTEM DYNAMICS</t>
  </si>
  <si>
    <t>ARCTIC AMPLIFICATION; TEMPERATURE FEEDBACKS; CO2 CONCENTRATION; ALBEDO FEEDBACK; CLIMATE-CHANGE; MODEL</t>
  </si>
  <si>
    <t>Previous studies have attributed an overall weaker (or slower) polar amplification in Antarctica compared to the Arctic to a weaker Antarctic surface albedo feedback and also to more efficient ocean heat uptake in the Southern Ocean in combination with Antarctic ozone depletion. Here, the role of the Antarctic surface height for meridional heat transport and local radiative feedbacks, including the surface albedo feedback, was investigated based on CO2-doubling experiments in a low-resolution coupled climate model. When Antarctica was assumed to be flat, the north-south asymmetry of the zonal mean top of the atmosphere radiation budget was notably reduced. Doubling CO2 in a flat Antarctica (flat AA) model setup led to a stronger increase in southern hemispheric poleward atmospheric and oceanic heat transport compared to the base model setup. Based on partial radiative perturbation (PRP) computations, it was shown that local radiative feedbacks and an increase in the CO2 forcing in the deeper atmospheric column also contributed to stronger Antarctic warming in the flat AA model setup, and the roles of the individual radiative feedbacks are discussed in some detail. A considerable fraction (between 24 and 80% for three consecutive 25-year time slices starting in year 51 and ending in year 126 after CO2 doubling) of the polar amplification asymmetry was explained by the difference in surface height, but the fraction was subject to transient changes and might to some extent also depend on model uncertainties. In order to arrive at a more reliable estimate of the role of land height for the observed polar amplification asymmetry, additional studies based on ensemble runs from higher-resolution models and an improved model setup with a more realistic gradual increase in the CO2 concentration are required.</t>
  </si>
  <si>
    <t>[Salzmann, Marc] Univ Leipzig, Inst Meteorol, Vor Hosp Tore 1, D-04103 Leipzig, Germany</t>
  </si>
  <si>
    <t>Leipzig University</t>
  </si>
  <si>
    <t>Salzmann, M (corresponding author), Univ Leipzig, Inst Meteorol, Vor Hosp Tore 1, D-04103 Leipzig, Germany.</t>
  </si>
  <si>
    <t>marc.salzmann@uni-leipzig.de</t>
  </si>
  <si>
    <t>amplification, ³ - Arctic/AAU-6640-2020; Salzmann, Marc/N-2229-2014; Keyes, Dennis/AAZ-9285-2021</t>
  </si>
  <si>
    <t>Salzmann, Marc/0000-0002-3987-2303;</t>
  </si>
  <si>
    <t>National Science Foundation (NSF); U.S. Department of Energy (DOE); German Research Foundation (DFG) [TRR 172, INST 268/331-1]</t>
  </si>
  <si>
    <t>National Science Foundation (NSF)(National Science Foundation (NSF)); U.S. Department of Energy (DOE)(United States Department of Energy (DOE)); German Research Foundation (DFG)(German Research Foundation (DFG))</t>
  </si>
  <si>
    <t>I would like to thank the reviewers, Timothy W. Cronin and Felix Pithan, for many insightful and constructive comments and I would like to thank the developers of the CESM and the NASA CERES teams at the NASA Langley Science Directorate. The CESM is maintained by the Climate and Global Dynamics Laboratory (CGD) at the National Center for Atmospheric Research (NCAR) and is sponsored by the National Science Foundation (NSF) and the U.S. Department of Energy (DOE). I would also like to thank Johannes Mulmenstadt, Johannes Quaas, and several other colleagues for useful discussions. I am especially grateful for support from the German Research Foundation (DFG) in TRR 172 ArctiC Amplification: Climate Relevant Atmospheric and SurfaCe Processes, and Feedback Mechanisms, (AC)3, sub-project E01 Assessment of Arctic feedback processes in climate models (INST 268/331-1).</t>
  </si>
  <si>
    <t>2190-4979</t>
  </si>
  <si>
    <t>2190-4987</t>
  </si>
  <si>
    <t>EARTH SYST DYNAM</t>
  </si>
  <si>
    <t>Earth Syst. Dynam.</t>
  </si>
  <si>
    <t>MAY 18</t>
  </si>
  <si>
    <t>10.5194/esd-8-323-2017</t>
  </si>
  <si>
    <t>EV3HD</t>
  </si>
  <si>
    <t>WOS:000401648600001</t>
  </si>
  <si>
    <t>Sáez, PL; Bravo, LA; Cavieres, LA; Vallejos, V; Sanhueza, C; Font-Carrascosa, M; Gil-Pelegrín, E; Peguero-Pina, JJ; Galmés, J</t>
  </si>
  <si>
    <t>Saez, Patricia L.; Bravo, Leon A.; Cavieres, Lohengrin A.; Vallejos, Valentina; Sanhueza, Carolina; Font-Carrascosa, Marcel; Gil-Pelegrin, Eustaquio; Javier Peguero-Pina, Jose; Galmes, Jeroni</t>
  </si>
  <si>
    <t>Photosynthetic limitations in two Antarctic vascular plants: importance of leaf anatomical traits and Rubisco kinetic parameters</t>
  </si>
  <si>
    <t>Antarctic plants; leaf traits; mesophyll conductance; photosynthesis; Rubisco; temperature.</t>
  </si>
  <si>
    <t>MESOPHYLL DIFFUSION CONDUCTANCE; CO2 TRANSFER CONDUCTANCE; TEMPERATURE RESPONSES; CARBOXYLASE OXYGENASE; INTERNAL CONDUCTANCE; CATALYTIC-PROPERTIES; SPINACH LEAVES; SHADE LEAVES; C-3; SPECIFICITY</t>
  </si>
  <si>
    <t>Particular physiological traits allow the vascular plants Deschampsia antarctica Desv. and Colobanthus quitensis (Kunth) Bartl. to inhabit Antarctica. The photosynthetic performance of these species was evaluated in situ, focusing on diffusive and biochemical constraints to CO2 assimilation. Leaf gas exchange, Chl a fluorescence, leaf ultrastructure, and Rubisco catalytic properties were examined in plants growing on King George and Lagotellerie islands. In spite of the species- and population-specific effects of the measurement temperature on the main photosynthetic parameters, CO2 assimilation was highly limited by CO2 diffusion. In particular, the mesophyll conductance (g(m))-estimated from both gas exchange and leaf chlorophyll fluorescence and modeled from leaf anatomy-was remarkably low, restricting CO2 diffusion and imposing the strongest constraint to CO2 acquisition. Rubisco presented a high specificity for CO2 as determined in vitro, suggesting a tight co-ordination between CO2 diffusion and leaf biochemistry that may be critical ultimately to optimize carbon balance in these species. Interestingly, both anatomical and biochemical traits resembled those described in plants from arid environments, providing a new insight into plant functional acclimation to extreme conditions. Understanding what actually limits photosynthesis in these species is important to anticipate their responses to the ongoing and predicted rapid warming in the Antarctic Peninsula.</t>
  </si>
  <si>
    <t>[Saez, Patricia L.; Vallejos, Valentina] Univ Concepcion, Lab Cult Tejidos Vegetales, Ctr Biotecnol, Dept Silvicultura,Fac Ciencias Forestalaes, Concepcion, Chile; [Bravo, Leon A.] Univ La Frontera, Lab Fisiol &amp; Biol Mol Vegetal,Sci &amp; Technol Biore, Dept Ciencias Agron &amp; Recursos Nat,Inst Agroind, Fac Ciencias Agr &amp; Forestales,Ctr Plant Soil Inte, Temuco, Chile; [Cavieres, Lohengrin A.; Sanhueza, Carolina] Univ Concepcion, Lab ECOBIOSIS, Dept Bot, Fac Ciencias Nat &amp; Oceanog, Barrio Univ S-N, Concepcion, Chile; [Font-Carrascosa, Marcel; Galmes, Jeroni] Univ Illes Balears, INAGEA, Res Grp Plant Biol Mediterranean Condit, Balearic Isl, Spain; [Gil-Pelegrin, Eustaquio; Javier Peguero-Pina, Jose] Ctr Invest &amp; Tecnol Agroalimentaria, Unidad Recursos Forestales, Zaragoza 50059, Spain</t>
  </si>
  <si>
    <t>Universidad de Concepcion; Universidad de La Frontera; Universidad de Concepcion; Universitat de les Illes Balears</t>
  </si>
  <si>
    <t>Sáez, PL (corresponding author), Univ Concepcion, Lab Cult Tejidos Vegetales, Ctr Biotecnol, Dept Silvicultura,Fac Ciencias Forestalaes, Concepcion, Chile.</t>
  </si>
  <si>
    <t>patrisaez@udec.cl</t>
  </si>
  <si>
    <t>Peguero-Pina, José Javier/M-4494-2014; Galmés, Jeroni/J-6749-2017; Gil-Pelegrín, Eustaquio/M-5129-2014; Sanhueza, Carolina/AAG-7456-2019; Cavieres, Lohengrin A./A-9542-2010; Sanhueza, Carolina/JQW-9959-2023; Bravo, Leon/H-9251-2018; Bravo, León/AAO-8437-2020</t>
  </si>
  <si>
    <t>Peguero-Pina, José Javier/0000-0002-8903-2935; Galmés, Jeroni/0000-0002-7299-9349; Gil-Pelegrín, Eustaquio/0000-0002-4053-6681; Sanhueza, Carolina/0000-0002-1564-2490; Cavieres, Lohengrin A./0000-0001-9122-3020; Bravo, Leon/0000-0003-4705-4842; Bravo, León/0000-0003-4705-4842; Saez, Patricia L./0000-0002-8594-7329</t>
  </si>
  <si>
    <t>National Fund for Scientific and Technological Development [FONDECYT 11130332]; Associative Research Program of CONICYT [CONICYT-PIA ART-1102]; Chilean Antarctic Institute [INACH AN-02-12, FI_02-13]; Spanish Ministry of Science and Innovation [AGL2009-07999, AGL2013-42364R]; FICM - Institute of Ecology and Biodiversity (IEB) [P05-02, PFB-023]</t>
  </si>
  <si>
    <t>National Fund for Scientific and Technological Development(Comision Nacional de Investigacion Cientifica y Tecnologica (CONICYT)CONICYT FONDECYT); Associative Research Program of CONICYT; Chilean Antarctic Institute; Spanish Ministry of Science and Innovation(Spanish Government); FICM - Institute of Ecology and Biodiversity (IEB)</t>
  </si>
  <si>
    <t>This research was funded by The National Fund for Scientific and Technological Development (FONDECYT 11130332), The Associative Research Program of CONICYT (CONICYT-PIA ART-1102), The Chilean Antarctic Institute (INACH AN-02-12 and FI_02-13), and the Spanish Ministry of Science and Innovation (AGL2009-07999 and AGL2013-42364R awarded to JG). LAC acknowledge funds from FICM P05-02 and PFB-023 supporting the Institute of Ecology and Biodiversity (IEB). The authors thank Dr Charles L. Guy (University of Florida) for English editing and help with grammar. Permits for entrance and plant collection in the ASPA 128 and 115 were provided by INACH.</t>
  </si>
  <si>
    <t>MAY 17</t>
  </si>
  <si>
    <t>10.1093/jxb/erx148</t>
  </si>
  <si>
    <t>FA6UF</t>
  </si>
  <si>
    <t>WOS:000405579100020</t>
  </si>
  <si>
    <t>Sigler, MF; Gende, SM; Csepp, DJ</t>
  </si>
  <si>
    <t>Sigler, Michael F.; Gende, Scott M.; Csepp, David J.</t>
  </si>
  <si>
    <t>Association of foraging Steller sea lions with persistent prey hot spots in southeast Alaska</t>
  </si>
  <si>
    <t>Steller sea lions; Herring; Hot spot persistence; Foraging effort</t>
  </si>
  <si>
    <t>ANTARCTIC FUR SEALS; EUMETOPIAS-JUBATUS; MARINE PREDATOR; SPATIAL-DISTRIBUTION; NUTRITIONAL STRESS; BODY-MASS; ABUNDANCE; PREDICTABILITY; BEHAVIOR; FEMALE</t>
  </si>
  <si>
    <t>Understanding how air-breathing marine vertebrates find and utilize prey provides insight into their foraging mechanisms and ultimately their population productivity and trends. Utilization depends on their ability to locate areas where productive foraging conditions exist. We quantified the abundance of forage fish in southeast Alaska during acoustic surveys between October and April to improve our understanding of Steller sea lion Eumetopias jubatus foraging behavior. Energy densities (millions kJ km(-2)) of forage fish were orders of magnitude greater between November and February due to the presence of large schools of Pacific herring Clupea pallasi. Herring schools were highly aggregated, although the location of these aggregations shifted southward from November to April. Thus, a productive foraging area in one month did not necessarily equate to a productive area in the next month. However, by surveying on successive days and weeks, we found that herring aggregations persisted at shorter time scales. When the study area was partitioned into 1 x 1 km blocks, the day-to-day abundance of prey within a block was highly correlated with prey abundance the following day (correlation coefficient, r = 0.75, p &lt; 0.001) and with prey abundance for the following week (r = 0.55, p &lt; 0.001). More importantly, the persistence of these prey hot spots was an important characteristic in determining whether foraging sea lions utilized them. The odds of observing a foraging sea lion were about 1 in 3 for locations where prey hot spots were persistent. The persistence of these hot spots allowed predators to predict their locations and concentrate search efforts accordingly.</t>
  </si>
  <si>
    <t>[Sigler, Michael F.; Csepp, David J.] Natl Marine Fisheries Serv, NOAA, Alaska Fisheries Sci Ctr, 17109 Point Lena Loop Rd, Juneau, AK 99801 USA; [Gende, Scott M.] Natl Pk Serv, Glacier Bay Field Stn, 3100 Natl Pk Rd, Juneau, AK 99801 USA</t>
  </si>
  <si>
    <t>National Aeronautics &amp; Space Administration (NASA); National Oceanic Atmospheric Admin (NOAA) - USA; United States Department of the Interior</t>
  </si>
  <si>
    <t>Sigler, MF (corresponding author), Natl Marine Fisheries Serv, NOAA, Alaska Fisheries Sci Ctr, 17109 Point Lena Loop Rd, Juneau, AK 99801 USA.</t>
  </si>
  <si>
    <t>mike.sigler@noaa.gov</t>
  </si>
  <si>
    <t>Auke Bay Laboratories; National Marine Fisheries Service; NOAA</t>
  </si>
  <si>
    <t>Auke Bay Laboratories; National Marine Fisheries Service; NOAA(National Oceanic Atmospheric Admin (NOAA) - USA)</t>
  </si>
  <si>
    <t>We thank J. J. Vollenweider and Jamie Womble for their assistance in the field and Captain John Etheridge of the FV 'Sea View' and Captain Wade Loofburrow and the crew of the RV 'Medeia'. We also thank Lowell Fritz, George Hunt, Chris Rooper, Jamie Womble, and 2 anonymous reviewers for reviewing the manuscript, and Franz Mueter for advice on statistical analyses. This work was supported by funding through the Auke Bay Laboratories, National Marine Fisheries Service, NOAA.</t>
  </si>
  <si>
    <t>10.3354/meps12145</t>
  </si>
  <si>
    <t>EV5JG</t>
  </si>
  <si>
    <t>WOS:000401800100018</t>
  </si>
  <si>
    <t>Kallenberg, B; Tregoning, P; Hoffmann, JF; Hawkins, R; Purcell, A; Allgeyer, S</t>
  </si>
  <si>
    <t>Kallenberg, Bianca; Tregoning, Paul; Hoffmann, Janosch Fabian; Hawkins, Rhys; Purcell, Anthony; Allgeyer, Sebastien</t>
  </si>
  <si>
    <t>A new approach to estimate ice dynamic rates using satellite observations in East Antarctica</t>
  </si>
  <si>
    <t>SHEET MASS-BALANCE; GRAVITY-FIELD; MODEL; DENSIFICATION; GRACE; FIRN</t>
  </si>
  <si>
    <t>Mass balance changes of the Antarctic ice sheet are of significant interest due to its sensitivity to climatic changes and its contribution to changes in global sea level. While regional climate models successfully estimate mass input due to snowfall, it remains difficult to estimate the amount of mass loss due to ice dynamic processes. It has often been assumed that changes in ice dynamic rates only need to be considered when assessing long-term ice sheet mass balance; however, 2 decades of satellite altimetry observations reveal that the Antarctic ice sheet changes unexpectedly and much more dynamically than previously expected. Despite available estimates on ice dynamic rates obtained from radar altimetry, information about ice sheet changes due to changes in the ice dynamics are still limited, especially in East Antarctica. Without understanding ice dynamic rates, it is not possible to properly assess changes in ice sheet mass balance and surface elevation or to develop ice sheet models. In this study we investigate the possibility of estimating ice sheet changes due to ice dynamic rates by removing modelled rates of surface mass balance, firn compaction, and bedrock uplift from satellite altimetry and gravity observations. With similar rates of ice discharge acquired from two different satellite missions we show that it is possible to obtain an approximation of the rate of change due to ice dynamics by combining altimetry and gravity observations. Thus, surface elevation changes due to surface mass balance, firn compaction, and ice dynamic rates can be modelled and correlated with observed elevation changes from satellite altimetry.</t>
  </si>
  <si>
    <t>[Kallenberg, Bianca; Tregoning, Paul; Hawkins, Rhys; Purcell, Anthony; Allgeyer, Sebastien] Australian Natl Univ, Res Sch Earth Sci, Canberra, ACT 0200, Australia; [Hoffmann, Janosch Fabian] EarthX, 55 Pk Lane,Suit 8, London W1K 1NA, England</t>
  </si>
  <si>
    <t>Australian National University</t>
  </si>
  <si>
    <t>Kallenberg, B (corresponding author), Australian Natl Univ, Res Sch Earth Sci, Canberra, ACT 0200, Australia.</t>
  </si>
  <si>
    <t>bianca.kallenberg@anu.edu.au</t>
  </si>
  <si>
    <t>Hawkins, Rhys P/C-3561-2017; Tregoning, Paul/N-4842-2018; Allgeyer, Sebastien/T-2716-2019</t>
  </si>
  <si>
    <t>Hawkins, Rhys P/0000-0001-7295-6691; Tregoning, Paul/0000-0001-7192-5391; Allgeyer, Sebastien/0000-0003-4864-0181; Purcell, Anthony/0000-0001-5289-3902</t>
  </si>
  <si>
    <t>Australian Antarctic Project grant [AAP4160]</t>
  </si>
  <si>
    <t>Australian Antarctic Project grant</t>
  </si>
  <si>
    <t>This work was supported in part by an Australian Antarctic Project grant (number AAP4160).</t>
  </si>
  <si>
    <t>10.5194/tc-11-1235-2017</t>
  </si>
  <si>
    <t>EV1DK</t>
  </si>
  <si>
    <t>WOS:000401486300001</t>
  </si>
  <si>
    <t>Howell, NR; Lavers, JL; Uematsu, S; Paterson, D; Howard, DL; Spiers, K; de Jonge, MD; Hanley, T; Garrett, R; Banati, RB</t>
  </si>
  <si>
    <t>Howell, Nicholas R.; Lavers, Jennifer L.; Uematsu, Sayaka; Paterson, David; Howard, Daryl L.; Spiers, Kathryn; de Jonge, Martin D.; Hanley, Tracey; Garrett, Richard; Banati, Richard B.</t>
  </si>
  <si>
    <t>The Topobiology of Chemical Elements in Seabird Feathers</t>
  </si>
  <si>
    <t>METALS; INTEGUMENTS; COPPER; ZINC</t>
  </si>
  <si>
    <t>The highly organized morphogenesis of bird feathers holds important phylo-and ontogenetic information on the evolution of birds, organogenesis, tissue regeneration, and the health status of individual animals. Altered topobiological patterns are regularly used as retrospective evidence for disturbed developmental trajectories due to the past exposure to environmental stressors. Using the most advanced high-resolution (5-70 mu m) X-ray fluorescence microscopy (XFM), we describe in the feathers from three species of Procellariiformes hitherto unknown, depositions of elements (Zn, Ca, Br, Cu, Fe) that are independent of pigmentation or any underlying variation in density or polymer structure. In the case of Zn, the pattern across several species of Procellariiformes, but not other species, consisted of highly regular bands of Zn numbering 30-32, which may reflect the estimated number of days of active feather growth or the duration of the moult period. Thus, speculatively, the highly consistent Zn pattern might be the result of a so far unknown diurnal systemic regulation rather than local heterogeneity amongst the follicular stem cells.</t>
  </si>
  <si>
    <t>[Howell, Nicholas R.; Hanley, Tracey; Garrett, Richard; Banati, Richard B.] Australian Nucl Sci &amp; Technol Org, Lucas Heights, Australia; [Lavers, Jennifer L.] Univ Tasmania, Inst Marine &amp; Antarctic Studies, Hobart, Tas, Australia; [Uematsu, Sayaka] James Cook Univ, Cairns, Australia; [Uematsu, Sayaka] NRDA Asia, Tokyo, Japan; [Paterson, David; Howard, Daryl L.; Spiers, Kathryn; de Jonge, Martin D.; Garrett, Richard] Australian Synchrotron, Melbourne, Vic, Australia; [Banati, Richard B.] Univ Sydney, Fac Hlth Sci, BMC, Natl Imaging Facil, Sydney, NSW, Australia</t>
  </si>
  <si>
    <t>Australian Nuclear Science &amp; Technology Organisation; University of Tasmania; James Cook University; University of Sydney</t>
  </si>
  <si>
    <t>Howell, NR; Banati, RB (corresponding author), Australian Nucl Sci &amp; Technol Org, Lucas Heights, Australia.;Lavers, JL (corresponding author), Univ Tasmania, Inst Marine &amp; Antarctic Studies, Hobart, Tas, Australia.;Banati, RB (corresponding author), Univ Sydney, Fac Hlth Sci, BMC, Natl Imaging Facil, Sydney, NSW, Australia.</t>
  </si>
  <si>
    <t>nicholas.howell@ansto.gov.au; jennifer.lavers@utas.edu.au; richard.banati@ansto.gov.au</t>
  </si>
  <si>
    <t>Howell, Nicholas/HZL-4297-2023; Lavers, Jennifer/IWM-5417-2023; Lavers, Jennifer/O-4831-2017; Hanley, Tracey L/B-4556-2010; de Jonge, Martin D/C-3400-2011; Howard, Daryl/E-9107-2013</t>
  </si>
  <si>
    <t>Lavers, Jennifer/0000-0001-7596-6588; Hanley, Tracey/0000-0002-9702-5743; Howell, Nicholas/0000-0003-3703-7598; Uematsu, Sayaka/0000-0002-7643-0993; Howard, Daryl/0000-0001-6071-2382</t>
  </si>
  <si>
    <t>Australian Synchrotron; ANSTO-Monash; Trading Consultants Ltd; W.V. Scott Charitable Trust; WWF Japan; NRDA Asia</t>
  </si>
  <si>
    <t>This research was undertaken on the X-ray Fluorescence Microscopy (XFM) beam line at the Australian Synchrotron, Victoria, Australia. Funding for this project was provided by the Australian Synchrotron, ANSTO-Monash collaborative research seed funding, Trading Consultants Ltd (V. Wellington), W.V. Scott Charitable Trust, WWF Japan, and NRDA Asia. I. Hutton, Y. Nakamura, A. Takemoto, M. Shirai, and K. Uematsu provided valuable assistance in the field. Samples were collected with the permission of the Lord Howe Island Board and Ministry of the Environment, Government of Japan under the approval of James Cook University and University of Tasmania Animal Ethics Committees (A1815 and A0010874). We thank Alex Bond for advice and critique (RSPB Centre for Conservation Science, Royal Society for the Protection of Birds).</t>
  </si>
  <si>
    <t>10.1038/s41598-017-01878-y</t>
  </si>
  <si>
    <t>EV1MS</t>
  </si>
  <si>
    <t>WOS:000401511100005</t>
  </si>
  <si>
    <t>Stansell, ND; Licciardi, JM; Rodbell, DT; Mark, BG</t>
  </si>
  <si>
    <t>Stansell, Nathan D.; Licciardi, Joseph M.; Rodbell, Donald T.; Mark, Bryan G.</t>
  </si>
  <si>
    <t>Tropical ocean-atmospheric forcing of Late Glacial and Holocene glacier fluctuations in the Cordillera Blanca, Peru</t>
  </si>
  <si>
    <t>Antarctic cold reversal; early Holocene; latest Holocene; cosmogenic dating; radiocarbon; lake sediments</t>
  </si>
  <si>
    <t>ANDEAN GLACIERS; ICE-CORE; CLIMATE; AGE; RECORDS; BE-10; VARIABILITY; CALIBRATION; HISTORY; RATES</t>
  </si>
  <si>
    <t>Evaluating the timing and style of past glacier fluctuations in the tropical Andes is important for our scientific understanding of global environmental change. Terrestrial cosmogenic nuclide ages on moraine boulders combined with C-14-dated clastic sediment records from alpine lakes document glacial variability in the Cordillera Blanca of Peru during the last similar to 16ka. Late Glacial ice extents culminated at the start of the Antarctic Cold Reversal and began retracting prior to the Younger Dryas. Multiple moraine crests dating to the early Holocene mark brief readvances or stillstands that punctuated overall retreat of the Queshque Valley glacier terminus during this interval. Glaciers were less extensive during the middle Holocene before readvancing during the latest Holocene. These records suggest that tropical Atlantic and Pacific ocean-atmospheric processes exerted temporally variable forcing of Late Glacial and Holocene glacial changes in the Peruvian Andes.</t>
  </si>
  <si>
    <t>[Stansell, Nathan D.] Northern Illinois Univ, Geol &amp; Environm Geosci, De Kalb, IL 60115 USA; [Licciardi, Joseph M.] Univ New Hampshire, Earth Sci, Durham, NH 03824 USA; [Rodbell, Donald T.] Union Coll, Dept Geol, New York, NY USA; [Mark, Bryan G.] Ohio State Univ, Columbus, OH 43210 USA</t>
  </si>
  <si>
    <t>Northern Illinois University; University System Of New Hampshire; University of New Hampshire; Union College; University System of Ohio; Ohio State University</t>
  </si>
  <si>
    <t>Stansell, ND (corresponding author), Northern Illinois Univ, Geol &amp; Environm Geosci, De Kalb, IL 60115 USA.</t>
  </si>
  <si>
    <t>nstansell@niu.edu</t>
  </si>
  <si>
    <t>/AAD-1453-2020; Mark, Bryan/AAD-6137-2022; Mark, Bryan G./HMD-9537-2023</t>
  </si>
  <si>
    <t>/0000-0002-4500-7957; Mark, Bryan G./0000-0002-4500-7957</t>
  </si>
  <si>
    <t>NSF [EAR-1003711, EAR-1003780, EAR-1344476]; Keck Geology Consortium</t>
  </si>
  <si>
    <t>NSF(National Science Foundation (NSF)); Keck Geology Consortium</t>
  </si>
  <si>
    <t>We thank Daniel Bain, Matthew Finkenbinder, Taylor Hodgdon, Lizz Huss, and David Pompeani for laboratory assistance; Julie Daniels, David Gillikin, Jacob Feller, Alia Payne, Nick Weidhaas, and Gabriella Rodbell for field assistance; and Joerg Schaefer for providing low-level 9Be carrier. Funding was provided by NSF (EAR-1003711, EAR-1003780, and EAR-1344476), and further support by the Keck Geology Consortium. The lake sediment data are archived at https://www1.ncdc.noaa.gov/pub/data/paleo/paleolimnology/southamerica/peru/. The cosmogenic nuclide data are in the supporting information. The authors claim no conflicts of interest.</t>
  </si>
  <si>
    <t>MAY 16</t>
  </si>
  <si>
    <t>10.1002/2016GL072408</t>
  </si>
  <si>
    <t>EV9YL</t>
  </si>
  <si>
    <t>WOS:000402143700026</t>
  </si>
  <si>
    <t>Borstad, C; McGrath, D; Pope, A</t>
  </si>
  <si>
    <t>Borstad, Chris; McGrath, Daniel; Pope, Allen</t>
  </si>
  <si>
    <t>Fracture propagation and stability of ice shelves governed by ice shelf heterogeneity</t>
  </si>
  <si>
    <t>ice shelf; remote sensing; data assimilation; ice sheet modeling; fracture propagation; glaciology</t>
  </si>
  <si>
    <t>RIFT PROPAGATION; BASAL CREVASSES; ANTARCTICA; SURFACE; BREAKUP; FLOW</t>
  </si>
  <si>
    <t>Tabular iceberg calving and ice shelf retreat occurs after full-thickness fractures, known as rifts, propagate across an ice shelf. A quickly evolving rift signals a threat to the stability of Larsen C, the Antarctic Peninsula's largest ice shelf. Here we reveal the influence of ice shelf heterogeneity on the growth of this rift, with implications that challenge existing notions of ice shelf stability. Most of the rift extension has occurred in bursts after overcoming the resistance of suture zones that bind together neighboring glacier inflows. We model the stresses in the ice shelf to determine potential rift trajectories. Calving perturbations to ice flow will likely reach the grounding line. The stability of Larsen C may hinge on a single suture zone that stabilizes numerous upstream rifts. Elevated fracture toughness of suture zones may be the most important property that allows ice shelves to modulate Antarctica's contribution to sea level rise. Plain Language Summary The Larsen C Ice Shelf is the largest floating mass of glacier ice attached to the Antarctic Peninsula. A giant crack began growing across the ice shelf in 2014. By the end of 2016, the crack has grown in length by over 70km. Sometime in the near future, it will release an iceberg the size of Delaware. Some scientists believe that this will be just the first in a series of cracks that may soon cause the ice shelf to shatter, just like its neighbor Larsen B in 2002. We studied this crack using satellite data from the years 2005 through 2016. We found that the crack grows in bursts, and it slows down when it reaches patches of stronger ice. We use a computer model to predict what direction the crack will grow. After the crack releases a giant iceberg, most of the remaining ice will speed up. Whether the ice shelf survives or soon shatters depends on a single, narrow stripe of strong ice that is currently preventing many additional cracks from growing across the ice shelf. If this stripe of strong ice is growing weaker, Larsen C may soon be history.</t>
  </si>
  <si>
    <t>[Borstad, Chris] Univ Ctr Svalbard, Dept Arctic Geophys, Longyearbyen, Norway; [McGrath, Daniel] Colorado State Univ, Dept Geosci, Ft Collins, CO 80523 USA; [McGrath, Daniel] US Geol Survey, Alaska Sci Ctr, Anchorage, AK USA; [Pope, Allen] Univ Colorado, Cooperat Inst Res Environm Sci, Natl Snow &amp; Ice Data Ctr, Boulder, CO 80309 USA; [Pope, Allen] Univ Washington, Appl Phys Lab, Polar Sci Ctr, Seattle, WA 98105 USA</t>
  </si>
  <si>
    <t>University Centre Svalbard (UNIS); Colorado State University; United States Department of the Interior; United States Geological Survey; University of Colorado System; University of Colorado Boulder; University of Washington; University of Washington Seattle</t>
  </si>
  <si>
    <t>Borstad, C (corresponding author), Univ Ctr Svalbard, Dept Arctic Geophys, Longyearbyen, Norway.</t>
  </si>
  <si>
    <t>chris.borstad@unis.no</t>
  </si>
  <si>
    <t>MCGRATH, DANIEL/0000-0002-9462-6842; Pope, Allen/0000-0001-9699-7500; Borstad, Christopher/0000-0001-6992-1770</t>
  </si>
  <si>
    <t>USGS [G12PC00066]</t>
  </si>
  <si>
    <t>USGS(United States Geological Survey)</t>
  </si>
  <si>
    <t>We thank Ted Scambos, Rick Aster, Paul Holland, Martin O'Leary, Karen Alley, and two anonymous reviewers for their valuable comments. Paul Holland provided the Larsen C suture zone definitions. Thanks to the data providers, including the National Snow and Ice Data Center which provides freely available image velocity maps derived from Landsat 8 using PyCorr for Larsen C and all other glacier ice on the planet (https://nsidc.org/data/golive). Any use of trade, firm, or product names is for descriptive purposes only and does not imply endorsement by the U.S. Government. A. Pope was supported by USGS contract G12PC00066. Workflow and code for the velocity processing is publicly available [Pope, 2016]. The source code for the model used in this study, the Ice Sheet System Model (ISSM), is freely available at issm.jpl.nasa.gov. Version 4.11 of ISSM, svn revision 21205, was used in this study. The input files and data necessary to reproduce the results using ISSM are available from the authors upon request (chris.borstad@unis.no).</t>
  </si>
  <si>
    <t>10.1002/2017GL072648</t>
  </si>
  <si>
    <t>WOS:000402143700027</t>
  </si>
  <si>
    <t>Van De Vijver, B; Le Cohu, R</t>
  </si>
  <si>
    <t>Van De Vijver, Bart; Le Cohu, Rene</t>
  </si>
  <si>
    <t>Diatomella colonialis, a new diatom species (Bacillariophyta) from the sub-Antarctic Region</t>
  </si>
  <si>
    <t>PHYTOTAXA</t>
  </si>
  <si>
    <t>sub-Antarctica; Kerguelen; Diatomella; new species; colony formation</t>
  </si>
  <si>
    <t>GENERA</t>
  </si>
  <si>
    <t>During a survey of the freshwater diatom flora of the sub-Antarctic Kerguelen archipelago in the southern Indian Ocean, an unknown Diatomella taxon was observed forming long colonies using linking spines. Detailed morphological analysis based on light and scanning electron microscopical observations and comparison with all known Diatomella taxa worldwide justified the description of this unknown taxon as a new species: Diatomella colonialis sp. nov. The new taxon is characterized by the presence of marginal linking spines, the reduction of its raphe structure leaving only two short raphe slits near the apices, a very large axial area occupying almost the entire valve face and very short alveolate striae composed of paired areolae. The presence of these alveolate striae and the girdle structure with its typical scalariform valvocopula place this taxon in the genus Diatomella. The new species is described and compared with other Diatomella taxa. Notes on its distribution and ecology are added.</t>
  </si>
  <si>
    <t>[Van De Vijver, Bart] Bot Garden Meise, Dept Bryophyta &amp; Thallophyta, Nieuwelaan 38, B-1860 Meise, Belgium; [Van De Vijver, Bart] Univ Antwerp, Dept Biol, ECOBE, Univ Pl 1, B-2610 Antwerp, Belgium; [Le Cohu, Rene] Univ Toulouse, ECOLAB, 118 Route Narbonne, F-31062 Toulouse, France</t>
  </si>
  <si>
    <t>University of Antwerp; Universite de Toulouse; Universite Federale Toulouse Midi-Pyrenees (ComUE); Universite Toulouse III - Paul Sabatier; Institut National Polytechnique de Toulouse; Centre National de la Recherche Scientifique (CNRS)</t>
  </si>
  <si>
    <t>Van De Vijver, B (corresponding author), Bot Garden Meise, Dept Bryophyta &amp; Thallophyta, Nieuwelaan 38, B-1860 Meise, Belgium.;Van De Vijver, B (corresponding author), Univ Antwerp, Dept Biol, ECOBE, Univ Pl 1, B-2610 Antwerp, Belgium.</t>
  </si>
  <si>
    <t>bart.vandevijver@plantentuinmeise.be</t>
  </si>
  <si>
    <t>MAGNOLIA PRESS</t>
  </si>
  <si>
    <t>AUCKLAND</t>
  </si>
  <si>
    <t>PO BOX 41383, AUCKLAND, ST LUKES 1030, NEW ZEALAND</t>
  </si>
  <si>
    <t>1179-3155</t>
  </si>
  <si>
    <t>1179-3163</t>
  </si>
  <si>
    <t>Phytotaxa</t>
  </si>
  <si>
    <t>10.11646/phytotaxa.306.4.4</t>
  </si>
  <si>
    <t>EV7IX</t>
  </si>
  <si>
    <t>WOS:000401950200004</t>
  </si>
  <si>
    <t>Lacap-Bugler, DC; Lee, KK; Archer, S; Gillman, LN; Lau, MCY; Leuzinger, S; Lee, CK; Maki, T; McKay, CP; Perrott, JK; de los Rios-Murillo, A; Warren-Rhodes, KA; Hopkins, DW; Pointing, SB</t>
  </si>
  <si>
    <t>Lacap-Bugler, Donnabella C.; Lee, Kevin K.; Archer, Stephen; Gillman, Len N.; Lau, Maggie C. Y.; Leuzinger, Sebastian; Lee, Charles K.; Maki, Teruya; McKay, Christopher P.; Perrott, John K.; de los Rios-Murillo, Asuncion; Warren-Rhodes, Kimberley A.; Hopkins, David W.; Pointing, Stephen B.</t>
  </si>
  <si>
    <t>Global Diversity of Desert Hypolithic Cyanobacteria</t>
  </si>
  <si>
    <t>FRONTIERS IN MICROBIOLOGY</t>
  </si>
  <si>
    <t>biogeography; cyanobacteria; desert; dryland; hypolith</t>
  </si>
  <si>
    <t>MICROBIAL COMMUNITIES; ENVIRONMENTAL GRADIENTS; DRY VALLEY; CHINA HOT; ECOLOGY; PHOTOAUTOTROPHS; PHOTOSYNTHESIS; MICROORGANISMS; COLONIZATION; BIOGEOGRAPHY</t>
  </si>
  <si>
    <t>Global patterns in diversity were estimated for cyanobacteria-dominated hypolithic communities that colonize ventral surfaces of quartz stones and are common in desert environments. A total of 64 hypolithic communities were recovered from deserts on every continent plus a tropical moisture sufficient location. Community diversity was estimated using a combined t-RFLP fingerprinting and high throughput sequencing approach. The t-RFLP analysis revealed desert communities were different from the single non-desert location. A striking pattern also emerged where Antarctic desert communities were clearly distinct from all other deserts. Some overlap in community similarity occurred for hot, cold and tundra deserts. A further observation was that the producer-consumer ratio displayed a significant negative correlation with growing season, such that shorter growing seasons supported communities with greater abundance of producers, and this pattern was independent of macroclimate. High-throughput sequencing of 16S rRNA and nifH genes from four representative samples validated the t-RFLP study and revealed patterns of taxonomic and putative diazotrophic diversity for desert communities from the Taklimakan Desert, Tibetan Plateau, Canadian Arctic and Antarctic. All communities were dominated by cyanobacteria and among these 21 taxa were potentially endemic to any given desert location. Some others occurred in all but the most extreme hot and polar deserts suggesting they were relatively less well adapted to environmental stress. The t-RFLP and sequencing data revealed the two most abundant cyanobacterial taxa were Phormidium in Antarctic and Tibetan deserts and Chroococcidiopsis in hot and cold deserts. The Arctic tundra displayed a more heterogenous cyanobacterial assemblage and this was attributed to the maritime-influenced sampling location. The most abundant heterotrophic taxa were ubiquitous among samples and belonged to the Acidobacteria, Actinobacteria, Bacteroidetes, and Proteobacteria. Sequencing using nitrogenase gene-specific primers revealed all putative diazotrophs were Proteobacteria of the orders Burkholderiales, Rhizobiales, and Rhodospirillales. We envisage cyanobacterial carbon input to the system is accompanied by nitrogen fixation largely from non-cyanobacterial taxa. Overall the results indicate desert hypoliths worldwide are dominated by cyanobacteria and that growing season is a useful predictor of their abundance. Differences in cyanobacterial taxa encountered may reflect their adaptation to different moisture availability regimes in polar and non-polar deserts.</t>
  </si>
  <si>
    <t>[Lacap-Bugler, Donnabella C.; Lee, Kevin K.; Archer, Stephen; Gillman, Len N.; Leuzinger, Sebastian; Perrott, John K.; Pointing, Stephen B.] Auckland Univ Technol, Sch Sci, Inst Appl Ecol New Zealand, Auckland, New Zealand; [Lau, Maggie C. Y.] Princeton Univ, Dept Geosci, Princeton, NJ 08544 USA; [Lee, Charles K.] Univ Waikato, Sch Sci, Int Ctr Terr Antarctic Res, Hamilton, New Zealand; [Maki, Teruya; Warren-Rhodes, Kimberley A.; Pointing, Stephen B.] Kanazawa Univ, Inst Nat &amp; Environm Technol, Kanazawa, Ishikawa, Japan; [McKay, Christopher P.] Natl Aeronaut &amp; Space Adm Ames Res Ctr, Moffett Field, CA USA; [de los Rios-Murillo, Asuncion] Museo Nacl Ciencias Nat, Dept Biogeoquim &amp; Ecol Microbiana, Madrid, Spain; [Hopkins, David W.] Royal Agr Univ, Cirencester, England</t>
  </si>
  <si>
    <t>Auckland University of Technology; Princeton University; University of Waikato; Kanazawa University; National Aeronautics &amp; Space Administration (NASA); Consejo Superior de Investigaciones Cientificas (CSIC); CSIC - Museo Nacional de Ciencias Naturales (MNCN)</t>
  </si>
  <si>
    <t>Lacap-Bugler, DC; Pointing, SB (corresponding author), Auckland Univ Technol, Sch Sci, Inst Appl Ecol New Zealand, Auckland, New Zealand.;Pointing, SB (corresponding author), Kanazawa Univ, Inst Nat &amp; Environm Technol, Kanazawa, Ishikawa, Japan.</t>
  </si>
  <si>
    <t>dlacapbu@aut.ac.nz; pointing.steve@gmail.com</t>
  </si>
  <si>
    <t>lee, charles/AAW-6627-2021; Lee, Kevin/Z-5368-2019; Pointing, Stephen/JHT-2500-2023; de los Rios, Asuncion/L-3694-2014; Maki, Teruya/J-8424-2015; Lee, Charles/AAC-9417-2019; gillman, len norman/AFW-2302-2022</t>
  </si>
  <si>
    <t>lee, charles/0000-0001-6906-4895; Lee, Kevin/0000-0003-0210-2628; de los Rios, Asuncion/0000-0002-0266-3516; Lee, Charles/0000-0002-6562-4733; gillman, len norman/0000-0002-2283-495X; Hopkins, David/0000-0003-0953-8643; McKay, Christopher/0000-0002-6243-1362; Lau Vetter, Maggie C.Y./0000-0003-2812-9749</t>
  </si>
  <si>
    <t>NASA Astrobiology Science and Technology for Exploring Planets (ASTEP); Institute for Applied Ecology New Zealand; Grants-in-Aid for Scientific Research [26304003, 26340049, 16H02969, 17H01478, 17H01616, 16H02703] Funding Source: KAKEN</t>
  </si>
  <si>
    <t>NASA Astrobiology Science and Technology for Exploring Planets (ASTEP); Institute for Applied Ecology New Zealand; Grants-in-Aid for Scientific Research(Ministry of Education, Culture, Sports, Science and Technology, Japan (MEXT)Japan Society for the Promotion of ScienceGrants-in-Aid for Scientific Research (KAKENHI))</t>
  </si>
  <si>
    <t>The research was funded by the NASA Astrobiology Science and Technology for Exploring Planets (ASTEP) program and the Institute for Applied Ecology New Zealand (www.aenz.aut.ac.nz).</t>
  </si>
  <si>
    <t>1664-302X</t>
  </si>
  <si>
    <t>FRONT MICROBIOL</t>
  </si>
  <si>
    <t>Front. Microbiol.</t>
  </si>
  <si>
    <t>10.3389/fmicb.2017.00867</t>
  </si>
  <si>
    <t>EV2HD</t>
  </si>
  <si>
    <t>WOS:000401575300001</t>
  </si>
  <si>
    <t>Hogg, AE; Shepherd, A; Cornford, SL; Briggs, KH; Gourmelen, N; Graham, JA; Joughin, I; Mouginot, J; Nagler, T; Payne, AJ; Rignot, E; Wuite, J</t>
  </si>
  <si>
    <t>Hogg, Anna E.; Shepherd, Andrew; Cornford, Stephen L.; Briggs, Kate H.; Gourmelen, Noel; Graham, Jennifer A.; Joughin, Ian; Mouginot, Jeremie; Nagler, Thomas; Payne, Antony J.; Rignot, Eric; Wuite, Jan</t>
  </si>
  <si>
    <t>Increased ice flow in Western Palmer Land linked to ocean melting</t>
  </si>
  <si>
    <t>ice velocity; Antarctic Peninsula; ocean warming; dynamic imbalance</t>
  </si>
  <si>
    <t>PINE ISLAND; RADAR INTERFEROMETRY; THWAITES GLACIER; KOHLER GLACIERS; MASS-LOSS; SHEET; ANTARCTICA; RETREAT; SATELLITE; GREENLAND</t>
  </si>
  <si>
    <t>A decrease in the mass and volume of Western Palmer Land has raised the prospect that ice speed has increased in this marine-based sector of Antarctica. To assess this possibility, we measure ice velocity over 25years using satellite imagery and an optimized modeling approach. More than 30 unnamed outlet glaciers drain the 800km coastline of Western Palmer Land at speeds ranging from 0.5 to 2.5m/d, interspersed with near-stagnant ice. Between 1992 and 2015, most of the outlet glaciers sped up by 0.2 to 0.3m/d, leading to a 13% increase in ice flow and a 15km(3)/yr increase in ice discharge across the sector as a whole. Speedup is greatest where glaciers are grounded more than 300m below sea level, consistent with a loss of buttressing caused by ice shelf thinning in a region of shoaling warm circumpolar water.</t>
  </si>
  <si>
    <t>[Hogg, Anna E.; Shepherd, Andrew; Briggs, Kate H.] Univ Leeds, Sch Earth &amp; Environm, Ctr Polar Observat &amp; Modelling, Leeds, W Yorkshire, England; [Cornford, Stephen L.; Payne, Antony J.] Univ Bristol, Sch Geog Sci, Ctr Polar Observat &amp; Modelling, Bristol, Avon, England; [Cornford, Stephen L.] Swansea Univ, Dept Geog, Coll Sci, Swansea, W Glam, Wales; [Gourmelen, Noel] Univ Edinburgh, Sch Geosci, Edinburgh, Midlothian, Scotland; [Gourmelen, Noel] Univ Strasbourg, CNRS, IPGS UMR 7516, Strasbourg, France; [Graham, Jennifer A.] Met Off Hadley Ctr, Exeter, Devon, England; [Joughin, Ian] Univ Washington, Appl Phys Lab, Seattle, WA 98105 USA; [Mouginot, Jeremie; Rignot, Eric] Univ Calif Irvine, Dept Earth Syst Sci, Irvine, CA USA; [Nagler, Thomas; Wuite, Jan] ENVEO IT GmbH, Innsbruck, Austria; [Rignot, Eric] CALTECH, Jet Prop Lab, Pasadena, CA USA</t>
  </si>
  <si>
    <t>University of Leeds; University of Bristol; Swansea University; University of Edinburgh; Universites de Strasbourg Etablissements Associes; Universite de Strasbourg; Centre National de la Recherche Scientifique (CNRS); CNRS - National Institute for Earth Sciences &amp; Astronomy (INSU); Met Office - UK; Hadley Centre; University of Washington; University of Washington Seattle; University of California System; University of California Irvine; National Aeronautics &amp; Space Administration (NASA); NASA Jet Propulsion Laboratory (JPL); California Institute of Technology</t>
  </si>
  <si>
    <t>Hogg, AE (corresponding author), Univ Leeds, Sch Earth &amp; Environm, Ctr Polar Observat &amp; Modelling, Leeds, W Yorkshire, England.</t>
  </si>
  <si>
    <t>a.e.hogg@leeds.ac.uk</t>
  </si>
  <si>
    <t>Mouginot, Jeremie/G-7045-2015; Joughin, Ian R/A-2998-2008; Joughin, Ian/AAR-7778-2021; Rignot, Eric/A-4560-2014; payne, antony/A-8916-2008</t>
  </si>
  <si>
    <t>Mouginot, Jeremie/0000-0001-9155-5455; Joughin, Ian R/0000-0001-6229-679X; Joughin, Ian/0000-0001-6229-679X; Rignot, Eric/0000-0002-3366-0481; payne, antony/0000-0001-8825-8425; Wuite, Jan/0000-0001-9333-1586; Shepherd, Andrew/0000-0002-4914-1299; Cornford, Stephen/0000-0003-1844-274X; Graham, Jennifer/0000-0002-1950-5266</t>
  </si>
  <si>
    <t>European Space Agency [4000107503/13/I-BG, 4000112797/15/I-SBo]; University of Leeds; British Antarctic Survey; Natural Environment Research Council [NE/J005738/1, cpom30001, 1053020] Funding Source: researchfish; NERC [NE/J005738/1, cpom30001] Funding Source: UKRI</t>
  </si>
  <si>
    <t>European Space Agency(European Space Agency); University of Leeds; British Antarctic Survey; Natural Environment Research Council(UK Research &amp; Innovation (UKRI)Natural Environment Research Council (NERC)); NERC(UK Research &amp; Innovation (UKRI)Natural Environment Research Council (NERC))</t>
  </si>
  <si>
    <t>We thank Adrian Jenkins for providing ocean temperature observations. This work was led by the NERC Centre for Polar Observation and Modelling with the support of a grant (4000107503/13/I-BG) from the European Space Agency's support to Science Element program and an independent research fellowship (4000112797/15/I-SBo) jointly funded by the European Space Agency, the University of Leeds, and the British Antarctic Survey. The authors gratefully acknowledge the ESA, the National Aeronautics and Space Administration, and the Japan Aerospace Exploration Agency for the use of ERS-1 and ERS-2 (C1P9925), Sentinel-1, Landsat 8, and ALOS PALSAR data, respectively.</t>
  </si>
  <si>
    <t>10.1002/2016GL072110</t>
  </si>
  <si>
    <t>WOS:000402143700024</t>
  </si>
  <si>
    <t>Combi, T; Martins, CC; Taniguchi, S; Leonel, J; Lourenço, RA; Montone, RC</t>
  </si>
  <si>
    <t>Combi, Tatiane; Martins, Cesar C.; Taniguchi, Satie; Leonel, Juliana; Lourenco, Rafael Andre; Montone, Rosalinda Carmela</t>
  </si>
  <si>
    <t>Depositional history and inventories of polychlorinated biphenyls (PCBs) in sediment cores from an Antarctic Specially Managed Area (Admiralty Bay, King George Island)</t>
  </si>
  <si>
    <t>MARINE POLLUTION BULLETIN</t>
  </si>
  <si>
    <t>PCBs; Antarctica; sediment cores; long-range transport; Admiralty Bay</t>
  </si>
  <si>
    <t>PERSISTENT ORGANIC POLLUTANTS; POLYCYCLIC AROMATIC-HYDROCARBONS; ORGANOCHLORINE PESTICIDES; COASTAL SEDIMENTS; RIVER ESTUARY; CHINA SEA; STATION; TRENDS; FLUXES; INPUT</t>
  </si>
  <si>
    <t>Temporal patterns, fluxes and inventories of polychlorinated biphenyls (PCBs) were assessed in nine sediment cores collected from selected areas of Admiralty Bay off the Antarctic Peninsula. Concentrations of total PCBs were low, but slightly higher in comparison to low-impacted, remote environments in the world, ranging from below the detection limit to 11.9 ng g(-1) in dry weight. PCB concentrations and inventories suggest a possible minor influence related to the nearby logistic activities, especially in the sediment core collected close to the Ferraz Station. Despite being the most remote and protected area on the planet, the Antarctic continent is no longer a pristine environment. (C) 2017 Elsevier Ltd. All rights reserved.</t>
  </si>
  <si>
    <t>[Combi, Tatiane] Univ Bologna, Ctr Interdipartimentale Ric Sci Ambientali, Via St Alberto 123, I-48123 Ravenna, Italy; [Combi, Tatiane; Martins, Cesar C.] Univ Fed Parana, Ctr Estudos Mar, Caixa Postal 61, BR-83255976 Ponta Do Parana, PR, Brazil; [Taniguchi, Satie; Leonel, Juliana; Lourenco, Rafael Andre; Montone, Rosalinda Carmela] Univ Sao Paulo, Inst Oceanog, Praca Oceanog 191, BR-05508120 Sao Paulo, SP, Brazil; [Leonel, Juliana] Univ Fed Santa Catarina, Dept Geociencias, BR-88040900 Florianopolis, SC, Brazil</t>
  </si>
  <si>
    <t>University of Bologna; Universidade Federal do Parana; Universidade de Sao Paulo; Universidade Federal de Santa Catarina (UFSC)</t>
  </si>
  <si>
    <t>Combi, T (corresponding author), Univ Bologna, Ctr Interdipartimentale Ric Sci Ambientali, Via St Alberto 123, I-48123 Ravenna, Italy.;Combi, T; Martins, CC (corresponding author), Univ Fed Parana, Ctr Estudos Mar, Caixa Postal 61, BR-83255976 Ponta Do Parana, PR, Brazil.</t>
  </si>
  <si>
    <t>tatiane.combi4@unibo.it; ccmart@ufpr.br</t>
  </si>
  <si>
    <t>de Castro Martins, Cesar C/I-1086-2012; Lourenço, Rafael/IZD-8070-2023; Combi, Tatiane/AAC-9936-2021; Leonel, Juliana/ABD-9781-2020; Lourenço, Rafael André/I-7041-2015; Taniguchi, Satie/D-2552-2013; Montone, Rosalinda/J-9110-2012; Combi, Tatiane/O-3004-2016</t>
  </si>
  <si>
    <t>Leonel, Juliana/0000-0003-1452-860X; Lourenço, Rafael André/0000-0002-1446-5074; de Castro Martins, Cesar/0000-0002-2515-5565; Montone, Rosalinda/0000-0002-9586-1000; Combi, Tatiane/0000-0001-6769-7445</t>
  </si>
  <si>
    <t>Programa Ciencia sem Fronteiras [CNPq 237092/2012-3]; CNPq [154938/2006-8]; PQ-2 [305763/2011-3]; Admiralty Bay, King George Island, Antarctic Peninsula [CNPq 557306/2005-1]; Brazilian Environmental Ministry, Ministry of Science Technology and Innovation</t>
  </si>
  <si>
    <t>Programa Ciencia sem Fronteiras; CNPq(Conselho Nacional de Desenvolvimento Cientifico e Tecnologico (CNPQ)); PQ-2; Admiralty Bay, King George Island, Antarctic Peninsula; Brazilian Environmental Ministry, Ministry of Science Technology and Innovation</t>
  </si>
  <si>
    <t>Tatiane Combi wishes to thank the 'Programa Ciencia sem Fronteiras' for the PhD scholarship (CNPq 237092/2012-3). C.C. Martins also thanks CNPq for the post-Ph.D. (154938/2006-8) and PQ-2 research (305763/2011-3) grants. This study is part of the project entitled Historic evolution of human activities based on indicators of fossil fuel burning in sediments from Admiralty Bay, King George Island, Antarctic Peninsula (CNPq 557306/2005-1) coordinated by RC. Montone, with additional financial support from the Brazilian Environmental Ministry, Ministry of Science Technology and Innovation and logistical support from the Secretary of the Inter-Ministerial Commission on Marine Resources. This study contributes to the National Science and Technology Institute on Antarctic Environmental Research (INCT-APA; CNPq 574018/2008-5 and FAPERJ E-16/170023/2008). The authors express their gratitude to the staff of the Comandante Ferraz station and scuba diver Marta Markowka from the Polish station for their assistance in the collection of the samples.</t>
  </si>
  <si>
    <t>0025-326X</t>
  </si>
  <si>
    <t>1879-3363</t>
  </si>
  <si>
    <t>MAR POLLUT BULL</t>
  </si>
  <si>
    <t>Mar. Pollut. Bull.</t>
  </si>
  <si>
    <t>MAY 15</t>
  </si>
  <si>
    <t>10.1016/j.marpolbul.2017.03.031</t>
  </si>
  <si>
    <t>Environmental Sciences; Marine &amp; Freshwater Biology</t>
  </si>
  <si>
    <t>EW0YO</t>
  </si>
  <si>
    <t>WOS:000402217300067</t>
  </si>
  <si>
    <t>Zhuravleva, A; Bauch, HA; Van Nieuwenhove, N</t>
  </si>
  <si>
    <t>Zhuravleva, Anastasia; Bauch, Henning A.; Van Nieuwenhove, Nicolas</t>
  </si>
  <si>
    <t>Last Interglacial (MIS5e) hydrographic shifts linked to meltwater discharges from the East Greenland margin</t>
  </si>
  <si>
    <t>Last Interglacial; MIS5e; Greenland Ice Sheet (GIS); East Greenland Current (EGC); Nordic Seas</t>
  </si>
  <si>
    <t>NORTHERN NORTH-ATLANTIC; DEEP-WATER FORMATION; ICE-SHEET; ARCTIC-OCEAN; NORDIC SEAS; LABRADOR SEA; SOUTHERN GREENLAND; TERMINATION II; ANTARCTIC ICE; SUBPOLAR GYRE</t>
  </si>
  <si>
    <t>Proximal evidence of the surface ocean response to size reduction of the Greenland Ice Sheet (GIS) during the Last Interglacial (MIS5e) and preceding glacial termination (T2) remains largely elusive. Using a new sediment record from the western Iceland Sea, the behavior of the northeastern GIS and its relation to the subpolar North Atlantic surface hydrography is examined. Extremely light oxygen isotopic (delta O-18) values are found off central East Greenland during early MIS5e and point to enhanced meltwater release, potentially from the northeastern sector of the GIS. Data from downstream the cold East Greenland Current (EGC) and its eastward branches suggest a far-reaching effect of this meltwater not only in the Nordic Seas but also in the SE Labrador Sea. In particular, whereas an early MIS5e warming (at similar to 128.5 -126.5 ka) in the two regions coincided with the relative reduction of meltwater input into the EGC, the subsequent cooling noted at similar to 126.5 ka followed a renewed major freshwater event off central East Greenland. Our data further indicate persistent freshwater influence from the East Greenland margin over the entire MIS5e interval and, in addition, also reveal a late MIS5e meltwater event. The latter event occurred just prior to the last glacial inception and emphasizes the importance of Greenland meltwater as forcing factor on Interglacial climates. (C) 2017 Elsevier Ltd. All rights reserved.</t>
  </si>
  <si>
    <t>[Zhuravleva, Anastasia] Acad Sci Humanities &amp; Literature, GEOMAR Helmholtz Ctr Ocean Res, Wischhofstr 1-3, D-24148 Kiel, Germany; [Bauch, Henning A.] GEOMAR Helmholtz Ctr Ocean Res, Alfred Wegener Inst, Helmholtz Ctr Polar &amp; Marine Res, Wischhofstr 1-3, D-24148 Kiel, Germany; [Van Nieuwenhove, Nicolas] Aarhus Univ, Dept Geosci, Hoegh Guldbergs Gade 2, DK-8000 Aarhus C, Denmark; [Van Nieuwenhove, Nicolas] Geol Survey Denmark &amp; Greenland, Dept Glaciol &amp; Climate, Oster Voldgade 10, DK-1350 Copenhagen, Denmark</t>
  </si>
  <si>
    <t>Helmholtz Association; GEOMAR Helmholtz Center for Ocean Research Kiel; Helmholtz Association; GEOMAR Helmholtz Center for Ocean Research Kiel; Alfred Wegener Institute, Helmholtz Centre for Polar &amp; Marine Research; Aarhus University; Geological Survey Of Denmark &amp; Greenland</t>
  </si>
  <si>
    <t>Zhuravleva, A (corresponding author), Acad Sci Humanities &amp; Literature, GEOMAR Helmholtz Ctr Ocean Res, Wischhofstr 1-3, D-24148 Kiel, Germany.</t>
  </si>
  <si>
    <t>azhuravleva@geomar.de</t>
  </si>
  <si>
    <t>Van Nieuwenhove, Nicolas/IAQ-1532-2023; Zhuravleva, Anastasia/R-7573-2016</t>
  </si>
  <si>
    <t>Van Nieuwenhove, Nicolas/0000-0001-6369-2751;</t>
  </si>
  <si>
    <t>German Federal Ministry of Education and Research (BMBF) [03G0833C]; German Research Foundation (DFG) [BA1367/12-1]; DFG [NI1248/1]</t>
  </si>
  <si>
    <t>German Federal Ministry of Education and Research (BMBF)(Federal Ministry of Education &amp; Research (BMBF)); German Research Foundation (DFG)(German Research Foundation (DFG)); DFG(German Research Foundation (DFG))</t>
  </si>
  <si>
    <t>We are grateful to N. Irvali (University of Bergen, Norway) for providing the data for core MD03-2664. M.-S. Seidenkrantz (Aarhus University, Denmark) is thanked for sharing the faunal data on core HU90-013-013. We are also thankful to S. Fessler (GEOMAR) for performing measurements on stable isotopes. The manuscript benefited from the constructive comments and suggestions made by 3 anonymous reviewers. A.Z. acknowledges the German Federal Ministry of Education and Research (BMBF) for supporting the project Laptev-Sea: TRANSDRIFT (BMBF grant 03G0833C). Additional financial support to A.Z. was provided by the German Research Foundation (DFG grant BA1367/12-1), to N.V.N. and H.A.B. by DFG project NI1248/1.</t>
  </si>
  <si>
    <t>1873-457X</t>
  </si>
  <si>
    <t>10.1016/j.quascirev.2017.03.026</t>
  </si>
  <si>
    <t>EV3SN</t>
  </si>
  <si>
    <t>WOS:000401679500007</t>
  </si>
  <si>
    <t>Shatova, OA; Wing, SR; Hoffmann, LJ; Wing, LC; Gault-Ringold, M</t>
  </si>
  <si>
    <t>Shatova, O. A.; Wing, S. R.; Hoffmann, L. J.; Wing, L. C.; Gault-Ringold, M.</t>
  </si>
  <si>
    <t>Phytoplankton community structure is influenced by seabird guano enrichment in the Southern Ocean</t>
  </si>
  <si>
    <t>ESTUARINE COASTAL AND SHELF SCIENCE</t>
  </si>
  <si>
    <t>Phytoplankton; Southern Ocean; Seabird; Guano; Bioactive metals</t>
  </si>
  <si>
    <t>IRON FERTILIZATION; ROSS SEA; PRIMARY PRODUCTIVITY; BALEEN WHALES; CHLOROPHYLL-A; LIMITATION; GROWTH; ANTARCTICA; CARBON; SIZE</t>
  </si>
  <si>
    <t>Phytoplankton biomass, productivity and community structure are strongly influenced by differences in nutrient concentrations among oceanographic water masses. Changes in community composition, particularly in the distribution of cell sizes, can result in dramatic changes in the energetics of pelagic food webs and ecosystem function in terms of biogeochemical cycling and carbon sequestration. Here we examine responses of natural phytoplankton communities from four major water masses in the Southern Ocean to enrichment from seabird guano, a concentrated source of bioactive metals (Mn, Fe, Co, Ni, Cu, Zn) and macronutrients (N, P), in a series of incubation experiments. Phytoplankton communities from sub-tropical water, modified sub-tropical water from the Snares Island wake, sub-Antarctic water and Antarctic water from the Ross Sea, each showed dramatic changes in community structure following additions of seabird guano. We observed particularly high growth of prymnesiophytes in response to the guano-derived nutrients within sub-Antarctic and sub-tropical frontal zones, resulting in communities dominated by larger cell sizes than in control incubations. Community changes within treatments enriched with guano were distinct, and in most cases more extensive, than those observed for treatments with additions of macronutrients (N, P) or iron (Fe) alone. These results provide the first empirical evidence that seabird guano enrichment can drive significant changes in the structure and composition of natural phytoplankton communities. Our findings have important implications for understanding the consequences of accumulation of bioactive metals and macronutrients within food webs and the role of seabirds as nutrient vectors within the Southern Ocean ecosystem. (C) 2017 Elsevier Ltd. All rights reserved.</t>
  </si>
  <si>
    <t>[Shatova, O. A.; Wing, S. R.; Wing, L. C.] Univ Otago, Dept Marine Sci, POB 56, Dunedin 9054, New Zealand; [Hoffmann, L. J.] Univ Otago, Bot Dept, POB 56, Dunedin 9054, New Zealand; [Gault-Ringold, M.] Univ Otago, Dept Chem, POB 56, Dunedin 9054, New Zealand; [Gault-Ringold, M.] Univ Otago, Ctr Trace Element Anal, POB 56, Dunedin 9054, New Zealand</t>
  </si>
  <si>
    <t>University of Otago; University of Otago; University of Otago; University of Otago</t>
  </si>
  <si>
    <t>Wing, SR (corresponding author), Univ Otago, Dept Marine Sci, POB 56, Dunedin 9054, New Zealand.</t>
  </si>
  <si>
    <t>steve.wing@otago.ac.nz</t>
  </si>
  <si>
    <t>Hoffmann, Linn/J-3761-2019; Gault-Ringold, Melanie/H-4089-2011; Farquhar, Justin/F-6225-2010; Wing, Lucy/B-8833-2019</t>
  </si>
  <si>
    <t>Hoffmann, Linn/0000-0003-0242-4686; Farquhar, Justin/0000-0002-5818-5082; Wing, Lucy/0000-0001-8681-6147; East, Melanie/0000-0002-0040-6428; Wing, Stephen/0000-0003-3536-5627</t>
  </si>
  <si>
    <t>Royal Society of New Zealand's Marsden Fund [UOO1008]; Antarctica New Zealand [KO67]</t>
  </si>
  <si>
    <t>Royal Society of New Zealand's Marsden Fund(Royal Society of New ZealandMarsden Fund (NZ)); Antarctica New Zealand</t>
  </si>
  <si>
    <t>We thank captain Bill Dickson and Phil Heseltine of the RV Polaris II and the staff of the Portobello Marine Laboratory for their valuable support in the field and in the laboratory. Access to the Snares Islands was provided by New Zealand's Department of Conservation, and samples were collected under permits from the Department of Conservation, University of Otago Animal Ethics Committee and the Ministry for Primary Industries. Our Antarctic work was made possible by the science support team at New Zealand's Scott Base. Special thanks to K. Nachtigall and S. Audritz for help with HPLC measurements and to M. Meyerhofer for help with CHEMTAX analyses. Our work was supported by grants from the Royal Society of New Zealand's Marsden Fund (UOO1008) and from Antarctica New Zealand (KO67) to SRW.</t>
  </si>
  <si>
    <t>0272-7714</t>
  </si>
  <si>
    <t>1096-0015</t>
  </si>
  <si>
    <t>ESTUAR COAST SHELF S</t>
  </si>
  <si>
    <t>Estuar. Coast. Shelf Sci.</t>
  </si>
  <si>
    <t>10.1016/j.ecss.2017.04.021</t>
  </si>
  <si>
    <t>Marine &amp; Freshwater Biology; Oceanography</t>
  </si>
  <si>
    <t>EW4TP</t>
  </si>
  <si>
    <t>WOS:000402494100013</t>
  </si>
  <si>
    <t>Schrader, DL; McCoy, TJ; Gardner-Vandy, K</t>
  </si>
  <si>
    <t>Schrader, Devin L.; McCoy, Timothy J.; Gardner-Vandy, Kathryn</t>
  </si>
  <si>
    <t>Relict chondrules in primitive achondrites: Remnants from their precursor parent bodies</t>
  </si>
  <si>
    <t>Relict chondrule; Primitive achondrite; Iron meteorite; Ordinary chondrite; Carbonaceous chondrite; Chromite; Closure temperature; Oxygen fugacity; Reduction</t>
  </si>
  <si>
    <t>IIE IRON-METEORITES; SIZE-FREQUENCY-DISTRIBUTIONS; PARTIAL MELT RESIDUES; ORDINARY CHONDRITES; OXYGEN-ISOTOPE; CARBONACEOUS CHONDRITES; SILICATE INCLUSIONS; THERMAL HISTORIES; CHROMIAN SPINELS; RICH CHONDRULES</t>
  </si>
  <si>
    <t>We studied the petrography, analyzed the chemical compositions, constrained the closure temperatures (via geothermometry), and determined the oxidation states of relict chondrules in Campo del Cielo (IAB iron meteorite), Graves Nunataks (GRA) 98028 (acapulcoite), and Netschaevo (IIE iron meteorite) to constrain their formation conditions and investigate links to known meteorite groups. Despite having been thermally metamorphosed, mineral phases within relict chondrules retain information about their precursor compositions. The sizes and textures of relict chondrules, and silicate and chromite compositions indicate that Campo del Cielo, GRA 98028, and Netschae  vo had distinct parent bodies that were similar to, but different from, known chondrite groups. To determine the utility of relict chondrule sizes in thermally metamorphosed meteorites, we determined the chondrule size distributions in the LL chondrites Semarkona (LL3.00), Soko-Banja (LL4), Siena (LL5), and Saint-Severin (LL6), and the H chondrites Clovis (No.1) (H3.6), Kesen (H4), Arbol Solo (H5), and Estacado (H6). As expected, mean chondrule diameters increase with degree of thermal metamorphism. We find that Campo del Cielo and GRA 98028 were reduced during thermal metamorphism, consistent with previous studies, indicating that their precursors were initially more FeO-rich than their current compositions. In contrast to previous studies, we find no evidence for reduction of silicates in Netschaevo. Normal zoning of olivine in Netschaevo is consistent with crystallization and suggests its silicates are near their primary FeO-contents. The presence of elongated chromite grains along olivine grain boundaries in Netschaevo indicates formation during thermal metamorphism under oxidizing conditions. Due to the absence of reduction and the composition of chromite being distinct from that of metamorphosed H chondrites, we conclude that Netschaevo, and by extension the IIE iron meteorites, are not from the H chondrite parent body. (C) 2017 Elsevier Ltd. All rights reserved.</t>
  </si>
  <si>
    <t>[Schrader, Devin L.; McCoy, Timothy J.; Gardner-Vandy, Kathryn] Smithsonian Inst, Natl Museum Nat Hist, Dept Mineral Sci, 10th &amp; Constitut Ave NW, Washington, DC 20560 USA; [Schrader, Devin L.] Arizona State Univ, Sch Earth &amp; Space Explorat, Ctr Meteorite Studies, POB 871404, Tempe, AZ 85287 USA</t>
  </si>
  <si>
    <t>Smithsonian Institution; Smithsonian National Museum of Natural History; Arizona State University; Arizona State University-Tempe</t>
  </si>
  <si>
    <t>Schrader, DL (corresponding author), Arizona State Univ, Sch Earth &amp; Space Explorat, Ctr Meteorite Studies, POB 871404, Tempe, AZ 85287 USA.</t>
  </si>
  <si>
    <t>schraderd@asu.edu</t>
  </si>
  <si>
    <t>Schrader, Devin L/H-6293-2012</t>
  </si>
  <si>
    <t>McCoy, Timothy/0000-0002-4573-3553; Gardner-Vandy, Kathryn/0000-0002-0244-3417; Schrader, Devin/0000-0001-5282-232X</t>
  </si>
  <si>
    <t>NSF; NASA; Smithsonian Institution; Arizona State University Center</t>
  </si>
  <si>
    <t>NSF(National Science Foundation (NSF)); NASA(National Aeronautics &amp; Space Administration (NASA)); Smithsonian Institution(Smithsonian Institution); Arizona State University Center</t>
  </si>
  <si>
    <t>For supplying the samples that were necessary for this work, the authors would like to thank: the Smithsonian Institution, the members of the Meteorite Working Group, Cecilia Satterwhite and Kevin Righter (NASA, Johnson Space Center), and the Arizona State University Center for Meteorite Studies.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are grateful to Tim Gooding for assistance with the SEM, and Tim Rose, Emma Bullock, and Steve Lynton, for assistance with the EPMA at SI and Ken Domanik for assistance with the EPMA at UA. We are also grateful to Jemma Davidson for helpful discussions and constructive manuscript editing. Constructive comments by Alan Rubin, Andy Tomkins, Gretchen Benedix, and Associate Editor Alexander Krot significantly improved the quality of the manuscript. We thank the Smithsonian Institution and the Arizona State University Center for Meteorite Studies for funding this research.</t>
  </si>
  <si>
    <t>10.1016/j.gca.2017.02.012</t>
  </si>
  <si>
    <t>EW4RD</t>
  </si>
  <si>
    <t>WOS:000402487700017</t>
  </si>
  <si>
    <t>Bouhier, VE; Franchini, MB; Caffe, PJ; Maydagán, L; Rapela, CW; Paolini, M</t>
  </si>
  <si>
    <t>Bouhier, Veronica E.; Franchini, Marta B.; Caffe, Pablo J.; Maydagan, Laura; Rapela, Carlos W.; Paolini, Marcelo</t>
  </si>
  <si>
    <t>Petrogenesis of volcanic rocks that host the world-class Ag-Pb Navidad District, North Patagonian Massif: Comparison with the Jurassic Chon Aike Volcanic Province of Patagonia, Argentina</t>
  </si>
  <si>
    <t>JOURNAL OF VOLCANOLOGY AND GEOTHERMAL RESEARCH</t>
  </si>
  <si>
    <t>Autobreccia; Syn-sedimentary volcanism; Crustal assimilation; Sr-Nd-Pb isotopes; U/Pb ages; Canadon Asfalto Basin; Gondwana</t>
  </si>
  <si>
    <t>MAMIL-CHOIQUE GRANITOIDS; DESEADO MASSIF; ANTARCTIC PENINSULA; VEIN SYSTEM; BREAK-UP; GEOCHEMICAL EVIDENCE; CHILEAN PATAGONIA; ISOTOPIC EVIDENCE; CHUBUT GROUP; RIO-NEGRO</t>
  </si>
  <si>
    <t>We present the first study of the volcanic rocks of the Canadon Asfalto Formation that host the Navidad world class Ag + Pb epithermal district located in the North Patagonian Massif, Patagonia, Argentina. These volcanic and sedimentary rocks were deposited in a lacustrine environment during an extensional tectonic regime associated with the breakup of Gondwana and represent the mafic to intermediate counterparts of the mainly silicic Jurassic Chon Aike Volcanic Province. Lava flows surrounded by autobrecciated carapace were extruded in sub aerial conditions, whereas hyaloclastite and peperite facies suggest contemporaneous subaqueous volcanism and sedimentation. LA-ICPMS U-Pb ages of zircon crystals from the volcanic units yielded Middle Jurassic ages of 173.9 +/- 1.9 Ma and 170.8 +/- 3 Ma. In the Navidad district, volcanic rocks of the Cafiackin Asfalto Formation show arc-like signatures including high-K basaltic-andesite to high-K dacite compositions, Rb, Ba and Th enrichment relative to the less mobile HFS elements (Nb, Ta), enrichment in light rare earth elements (LREE), Y-Ti depletion, and high Zr contents. These characteristics could be explained by assimilation of crustal rocks in the Jurassic magmas, which is also supported by the presence of zircon xenocrysts with Permian and Middle Upper Triassic ages (2813 Ma, 246.5, 218.1, and 201.3 Ma) and quartz xenocrysts recognized in these volcanic units. Furthermore, Sr and Nd isotope compositions suggest a contribution of crustal components in these Middle Jurassic magmas. High-K basaltic andesite has initial Sr-87/Sr-86 ratios of 0.70416-0.70658 and xi Nd(t) values of -5.3 and -4. High-K dacite and andesite have initial Sr-87/Sr-86 compositions of 0.70584-0.70601 and Nd(t) values of -4,1 and -3,2. The range of Pb isotope values ((206)pb/(204)pb = 18.28-18.37, Pb-207/Pb-204 = 15.61-15.62, and (208)pb/(204)pb = 38.26-38.43) of Navidad volcanic rocks and ore minerals suggest mixing Pb sources with contributions of mantle and crust. Pb-206/Pb-284 isotopic ratios of Jurassic volcanic rocks of the Chon Aike Volcanic Province and sulfides of associated epithermal deposits increase with time from the volcanic event V1 (188-178 Ma) to volcanic events V2 (172-162 Ma) and V3 (157-153 Ma), reflecting variations in the radiogenic Pb source as volcanism was migrating towards the Proto Pacific margin of Gondwana. (C) 2017 Elsevier B.V. All rights reserved.</t>
  </si>
  <si>
    <t>[Bouhier, Veronica E.; Franchini, Marta B.; Caffe, Pablo J.; Maydagan, Laura; Rapela, Carlos W.] Consejo Nacl Invest Cient &amp; Tecn, Buenos Aires, DF, Argentina; [Bouhier, Veronica E.; Franchini, Marta B.; Maydagan, Laura] Univ Nacl Rio Negro, Ctr Patagon Estudios Metalogenet, Inst Invest Paleobiol &amp; Geol, Ave Roca 1242, Roca, Argentina; [Bouhier, Veronica E.; Maydagan, Laura] Univ Nacl Sur, INGEOSUR, CONICET, Dept Geol, San Juan 670, Bahia Blanca, Buenos Aires, Argentina; [Franchini, Marta B.] Univ Nacl Comahue, Dept Geol &amp; Petr, Fac Ingn, RA-1400 Buenos Aires, Neuquen, Argentina; [Caffe, Pablo J.] Univ Nacl Jujuy, Inst Ecorreg Andinas, CONICET, Ave Bolivia 1661, San Salvador De Jujuy, Argentina; [Caffe, Pablo J.] Inst Geol &amp; Mineria, Ave Bolivia 1661, San Salvador De Jujuy, Argentina; [Rapela, Carlos W.] Univ Nacl La Plata, Ctr Invest Geol, Diagonal 113 275, La Plata, Buenos Aires, Argentina; [Paolini, Marcelo] Pan Amer Silver, Minera Argenta, Gastre, Argentina</t>
  </si>
  <si>
    <t>Consejo Nacional de Investigaciones Cientificas y Tecnicas (CONICET); National University of the South; Consejo Nacional de Investigaciones Cientificas y Tecnicas (CONICET); Universidad Nacional del Comahue; Consejo Nacional de Investigaciones Cientificas y Tecnicas (CONICET); National University of La Plata</t>
  </si>
  <si>
    <t>Bouhier, VE (corresponding author), Consejo Nacl Invest Cient &amp; Tecn, Buenos Aires, DF, Argentina.</t>
  </si>
  <si>
    <t>vbouhier@gmail.com</t>
  </si>
  <si>
    <t>Agencia Nacional de Ciencia y Tecnologia (PICT) [PICT 2013-2916]; Consejo Nacional de Investigaciones Cientificas y Tecnicas Argentine (PIP) [330]; Universidad Nacional del Comahue [04I209]; Graduate Student Fellowship of the Society Of Economic Geologists Foundation, INC.</t>
  </si>
  <si>
    <t>Agencia Nacional de Ciencia y Tecnologia (PICT); Consejo Nacional de Investigaciones Cientificas y Tecnicas Argentine (PIP); Universidad Nacional del Comahue; Graduate Student Fellowship of the Society Of Economic Geologists Foundation, INC.</t>
  </si>
  <si>
    <t>This work forms part of a Project financed by Agencia Nacional de Ciencia y Tecnologia (PICT no PICT 2013-2916), Consejo Nacional de Investigaciones Cientificas y Tecnicas Argentine (PIP no 330), Universidad Nacional del Comahue (no 04I209), and Graduate Student Fellowship of the Society Of Economic Geologists Foundation, INC. We express our appreciation to the staff of Pan American Silver - Minera Argenta for provision of site access, logistic support, and help during the field work, to Eduardo Bouhier for help in the field work, and Gabriela Ferracutti for her help with the use of GIS programs. We express our appreciation to two anonymous reviewers for their constructive reviews which led to further improvement of the manuscript. Finally, we wish to thank Malcom Rutherford for his final review of the manuscript and for his overall dedication as an editor.</t>
  </si>
  <si>
    <t>0377-0273</t>
  </si>
  <si>
    <t>1872-6097</t>
  </si>
  <si>
    <t>J VOLCANOL GEOTH RES</t>
  </si>
  <si>
    <t>J. Volcanol. Geotherm. Res.</t>
  </si>
  <si>
    <t>10.1016/j.jvolgeores.2017.03.016</t>
  </si>
  <si>
    <t>EX0XQ</t>
  </si>
  <si>
    <t>WOS:000402944500007</t>
  </si>
  <si>
    <t>Licht, KJ; Hemming, SR</t>
  </si>
  <si>
    <t>Licht, Kathy J.; Hemming, Sidney R.</t>
  </si>
  <si>
    <t>Analysis of Antarctic glacigenic sediment provenance through geochemical and petrologic applications</t>
  </si>
  <si>
    <t>Glacial geology; Bedrock geology; Till; Ice-rafted debris; Sediment transport; Petrography; Geochronology; Radiogenic isotopes; Thermochronology</t>
  </si>
  <si>
    <t>GLACIAL-MARINE-SEDIMENTS; GROUNDING LINE RETREAT; FISSION-TRACK ANALYSIS; U-PB GEOCHRONOLOGY; AND-2A DRILL CORE; ICE-SHEET; ROSS SEA; EAST ANTARCTICA; TRANSANTARCTIC MOUNTAINS; DETRITAL ZIRCONS</t>
  </si>
  <si>
    <t>The number of provenance studies of glacigenic sediments in Antarctica has increased dramatically over the past decade, providing an enhanced understanding of ice sheet history and dynamics, along with the broader geologic history. Such data have been used to assess glacial erosion patterns at the catchment scale, flow path reconstructions over a wide range of scales, and ice sheet fluctuations indicated by iceberg rafted debris in circumantarctic glacial marine sediments. It is notable that even though most of the bedrock of the continent is ice covered and inaccessible, provenance data can provide such valuable information about Antarctic ice and can even be used to infer buried rock types along with their geo- and thermochronologic history. Glacigenic sediments provide a broader array of provenance analysis opportunities than any other sediment type because of their wide range of grain sizes, and in this paper we review methods and examples from all size fractions that have been applied to the Antarctic glacigenic sedimentary record. Interpretations of these records must take careful consideration of the choice of analytical methods, uneven patterns of erosion, and spatial variability in sediment transport and rock types, which all may lead to a preferential identification of different elements of sources in the provenance analyses. Because of this, we advocate a multi-proxy approach and highlight studies that demonstrate the value of selecting complementary provenance methods. (C) 2017 Elsevier Ltd. All rights reserved.</t>
  </si>
  <si>
    <t>[Licht, Kathy J.] Indiana Univ Purdue Univ, Dept Earth Sci, Indianapolis, IN 46202 USA; [Hemming, Sidney R.] Columbia Univ, Dept Earth &amp; Environm Sci, Lamont Doherty Earth Observ, Palisades, NY USA</t>
  </si>
  <si>
    <t>Indiana University System; Indiana University-Purdue University Indianapolis; Columbia University</t>
  </si>
  <si>
    <t>Licht, KJ (corresponding author), Indiana Univ Purdue Univ, Dept Earth Sci, Indianapolis, IN 46202 USA.</t>
  </si>
  <si>
    <t>klicht@iupui.edu</t>
  </si>
  <si>
    <t>Hemming, Sidney/0000-0001-8117-2303; Licht, Kathy/0000-0002-2233-2853</t>
  </si>
  <si>
    <t>NSF-OPP/ANT [0003600, 0440885, 0944578, 1043572, 1342251, 0088054, 0538580, 0838722, 0944489, 1342213]</t>
  </si>
  <si>
    <t>NSF-OPP/ANT</t>
  </si>
  <si>
    <t>The work was supported by grants to Licht by NSF-OPP/ANT (0003600, 0440885, 0944578, 1043572, 1342251) and Hemming by NSF-OPP/ANT (0088054, 0538580, 0838722, 0944489, 1342213). We are grateful to the graduate and undergraduate students and post docs who were key contributors to our research efforts. Our views and understanding have been greatly facilitated by discussions with our collaborators on different aspects of Antarctic sediment provenance, specifically L. Farmer, S. Goldstein, P. Reiners, S. Thomson, T. van de Flierdt, and T. Williams. J.T. Andrews provided a helpful informal review of the manuscript. R. Schmitt provided bedrock geology data from the Gondwana Map project IGCP-628 and C. Kassab transformed it into Fig. 3. We are grateful to S. Passchier and an anonymous reviewer for their thoughtful comments, which improved the manuscript.</t>
  </si>
  <si>
    <t>10.1016/j.quascirev.2017.03.009</t>
  </si>
  <si>
    <t>WOS:000401679500001</t>
  </si>
  <si>
    <t>Hein, AS; Cogez, A; Darvill, CM; Mendelova, M; Kaplan, MR; Herman, F; Dunai, TJ; Norton, K; Xu, S; Christl, M; Rodés, A</t>
  </si>
  <si>
    <t>Hein, Andrew S.; Cogez, Antoine; Darvill, Christopher M.; Mendelova, Monika; Kaplan, Michael R.; Herman, Frederic; Dunai, Tibor J.; Norton, Kevin; Xu, Sheng; Christl, Marcus; Rodes, Angel</t>
  </si>
  <si>
    <t>Regional mid-Pleistocene glaciation in central Patagonia</t>
  </si>
  <si>
    <t>Cosmogenic nuclide surface exposure dating; Marine isotope stage 8; Glacial chronology; Moraine degradation; Beryllium-10; Last Glacial Maximum; Moraine boulders</t>
  </si>
  <si>
    <t>LAGO-BUENOS-AIRES; COSMOGENIC-NUCLIDE MEASUREMENTS; SOUTHERNMOST SOUTH-AMERICA; TIERRA-DEL-FUEGO; ANTARCTIC COLD REVERSAL; PRODUCTION-RATES; EXPOSURE AGES; DOME-C; CHRONOLOGY; QUATERNARY</t>
  </si>
  <si>
    <t>Southern South America contains a glacial geomorphological record that spans the past million years and has the potential to provide palaeoclimate information for several glacial periods in Earth's history. In central Patagonia, two major outlet glaciers of the former Patagonian Ice Sheet carved deep basins similar to 50 km wide and extending over 100 km into the Andean plain east of the mountain front. A succession of nested glacial moraines offers the possibility of determining when the ice lobes advanced and whether such advances occurred synchronously. The existing chronology, which was obtained using different methods in each valley, indicates the penultimate moraines differ in age by a full glacial cycle. Here, we test this hypothesis further using a uniform methodology that combines cosmogenic nuclide ages from moraine boulders, moraine cobbles and outwash cobbles. Be-10 concentrations in eighteen outwash cobbles from the Moreno outwash terrace in the Lago Buenos Aires valley yield surface exposure ages of 169-269 ka. We find Be-10 inheritance is low and therefore use the oldest surface cobbles to date the deposit at 260-270 ka, which is indistinguishable from the age obtained in the neighbouring Lago Pueyrredon valley. This suggests a regionally significant glaciation during Marine Isotope Stage 8, and broad interhemispheric synchrony of glacial maxima during the mid to late Pleistocene. Finally, we find the dated outwash terrace is 70-100 ka older than the associated moraines. On the basis of geomorphological observations, we suggest this difference can be explained by exhumation of moraine boulders. (C) 2017 Elsevier Ltd. All rights reserved.</t>
  </si>
  <si>
    <t>[Hein, Andrew S.; Mendelova, Monika] Univ Edinburgh, Sch Geosci, Drummond St, Edinburgh EH8 9XP, Midlothian, Scotland; [Cogez, Antoine; Herman, Frederic] Univ Lausanne, Inst Earth Surface Dynam, Geopolis, CH-1015 Lausanne, Switzerland; [Darvill, Christopher M.] Univ Northern British Columbia, Geog Program, Prince George, BC, Canada; [Darvill, Christopher M.] Univ Northern British Columbia, Nat Resources &amp; Environm Studies Inst, Prince George, BC, Canada; [Kaplan, Michael R.] Lamont Doherty Earth Observ, Geochem, Palisades, NY 10964 USA; [Norton, Kevin] Univ Cologne, Inst Geol &amp; Mineral, Cologne, Germany; [Xu, Sheng; Rodes, Angel] Victoria Univ Wellington, Sch Geog Environm &amp; Earth Sci, Wellington, New Zealand; Scottish Univ Environm Res Ctr, Rankine Ave, E Kilbride G75 0QF, Lanark, Scotland; Swiss Fed Inst Zurich, Ion Beam Phys Lab, Zurich, Switzerland</t>
  </si>
  <si>
    <t>University of Edinburgh; University of Lausanne; University of Northern British Columbia; University of Northern British Columbia; Columbia University; University of Cologne; Victoria University Wellington; Scottish Universities Research &amp; Reactor Center</t>
  </si>
  <si>
    <t>Hein, AS (corresponding author), Univ Edinburgh, Sch Geosci, Drummond St, Edinburgh EH8 9XP, Midlothian, Scotland.</t>
  </si>
  <si>
    <t>Andy.Hein@ed.ac.uk</t>
  </si>
  <si>
    <t>Dunai, Tibor J/E-9558-2012; Hein, Andrew/JWO-3756-2024; Darvill, Christopher M./M-2672-2013; Rodes, Angel/C-9228-2011; Christl, Marcus/J-4769-2016; Kaplan, Michael R/D-4720-2011; Norton, Kevin/F-1606-2011</t>
  </si>
  <si>
    <t>Rodes, Angel/0000-0001-8488-7689; Christl, Marcus/0000-0002-3131-6652; Dunai, Tibor Janos/0000-0001-8858-2401; Darvill, Christopher/0000-0001-8175-2658; Norton, Kevin/0000-0002-7995-6464; Herman, Frederic/0000-0002-7237-4656</t>
  </si>
  <si>
    <t>UK Natural Environment Research Council's Cosmogenic Isotope Analysis Facility (NERC-CIAF) [9079.1009]; UK NERC Ph.D. studentship at Durham University [NE/j500215/1]; [NSF-BCS 12-63474]; Direct For Social, Behav &amp; Economic Scie; Division Of Behavioral and Cognitive Sci [1263474] Funding Source: National Science Foundation; NERC [ciaf010001] Funding Source: UKRI; Natural Environment Research Council [ciaf010001] Funding Source: researchfish</t>
  </si>
  <si>
    <t>UK Natural Environment Research Council's Cosmogenic Isotope Analysis Facility (NERC-CIAF); UK NERC Ph.D. studentship at Durham University(UK Research &amp; Innovation (UKRI)Natural Environment Research Council (NERC)); ; Direct For Social, Behav &amp; Economic Scie; Division Of Behavioral and Cognitive Sci(National Science Foundation (NSF)NSF - Directorate for Social, Behavioral &amp; Economic Sciences (SBE)); NERC(UK Research &amp; Innovation (UKRI)Natural Environment Research Council (NERC)); Natural Environment Research Council(UK Research &amp; Innovation (UKRI)Natural Environment Research Council (NERC))</t>
  </si>
  <si>
    <t>We thank the UK Natural Environment Research Council's Cosmogenic Isotope Analysis Facility (NERC-CIAF) for funded sample analyses conducted in their laboratory (Project 9079.1009). We thank Christoph Schnabel for help processing samples at the CIAF and Carly Peltier for discussion. We thank Jakob Heyman and an anonymous reviewer for their constructive comments that improved the manuscript. MRK acknowledges funding in part from NSF-BCS 12-63474. CMD conducted this research while in receipt of a UK NERC Ph.D. studentship at Durham University (NE/j500215/1). This is LDEO contribution # 8100.</t>
  </si>
  <si>
    <t>10.1016/j.quascirev.2017.03.023</t>
  </si>
  <si>
    <t>WOS:000401679500006</t>
  </si>
  <si>
    <t>Münster, J; Kochmann, J; Grigat, J; Klimpel, S; Kuhn, T</t>
  </si>
  <si>
    <t>Muenster, Julian; Kochmann, Judith; Grigat, Juline; Klimpel, Sven; Kuhn, Thomas</t>
  </si>
  <si>
    <t>Parasite fauna of the Antarctic dragonfish Parachaenichthys charcoti (Perciformes: Bathydraconidae) and closely related Bathydraconidae from the Antarctic Peninsula, Southern Ocean</t>
  </si>
  <si>
    <t>PARASITES &amp; VECTORS</t>
  </si>
  <si>
    <t>Antarctica; Feeding behavior; Bathydraconinae; Parachaenichthys charcoti; Gerlachea australis; Gymnodraco acuticeps; Racovitzia glacialis; Parasites; Host specificity</t>
  </si>
  <si>
    <t>WEDDELL SEA; HOST-SPECIFICITY; SHETLAND ISLANDS; BIOLOGICAL TAGS; GADUS-MORHUA; LIFE-CYCLES; FISHES; WATERS; COD; DIVERSIFICATION</t>
  </si>
  <si>
    <t>Background: As members of the Notothenioidei - the dominant fish taxon in Antarctic waters - the family Bathydraconidae includes 12 genera and 17 species. The knowledge of these species inhabiting an isolated environment is rather fragmentary, including their parasite fauna. Studies on fish hosts and their associated parasites can help gain insights into even remote ecosystems and be used to infer ecological roles in food webs; however, ecological studies on the Bathydraconidae are scarce. Results: In this study, stomach contents and parasite fauna of the Antarctic dragonfish species Parachaenichthys charcoti (n = 47 specimens) as well as of Gerlachea australis (n = 5), Gymnodraco acuticeps (n = 9) and Racovitzia glacialis (n = 6) were examined. The parasite fauna of P. charcoti consisted of eight genera represented by 11 species, with three of them being new host records. Overall, 24 parasite genera and 26 species were found in the sampled fish, including eleven new host records. Conclusion: Analyses revealed that the majority of the parasite species found in the different fish hosts are endemic to Antarctic waters and are characterized by a broad host range. These findings are evidence for the current lack of knowledge and the need for further parasitological studies of fish species in this unique habitat.</t>
  </si>
  <si>
    <t>[Muenster, Julian] Goethe Univ, Inst Ecol Evolut &amp; Divers, Max von Laue Str 13, D-60438 Frankfurt, Germany; Senckenberg Biodivers &amp; Climate Res Ctr, Max von Laue Str 13, D-60438 Frankfurt, Germany; Senckenberg Gesell Nat Forsch, Max von Laue Str 13, D-60438 Frankfurt, Germany</t>
  </si>
  <si>
    <t>Goethe University Frankfurt; Senckenberg Biodiversitat &amp; Klima- Forschungszentrum (BiK-F); Senckenberg Gesellschaft fur Naturforschung (SGN); Senckenberg Gesellschaft fur Naturforschung (SGN)</t>
  </si>
  <si>
    <t>Münster, J (corresponding author), Goethe Univ, Inst Ecol Evolut &amp; Divers, Max von Laue Str 13, D-60438 Frankfurt, Germany.</t>
  </si>
  <si>
    <t>Muenster@em.uni-frankfurt.de</t>
  </si>
  <si>
    <t>Kochmann, Judith/AAG-3574-2021</t>
  </si>
  <si>
    <t>Kochmann, Judith/0000-0001-6312-7859</t>
  </si>
  <si>
    <t>Institute for Integrative Parasitology and Zoophysiology, Goethe-University, Frankfurt/Main</t>
  </si>
  <si>
    <t>The present study was financially supported by the Institute for Integrative Parasitology and Zoophysiology, Goethe-University, Frankfurt/Main.</t>
  </si>
  <si>
    <t>BIOMED CENTRAL LTD</t>
  </si>
  <si>
    <t>236 GRAYS INN RD, FLOOR 6, LONDON WC1X 8HL, ENGLAND</t>
  </si>
  <si>
    <t>1756-3305</t>
  </si>
  <si>
    <t>PARASITE VECTOR</t>
  </si>
  <si>
    <t>Parasites Vectors</t>
  </si>
  <si>
    <t>MAY 12</t>
  </si>
  <si>
    <t>10.1186/s13071-017-2176-7</t>
  </si>
  <si>
    <t>Parasitology; Tropical Medicine</t>
  </si>
  <si>
    <t>EV3NK</t>
  </si>
  <si>
    <t>WOS:000401666000001</t>
  </si>
  <si>
    <t>Kozachek, A; Mikhalenko, V; Masson-Delmotte, V; Ekaykin, A; Ginot, P; Kutuzov, S; Legrand, M; Lipenkov, V; Preunkert, S</t>
  </si>
  <si>
    <t>Kozachek, Anna; Mikhalenko, Vladimir; Masson-Delmotte, Valerie; Ekaykin, Alexey; Ginot, Patrick; Kutuzov, Stanislav; Legrand, Michel; Lipenkov, Vladimir; Preunkert, Susanne</t>
  </si>
  <si>
    <t>Large-scale drivers of Caucasus climate variability in meteorological records and Mt El'brus ice cores</t>
  </si>
  <si>
    <t>NORTHERN-HEMISPHERE; ISOTOPE COMPOSITION; STABLE ISOTOPES; PRECIPITATION; TEMPERATURE; CIRCULATION; DISPERSION; MOUNTAINS; GLACIER; GEORGIA</t>
  </si>
  <si>
    <t>A 181.8 m ice core was recovered from a borehole drilled into bedrock on the western plateau of Mt El'brus (43 degrees 20'53.9 '' N, 42 degrees 25'36.0 '' E; 5115m a.s.l.) in the Caucasus, Russia, in 2009 (Mikhalenko et al., 2015). Here, we report on the results of the water stable isotope composition from this ice core with additional data from the shallow cores. The distinct seasonal cycle of the isotopic composition allows dating by annual layer counting. Dating has been performed for the upper 126 m of the deep core combined with 20 m from the shallow cores. The whole record covers 100 years, from 2013 back to 1914. Due to the high accumulation rate (1380 mm w.e. year(-1)) and limited melting, we obtained isotopic composition and accumulation rate records with seasonal resolution. These values were compared with available meteorological data from 13 weather stations in the region and also with atmosphere circulation indices, back-trajectory calculations, and Global Network of Isotopes in Precipitation (GNIP) data in order to decipher the drivers of accumulation and ice core isotopic composition in the Caucasus region. In the warm season (May-October) the isotopic composition depends on local temperatures, but the correlation is not persistent over time, while in the cold season (November-April), atmospheric circulation is the predominant driver of the ice core's isotopic composition. The snow accumulation rate correlates well with the precipitation rate in the region all year round, which made it possible to reconstruct and expand the precipitation record at the Caucasus highlands from 1914 until 1966, when reliable meteorological observations of precipitation at high elevation began.</t>
  </si>
  <si>
    <t>[Kozachek, Anna; Ekaykin, Alexey; Lipenkov, Vladimir] Arctic &amp; Antarctic Res Inst, Climate &amp; Environm Res Lab, St Petersburg 199397, Russia; [Kozachek, Anna; Mikhalenko, Vladimir; Kutuzov, Stanislav] Russian Acad Sci, Inst Geog, Moscow 119017, Russia; [Kozachek, Anna; Masson-Delmotte, Valerie] CEA, CNRS, UVSQ, Lab Sci Climat &amp; Environm,IPSL, F-91191 Gif Sur Yvette, France; [Ekaykin, Alexey] St Petersburg State Univ, Inst Earth Sci, St Petersburg 199178, Russia; [Ginot, Patrick; Legrand, Michel; Preunkert, Susanne] CNRS, UGA, Lab Glaciol &amp; Geophys Environm, F-38400 Grenoble, France; [Ginot, Patrick] CNRS, UGA, IRD, Observ Sci Univers Grenoble, F-38400 Grenoble, France</t>
  </si>
  <si>
    <t>Arctic &amp; Antarctic Research Institute; Institute of Geography, Russian Academy of Sciences; Russian Academy of Sciences; Universite Paris Saclay; Universite Paris Cite; CEA; Centre National de la Recherche Scientifique (CNRS); Saint Petersburg State University; Communaute Universite Grenoble Alpes; Universite Grenoble Alpes (UGA); Centre National de la Recherche Scientifique (CNRS); Centre National de la Recherche Scientifique (CNRS); Institut de Recherche pour le Developpement (IRD); Communaute Universite Grenoble Alpes; Universite Grenoble Alpes (UGA)</t>
  </si>
  <si>
    <t>Kozachek, A (corresponding author), Arctic &amp; Antarctic Res Inst, Climate &amp; Environm Res Lab, St Petersburg 199397, Russia.;Kozachek, A (corresponding author), Russian Acad Sci, Inst Geog, Moscow 119017, Russia.;Kozachek, A (corresponding author), CEA, CNRS, UVSQ, Lab Sci Climat &amp; Environm,IPSL, F-91191 Gif Sur Yvette, France.</t>
  </si>
  <si>
    <t>kozachek@aari.ru</t>
  </si>
  <si>
    <t>Legrand, Michel/AAU-4678-2020; Kutuzov, Stanislav/A-2775-2013; Kozachek, Anna V./JCE-4791-2023; Kozachek, Anna V./Q-4543-2016; Mikhalenko, Vladimir N/A-4253-2014; Masson-Delmotte, Valerie L/G-1995-2011; Ekaykin, Alexey/K-9894-2015; GINOT, Patrick/B-3770-2009</t>
  </si>
  <si>
    <t>Kutuzov, Stanislav/0000-0003-2007-0922; Kozachek, Anna V./0000-0002-9704-8064; Masson-Delmotte, Valerie L/0000-0001-8296-381X; Ekaykin, Alexey/0000-0001-9819-2802; Mikhalenko, Vladimir/0000-0001-6097-9861; GINOT, Patrick/0000-0003-4472-3721</t>
  </si>
  <si>
    <t>RFBR [14-05-31102 mol_a, 17-05-00771 a, 14-05-00137]; Russian Science Foundation [14-27-00030]; IAEA [16184/R0, 16795]</t>
  </si>
  <si>
    <t>RFBR(Russian Foundation for Basic Research (RFBR)); Russian Science Foundation(Russian Science Foundation (RSF)); IAEA(International Atomic Energy Agency)</t>
  </si>
  <si>
    <t>The research was supported by the RFBR grants 14-05-31102 mol_a and 17-05-00771 a. The analytical procedure ensuring a high accuracy of isotope data obtained at CERL was made possible with financial support from the Russian Science Foundation, grant 14-27-00030. The study of dust layers was conducted with the support of RFBR grant 14-05-00137. The measurement of the samples in IAEA was conducted according to research contracts 16184/R0 and 16795. This research work was conducted within the framework of the International Associated Laboratory (LIA) Climate and Environments from Ice Archives 2012-2016, linking several Russian and French laboratories and institutes. We thank Obbe Tuinenburg and Jean-Louis Bonne for the back-trajectory calculations. We thank Alice Lagnado for improving the English. We are grateful to four anonymous reviewers and the editor Shugui Hou for their comments, which helped to improve the paper.</t>
  </si>
  <si>
    <t>10.5194/cp-13-473-2017</t>
  </si>
  <si>
    <t>EU8YQ</t>
  </si>
  <si>
    <t>WOS:000401324800002</t>
  </si>
  <si>
    <t>Rankl, M; Fürst, JJ; Humbert, A; Braun, MH</t>
  </si>
  <si>
    <t>Rankl, Melanie; Fuerst, Johannes Jakob; Humbert, Angelika; Braun, Matthias Holger</t>
  </si>
  <si>
    <t>Dynamic changes on the Wilkins Ice Shelf during the 2006-2009 retreat derived from satellite observations</t>
  </si>
  <si>
    <t>ANTARCTIC PENINSULA; GLACIER; STABILITY; MECHANICS; DISCHARGE; COLLAPSE; DAMAGE</t>
  </si>
  <si>
    <t>The vast ice shelves around Antarctica provide significant restraint to the outflow from adjacent tributary glaciers. This important buttressing effect became apparent in the last decades, when outlet glaciers accelerated considerably after several ice shelves were lost around the Antarctic Peninsula (AP). The present study aims to assess dynamic changes on the Wilkins Ice Shelf (WIS) during different stages of ice-front retreat and partial collapse between early 2008 and 2009. The total ice-shelf area lost in these events was 2135 +/- 75 km(2) (similar to 15% of the ice-shelf area relative to 2007). Here, we use time series of synthetic aperture radar (SAR) satellite observations (1994-1996, 2006-2010) in order to derive variations in surface-flow speed from intensity-offset tracking. Spatial patterns of horizontal strain-rate, stress and stress-flow angle distributions are determined during different ice-front retreat stages. Prior to the final break up of an ice bridge in 2008, a strong speed up is observed, which is also discernible from other derived quantities. We identify areas that are important for buttressing and areas prone to fracturing using in-flow and first principal strain rates as well as principal stress components. Further propagation of fractures can be explained as the first principal components of strain rates and stresses exceed documented threshold values. Positive second principal stresses are another scale-free indicator for ice-shelf areas, where fractures preferentially open. Second principal strain rates are found to be insensitive to ice-front retreat or fracturing. Changes in stress-flow angles highlight similar areas as the in-flow strain rates but are difficult to interpret. Our study reveals the large potential of modern SAR satellite time series to better under-stand dynamic and structural changes during ice-shelf retreat but also points to uncertainties introduced by the methods applied.</t>
  </si>
  <si>
    <t>[Rankl, Melanie; Fuerst, Johannes Jakob; Braun, Matthias Holger] Friedrich Alexander Univ Erlangen Nurnberg, Inst Geog, D-91058 Erlangen, Germany; [Humbert, Angelika] Alfred Wegener Inst, Helmholtz Ctr Polar &amp; Marine Res, Glaciol Sect, D-27568 Bremerhaven, Germany; [Humbert, Angelika] Univ Bremen, Dept Geosci, D-28359 Bremen, Germany</t>
  </si>
  <si>
    <t>University of Erlangen Nuremberg; Helmholtz Association; Alfred Wegener Institute, Helmholtz Centre for Polar &amp; Marine Research; University of Bremen</t>
  </si>
  <si>
    <t>Rankl, M; Fürst, JJ (corresponding author), Friedrich Alexander Univ Erlangen Nurnberg, Inst Geog, D-91058 Erlangen, Germany.</t>
  </si>
  <si>
    <t>melanie.rankl@fau.de; johannes.fuerst@fau.de</t>
  </si>
  <si>
    <t>Braun, Matthias/0000-0001-5169-1567; Furst, Johannes/0000-0003-3988-5849; Humbert, Angelika/0000-0002-0244-8760</t>
  </si>
  <si>
    <t>Deutsche Forschungsgemeinschaft (DFG) [BR2105/8-1]; European Commission under the 7th Framework Program through the action from IMCONet (FP7 IRSES) [319718]; DFG [FU1032/1-1]; HGF Alliance Remote Sensing &amp; Earth System Dynamics</t>
  </si>
  <si>
    <t>Deutsche Forschungsgemeinschaft (DFG)(German Research Foundation (DFG)); European Commission under the 7th Framework Program through the action from IMCONet (FP7 IRSES)(European Union (EU)); DFG(German Research Foundation (DFG)); HGF Alliance Remote Sensing &amp; Earth System Dynamics</t>
  </si>
  <si>
    <t>Satellite data were kindly provided by DLR AO mabra_XTI_GLAC0264, ESA AO 4032 and AO 28292. The authors thank the Deutsche Forschungsgemeinschaft (DFG) for support in the framework of the priority program Antarctic Research with comparative investigations in Arctic ice areas under grant BR2105/8-1. Matthias Holger Braun received funding by the European Commission under the 7th Framework Program through the action from IMCONet (FP7 IRSES, action No. 319718) and Johannes Jakob Furst was supported by DFG grant FU1032/1-1. This work was embedded as co-funding activity within the HGF Alliance Remote Sensing &amp; Earth System Dynamics.</t>
  </si>
  <si>
    <t>10.5194/tc-11-1199-2017</t>
  </si>
  <si>
    <t>EU8ZY</t>
  </si>
  <si>
    <t>WOS:000401328200001</t>
  </si>
  <si>
    <t>Alsina-Pagès, RM; Socoró, JC; Salvador, M; Hervás, M</t>
  </si>
  <si>
    <t>Alsina-Pages, Rosa Ma; Claudi Socoro, Joan; Salvador, Marti; Hervas, Marcos</t>
  </si>
  <si>
    <t>Multiresolution acquisition scheme for the physical layer design of a direct sequence spread spectrum transequatorial HF ionospheric data link</t>
  </si>
  <si>
    <t>IET COMMUNICATIONS</t>
  </si>
  <si>
    <t>RADIO LINK; ANTARCTICA; BAND; CHANNELS; MODEL</t>
  </si>
  <si>
    <t>This study presents the final implementation of a multiresolution acquisition structure, designed and tested for a long-distance ionospheric High Frequency link from Antarctica to Spain. It completes the receiver's physical layer design for this link of 12,760 km, improving the performance of the communications system. The goals of this proposal are to achieve a faster convergence, as well as a more robust and stable acquisition and demodulation. The multiresolution structure is based on least mean square adaptive filters. Acquisition is achieved when a filter converges to a decimated version of the Pseudo-Noise sequence. Convergence parameters have been adjusted for best performance in the long-haul time variant ionospheric channel. The information about channel's multipath dispersion is used to improve the direct sequence spread spectrum demodulation at the receiver. The results presented in this study are obtained from real data transmitted through the ionospheric Antarctic channel in the austral summer of 2008 and show the improvements in terms of stability, robustness and Bit Error Rate in the receiver. These improvements led us to choose this multiresolution acquisition structure for the receiver of the Antarctic HF system.</t>
  </si>
  <si>
    <t>[Alsina-Pages, Rosa Ma; Claudi Socoro, Joan; Salvador, Marti; Hervas, Marcos] La Salle Univ Ramon Llull, GTM Grp Recerca Tecnol Media, C Quatre Camins 30, Barcelona 08022, Spain</t>
  </si>
  <si>
    <t>Universitat Ramon Llull</t>
  </si>
  <si>
    <t>Alsina-Pagès, RM (corresponding author), La Salle Univ Ramon Llull, GTM Grp Recerca Tecnol Media, C Quatre Camins 30, Barcelona 08022, Spain.</t>
  </si>
  <si>
    <t>ralsina@salleurl.edu</t>
  </si>
  <si>
    <t>Carrié, Joan Claudi Socoró/H-5985-2015; Hervás, Marcos/K-7016-2015; Alsina-Pagès, Rosa Ma/M-6099-2017</t>
  </si>
  <si>
    <t>Hervás, Marcos/0000-0003-2021-9264; Alsina-Pagès, Rosa Ma/0000-0003-2261-5471</t>
  </si>
  <si>
    <t>Spanish Government [CGL2006-12437-C02, CTM2008-03536-E, CTM2009-13843-C02, CTM2010-21312-C03]; Secretaria d'Universitats i Recerca del Departament d'Economia i Coneixement (Generalitat de Catalunya) [2014-SGR-0590]</t>
  </si>
  <si>
    <t>Spanish Government(Spanish Government); Secretaria d'Universitats i Recerca del Departament d'Economia i Coneixement (Generalitat de Catalunya)(Generalitat de Catalunya)</t>
  </si>
  <si>
    <t>This work has been funded by the Spanish Government under the projects CGL2006-12437-C02, CTM2008-03536-E, CTM2009-13843-C02 and CTM2010-21312-C03. The authors thank J.L. Pijoan and J.R. Regue, the Principal Investigators of these projects. The authors thank the Secretaria d'Universitats i Recerca del Departament d'Economia i Coneixement (Generalitat de Catalunya), under grant ref. 2014-SGR-0590, for funding partially the study that led to this paper.</t>
  </si>
  <si>
    <t>INST ENGINEERING TECHNOLOGY-IET</t>
  </si>
  <si>
    <t>HERTFORD</t>
  </si>
  <si>
    <t>MICHAEL FARADAY HOUSE SIX HILLS WAY STEVENAGE, HERTFORD SG1 2AY, ENGLAND</t>
  </si>
  <si>
    <t>1751-8628</t>
  </si>
  <si>
    <t>1751-8636</t>
  </si>
  <si>
    <t>IET COMMUN</t>
  </si>
  <si>
    <t>IET Commun.</t>
  </si>
  <si>
    <t>MAY 11</t>
  </si>
  <si>
    <t>10.1049/iet-com.2016.1221</t>
  </si>
  <si>
    <t>Engineering, Electrical &amp; Electronic</t>
  </si>
  <si>
    <t>EV7WB</t>
  </si>
  <si>
    <t>WOS:000401991200025</t>
  </si>
  <si>
    <t>Pritchard, HD</t>
  </si>
  <si>
    <t>Pritchard, Hamish D.</t>
  </si>
  <si>
    <t>RETRACTED: Asia's glaciers are a regionally important buffer against drought (Publication with Expression of Concern. See vol. 550, 2017) (Retracted article. See vol. 555, 2018)</t>
  </si>
  <si>
    <t>NATURE</t>
  </si>
  <si>
    <t>Article; Retracted Publication</t>
  </si>
  <si>
    <t>PRECIPITATION DATA; MASS-LOSS; CLIMATE; RIVER; HIMALAYA; YIELD; BASIN; MELT; DAM</t>
  </si>
  <si>
    <t>The high mountains of Asia-encompassing the Himalayas, the Hindu Kush, Karakoram, Pamir Alai, Kunlun Shan, and Tian Shan mountains-have the highest concentration of glaciers globally, and 800 million people depend in part on meltwater from them. Water stress makes this region vulnerable economically and socially to drought, but glaciers are a uniquely drought-resilient source of water. Here I show that these glaciers provide summer meltwater to rivers and aquifers that is sufficient for the basic needs of 136 million people, or most of the annual municipal and industrial needs of Pakistan, Tajikistan, Turkmenistan, Uzbekistan and Kyrgyzstan. During drought summers, meltwater dominates water inputs to the upper Indus and Aral river basins. Uncertainties in mountain precipitation are poorly known, but, given the magnitude of this water supply, predicted glacier loss would add considerably to drought-related water stress. Such additional water stress increases the risk of social instability, conflict and sudden, uncontrolled population migrations triggered by water scarcity, which is already associated with the large and rapidly growing populations and hydroeconomies of these basins.</t>
  </si>
  <si>
    <t>[Pritchard, Hamish D.] British Antarctic Survey, Madingley Rd, Cambridge CB3 0ET, England</t>
  </si>
  <si>
    <t>Pritchard, HD (corresponding author), British Antarctic Survey, Madingley Rd, Cambridge CB3 0ET, England.</t>
  </si>
  <si>
    <t>hprit@bas.ac.uk</t>
  </si>
  <si>
    <t>Pritchard, Hamish Daniel/AAU-4696-2021</t>
  </si>
  <si>
    <t>NERC [bas0100034, NE/R000107/1] Funding Source: UKRI; Natural Environment Research Council [NE/R000107/1, bas0100034] Funding Source: researchfish</t>
  </si>
  <si>
    <t>0028-0836</t>
  </si>
  <si>
    <t>1476-4687</t>
  </si>
  <si>
    <t>Nature</t>
  </si>
  <si>
    <t>10.1038/nature22062</t>
  </si>
  <si>
    <t>EU3XG</t>
  </si>
  <si>
    <t>WOS:000400963800024</t>
  </si>
  <si>
    <t>Colominas-Ciuró, R; Santos, M; Coria, N; Barbosa, A</t>
  </si>
  <si>
    <t>Colominas-Ciuro, Roger; Santos, Mercedes; Coria, Nestor; Barbosa, Andres</t>
  </si>
  <si>
    <t>Reproductive effort affects oxidative status and stress in an Antarctic penguin species: An experimental study</t>
  </si>
  <si>
    <t>BROOD SIZE; PYGOSCELIS-ANTARCTICA; CHINSTRAP PENGUINS; ADELIE PENGUINS; TRADE-OFF; ENERGY-EXPENDITURE; PARENTAL EFFORT; SEX; DAMAGE; COSTS</t>
  </si>
  <si>
    <t>The oxidative cost of reproduction has been a matter of debate in recent years presumably because of the lack of proper experimental studies. Based on the hypothesis that different brood sizes produce differential reproductive costs, an experimental manipulation during breeding of Ade A lie penguins was conducted at Hope Bay, Antarctica, to study oxidative status and stress. We predict that a lower reproductive effort should be positively related to low oxidative and physiological stress. We randomly assigned nests with two chicks to a control reproductive effort group (CRE), and by removing one chick from some nests with two chicks, formed a second, low reproductive effort group (LRE). We examined how oxidative status in blood plasma (reactive oxygen metabolites, ROMs, and total antioxidant capacity, OXY) and stress (heterophil/lymphocyte ratio, H/L) responded to a lower production of offspring total biomass. Our nest manipulation showed significant differences in offspring total biomass, which was lower in the LRE group. As predicted, the LRE group had higher antioxidant capacity than individuals in the CRE group. We have also found, although marginally significant, interactions between sex and treatment in the three variables analysed. Females had higher OXY, lower ROMs and lower H/L ratio when rearing one chick, whereas males did so when rearing two except for OXY which was high regardless of treatment. Moreover, there was a significant negative correlation between the H/L ratio and OXY in females. Finally, we have found a negative and significant relationship between the duration of the experiment and OXY and ROMs and positive with H/L ratio which suggests that indeed breeding penguins are paying an effort in physiological terms in relation to the duration of the chick rearing. In conclusion, a reduction of the reproductive effort decreased oxidative stress in this long-lived bird meaning that a link exists between breeding effort and oxidative stress. However, our findings suggest different sex strategies which results in opposite physiological responses presumably depending on different life-history strategies in males and females.</t>
  </si>
  <si>
    <t>[Colominas-Ciuro, Roger; Barbosa, Andres] CSIC, Museo Nacl Ciencias Nat, Dept Ecol Evolut, Calle Jose Gutierrez Abascal 2, Madrid, Spain; [Santos, Mercedes; Coria, Nestor] Inst Antartico Argentino, Div Biol, Cerrito 1248, RA-1010 Buenos Aires, DF, Argentina</t>
  </si>
  <si>
    <t>Consejo Superior de Investigaciones Cientificas (CSIC); CSIC - Museo Nacional de Ciencias Naturales (MNCN); Instituto Antartico Argentino</t>
  </si>
  <si>
    <t>Colominas-Ciuró, R (corresponding author), CSIC, Museo Nacl Ciencias Nat, Dept Ecol Evolut, Calle Jose Gutierrez Abascal 2, Madrid, Spain.</t>
  </si>
  <si>
    <t>rcolominas@mncn.csic.es</t>
  </si>
  <si>
    <t>Barbosa, Andrés/C-3208-2008; Colominas Ciuró, Roger/HOF-9267-2023; Colominas-Ciuro, Roger/ADL-7809-2022</t>
  </si>
  <si>
    <t>Barbosa, Andrés/0000-0001-8434-3649; Colominas-Ciuro, Roger/0000-0001-6312-0702</t>
  </si>
  <si>
    <t>Spanish Ministry of Economy and Competitiveness [CTM2011-24427, CTM2015-64720]; Spanish Ministry of Economy and Competitiveness FPI (Formacion de Personal Investigador) grant [BES2012-059299]</t>
  </si>
  <si>
    <t>Spanish Ministry of Economy and Competitiveness(Spanish Government); Spanish Ministry of Economy and Competitiveness FPI (Formacion de Personal Investigador) grant</t>
  </si>
  <si>
    <t>This study was funded by the Spanish Ministry of Economy and Competitiveness (CTM2011-24427 and CTM2015-64720) to AB. RCC was supported a Spanish Ministry of Economy and Competitiveness FPI (Formacion de Personal Investigador) grant (BES2012-059299; http://www.mineco.gob.es/portal/site/mineco/?lang_choosen=en).</t>
  </si>
  <si>
    <t>e0177124</t>
  </si>
  <si>
    <t>10.1371/journal.pone.0177124</t>
  </si>
  <si>
    <t>EU8UP</t>
  </si>
  <si>
    <t>Green Submitted, Green Published, gold</t>
  </si>
  <si>
    <t>WOS:000401314300062</t>
  </si>
  <si>
    <t>Tachikawa, K; Arsouze, T; Bayon, G; Bory, A; Colin, C; Dutay, JC; Frank, N; Giraud, X; Gourlan, AT; Jeandel, C; Lacan, F; Meynadier, L; Montagna, P; Piotrowski, AM; Plancherel, Y; Pucéat, E; Roy-Barman, M; Waelbroeck, C</t>
  </si>
  <si>
    <t>Tachikawa, Kazuyo; Arsouze, Thomas; Bayon, Germain; Bory, Aloys; Colin, Christophe; Dutay, Jean-Claude; Frank, Norbert; Giraud, Xavier; Gourlan, Alexandra T.; Jeandel, Catherine; Lacan, Francois; Meynadier, Laure; Montagna, Paolo; Piotrowski, Alexander M.; Plancherel, Yves; Puceat, Emmanuelle; Roy-Barman, Matthieu; Waelbroeck, Claire</t>
  </si>
  <si>
    <t>The large-scale evolution of neodymium isotopic composition in the global modern and Holocene ocean revealed from seawater and archive data</t>
  </si>
  <si>
    <t>Nd isotopes; Water mass tracer; Data compilation; Predicted seawater epsilon(Nd); Seawater-archive comparison</t>
  </si>
  <si>
    <t>RARE-EARTH-ELEMENTS; NORTH-ATLANTIC DEEP; ANTARCTIC INTERMEDIATE WATER; LAST GLACIAL MAXIMUM; PARTICULATE MATERIAL DISSOLUTION; SEA SEDIMENTS IMPLICATIONS; MN OXYHYDROXIDE COATINGS; WESTERN PACIFIC-OCEAN; CENTRAL ARCTIC-OCEAN; FOSSIL FISH TEETH</t>
  </si>
  <si>
    <t>Neodymium isotopic compositions (Nd-143/Nd-144 or epsilon(Nd)) have been used as a tracer of water masses and lithogenic inputs to the ocean. To further evaluate the faithfulness of this tracer, we have updated a global seawater epsilon(Nd) database and combined it with hydrography parameters (temperature, salinity, nutrients and oxygen concentrations), carbon isotopic ratio and radiocarbon of dissolved inorganic carbon. Archive epsilon(Nd) data are also compiled for leachates, foraminiferal tests, deep-sea corals and fish teeth/debris from the Holocene period (&lt; 10,000 years). At water depths &gt;= 1500m, property-property plots show clear correlations between seawater epsilon(Nd) and the other variables, suggesting that large-scale water mass mixing is a primary control of deepwater epsilon(Nd) distribution. At &gt;= 200m, basin-scale seawater T-S-epsilon(Nd) diagrams demonstrate the isotopic evolution of different water masses. Seawater and archive epsilon(Nd) values are compared using property-property plots and T-S-epsilon(Nd) diagrams. Archive values generally agree with corresponding seawater values although they tend to be at the upper limit in the Pacific. Both positive and negative offsets exist in the northern North Atlantic. Applying multiple regression analysis to deep (&gt;= 1500m) seawater data, we established empirical equations that predict the main, large-scale, deepwater epsilon(Nd) trends from hydrography parameters. Large offsets from the predicted values are interpreted as a sign of significant local/regional influence. Dominant continental influence on seawater and archive epsilon(Nd) is observed mainly within 1000 km from the continents. Generally, seawater and archive epsilon(Nd) values form gradual latitudinal trend in the Atlantic and Pacific at depths &gt;= 600m, consistent with the idea that Nd isotopes help distinguish between northern/southern sourced water contributions at intermediate and deep water depths.</t>
  </si>
  <si>
    <t>[Tachikawa, Kazuyo; Giraud, Xavier] Aix Marseille Univ, CNRS, IRD, Aix En Provence, France; [Tachikawa, Kazuyo; Giraud, Xavier] Coll France, CEREGE, Aix En Provence, France; [Arsouze, Thomas] Ecole Polytech, Lab Meteorol Dynam, Palaiseau, France; [Arsouze, Thomas] Univ Paris Saclay, ENSTA ParisTech, 828 Bd Marechaux, F-91762 Palaiseau, France; [Bayon, Germain] IFREMER, Unite Rech Geosci Marines, F-29280 Plouzane, France; [Bory, Aloys] Univ Lille, CNRS, Univ Littoral Cote dOpale, UMR8187,LOG, F-59000 Lille, France; [Colin, Christophe] Univ Paris Saclay, Univ Paris Sud, Lab Geosci ParisSud GEOPS, F-91405 Orsay, France; [Dutay, Jean-Claude; Roy-Barman, Matthieu; Waelbroeck, Claire] Univ Paris Saclay, CEA CNRS UVSQ, Lab Sci Climat &amp; Environm LSCE PSL, F-91191 Gif Sur Yvette, France; [Frank, Norbert] Heidelberg Univ, Inst Environm Phys, D-69120 Heidelberg, Germany; [Gourlan, Alexandra T.] Univ Grenoble Alpes, ISTerre, CS 40700, F-38058 Grenoble 9, France; [Jeandel, Catherine; Lacan, Francois] Univ Toulouse, CNRS, CNES, Observ Midi Pyrenees,IRD,UPS,LEGOS, Toulouse, France; [Meynadier, Laure] Univ Paris Diderot, UMR CNRS 7154, Sorbonne Paris Cite, Equipe Geochim Cosmochim,Inst Phys Globe Paris, 1 Rue Jussieu, F-75005 Paris, France; [Montagna, Paolo] ISMAR CNR, Via Gobetti 101, I-40129 Bologna, Italy; [Piotrowski, Alexander M.] Univ Cambridge, Dept Earth Sci, Cambridge, England; [Plancherel, Yves] Univ Oxford, Dept Earth Sci, Oxford OK1 3AN, England; [Puceat, Emmanuelle] UMR CNRS 6282 Biogeosci, 6 Bd Gabriel, F-21000 Dijon, France</t>
  </si>
  <si>
    <t>Aix-Marseille Universite; Institut de Recherche pour le Developpement (IRD); Centre National de la Recherche Scientifique (CNRS); Aix-Marseille Universite; Universite PSL; College de France; Institut Polytechnique de Paris; Sorbonne Universite; Universite Paris Saclay; Institut Polytechnique de Paris; Universite Paris Cite; Ifremer; Universite de Lille; Centre National de la Recherche Scientifique (CNRS); CNRS - National Institute for Earth Sciences &amp; Astronomy (INSU); Universite Paris Saclay; Universite Paris Cite; Universite Paris Cite; CEA; Centre National de la Recherche Scientifique (CNRS); Universite Paris Saclay; Ruprecht Karls University Heidelberg; Communaute Universite Grenoble Alpes; Universite Grenoble Alpes (UGA); Centre National de la Recherche Scientifique (CNRS); Institut de Recherche pour le Developpement (IRD); Universite Gustave-Eiffel; Universite Savoie Mont Blanc; Universite de Toulouse; Universite Toulouse III - Paul Sabatier; Centre National de la Recherche Scientifique (CNRS); Institut de Recherche pour le Developpement (IRD); Laboratoire d'Etudes en Geophysique et oceanographie spatiales; Centre National de la Recherche Scientifique (CNRS); CNRS - National Institute for Earth Sciences &amp; Astronomy (INSU); Universite Paris Cite; Consiglio Nazionale delle Ricerche (CNR); Istituto di Scienze Marine (ISMAR-CNR); University of Cambridge; University of Oxford; Centre National de la Recherche Scientifique (CNRS); Universite de Bourgogne</t>
  </si>
  <si>
    <t>Tachikawa, K (corresponding author), Aix Marseille Univ, CNRS, IRD, Aix En Provence, France.;Tachikawa, K (corresponding author), Coll France, CEREGE, Aix En Provence, France.</t>
  </si>
  <si>
    <t>kazuyo@cerege.fr</t>
  </si>
  <si>
    <t>Bayon, Germain/F-9754-2010; Montagna, Paolo/H-9632-2015; Lacan, Francois/B-8032-2009; Gourlan, Alexandra/AAB-4046-2021; Frank, Norbert/D-6486-2016</t>
  </si>
  <si>
    <t>Montagna, Paolo/0000-0001-5598-2214; Lacan, Francois/0000-0001-6794-2279; Arsouze, Thomas/0000-0002-8871-6120; GIRAUD, Xavier/0000-0001-5067-8176; Frank, Norbert/0000-0002-0416-9546; Plancherel, Yves/0000-0002-3624-0757; BORY, Aloys/0000-0002-0251-6372; Bayon, Germain/0000-0002-6791-4953; waelbroeck, claire/0000-0002-7256-5727; , Kazuyo/0000-0002-9522-8600</t>
  </si>
  <si>
    <t>NEOSYMPA project (CYBER/LEFE); German Science Foundation through DFG-NEOGLACIAL [FR-1341/3-1, FR-1341/3-2]; NERC [NE/H008713/1, NE/F006047/1, NE/K005235/1, NE/M017826/1] Funding Source: UKRI; Natural Environment Research Council [NE/F006047/1, NE/K005235/1, NE/M017826/1, NE/H008713/1] Funding Source: researchfish</t>
  </si>
  <si>
    <t>NEOSYMPA project (CYBER/LEFE); German Science Foundation through DFG-NEOGLACIAL; NERC(UK Research &amp; Innovation (UKRI)Natural Environment Research Council (NERC)); Natural Environment Research Council(UK Research &amp; Innovation (UKRI)Natural Environment Research Council (NERC))</t>
  </si>
  <si>
    <t>This work was supported by NEOSYMPA project (CYBER/LEFE) granted to KT. We thank l'OSU-Institut Pytheas for technical support of data extraction program. Norbert Frank further received support from the German Science Foundation through the project DFG-NEOGLACIAL (FR-1341/3-1 and 3-2). We thank Brian Haley for helpful suggestions. Thibault de Garidel-Thoron is thanked for the initiation of ODV for KT.</t>
  </si>
  <si>
    <t>MAY 10</t>
  </si>
  <si>
    <t>10.1016/j.chemgeo.2017.03.018</t>
  </si>
  <si>
    <t>EX8RC</t>
  </si>
  <si>
    <t>WOS:000403516900012</t>
  </si>
  <si>
    <t>Beltran, RS; Testa, JW; Burns, JM</t>
  </si>
  <si>
    <t>Beltran, Roxanne S.; Testa, J. Ward; Burns, Jennifer M.</t>
  </si>
  <si>
    <t>An agent-based bioenergetics model for predicting impacts of environmental change on a top marine predator, the Weddell seal</t>
  </si>
  <si>
    <t>ECOLOGICAL MODELLING</t>
  </si>
  <si>
    <t>Bioenergetics; Pinnipeds; Agent-based model; Climate change; Fishing pressure</t>
  </si>
  <si>
    <t>NORTHERN ELEPHANT SEAL; TROPHIC-LEVEL PREDATORS; LEPTONYCHOTES-WEDDELLII; HARP SEALS; HALICHOERUS-GRYPUS; HABITAT SELECTION; SOUTHERN-OCEAN; CLIMATE-CHANGE; PHOCID SEALS; GREY SEAL</t>
  </si>
  <si>
    <t>One of the crucial scientific challenges of this century is characterizing the vulnerability of ecosystems to climate change. Bioenergetics models can provide a theoretical construct for addressing specific physiological and ecological hypotheses about how individuals may respond; however, many models fail to link energy deficiencies with reproductive consequences, and thus cannotbe used to predict population-level impacts. Here, we present an agent-based, ecophysiological model that simulates the energy balance of adult, female Weddell seals (Leptonychotes weddellii). The input parameters include physiological values and population -wide ranges for the duration and phenology of life history events. Energy intake depends on foraging effort and stochastic prey availability, whereas energy expenditure is calculated from time and behavior-specific demands. The simulated seal selects an activity (forage, nurse pup, molt, rest) based on body condition and life history constraints. At the end of each timestep, the energy budget is balanced, and catabolism or anabolism occurs. Following model development and validation with empirical data, simulations were run to study the responses of individuals to: (1) baseline conditions; and (2) reduced prey availability. As expected, the model replicated the known fluctuations in energetic requirements associated with reproduction and molt. A 10% reduction in prey availability resulted in seals foraging more and resting less. At the end of the year-long simulations, animals in the baseline simulation had significantly higher body masses than animals in the perturbation simulation. The model was successfully used to explore decision-based energy allocation strategies that occur under different energetic stressors and to elucidate how extrinsic conditions can impact individual fitness. Identifying the temporal sensitivities of Weddell seals to predicted anthropogenic changes is a valuable contribution to the study of global change biology and can inform management decisions in polar regions. (C) 2017 Elsevier B.V. All rights reserved.</t>
  </si>
  <si>
    <t>[Beltran, Roxanne S.] Univ Alaska Fairbanks, Dept Biol &amp; Wildlife, 101 Murie Bldg,982 Koyukuk Dr, Fairbanks, AK 99775 USA; [Beltran, Roxanne S.; Testa, J. Ward; Burns, Jennifer M.] Univ Alaska Anchorage, Dept Biol Sci, 3101 Sci Circle, Anchorage, AK 99508 USA; [Testa, J. Ward] Natl Marine Fisheries Serv, Natl Marine Mammal Lab, Alaska Fisheries Sci Ctr, NOAA, 7600 Sand Point Way NE F-AKC3, Seattle, WA 98115 USA</t>
  </si>
  <si>
    <t>University of Alaska System; University of Alaska Fairbanks; University of Alaska System; University of Alaska Anchorage; National Oceanic Atmospheric Admin (NOAA) - USA</t>
  </si>
  <si>
    <t>Beltran, RS (corresponding author), Univ Alaska Fairbanks, Dept Biol &amp; Wildlife, 101 Murie Bldg,982 Koyukuk Dr, Fairbanks, AK 99775 USA.</t>
  </si>
  <si>
    <t>Roxanne.beltran@gmail.com</t>
  </si>
  <si>
    <t>Burns, Jennifer/AAC-8243-2019</t>
  </si>
  <si>
    <t>Burns, Jennifer/0000-0001-9652-2943; Beltran, Roxanne/0000-0002-8520-1105</t>
  </si>
  <si>
    <t>NSF [ANT-1246463]; INBRE graduate research fellowship; NSF graduate research fellowship; LGL graduate student research award; National Science Foundation Graduate Research Fellowship Program [2015174455]; Institutional Development Award (IDeA) from the National Institute of General Medical Sciences of the National Institutes of Health [P2OGM103395]; Directorate For Geosciences; Division Of Ocean Sciences [1246463] Funding Source: National Science Foundation</t>
  </si>
  <si>
    <t>NSF(National Science Foundation (NSF)); INBRE graduate research fellowship; NSF graduate research fellowship(National Science Foundation (NSF)); LGL graduate student research award; National Science Foundation Graduate Research Fellowship Program(National Science Foundation (NSF)); Institutional Development Award (IDeA) from the National Institute of General Medical Sciences of the National Institutes of Health; Directorate For Geosciences; Division Of Ocean Sciences(National Science Foundation (NSF)NSF - Directorate for Geosciences (GEO))</t>
  </si>
  <si>
    <t>We thank B-292 field members Amy Kirkham, Michelle Shero, Linnea Pearson, and Patrick Robinson for sample collection, and also group B-009-M led by Drs. Robert Garrott and Jay Rotella for their help locating study animals. This project was made possible by logistical support from the National Science Foundation (NSF) United States Antarctic Program, Lockheed Martin Antarctic Support Contract, and support staff in Christchurch, New Zealand and McMurdo Station. This research was conducted with financial support from NSF grant ANT-1246463 to JMB and JWT, and an INBRE graduate research fellowship, NSF graduate research fellowship and LGL graduate student research award to RSB. This material is based upon work supported by the National Science Foundation Graduate Research Fellowship Program under Grant No. 2015174455. Research reported in this publication was supported by an Institutional Development Award (IDeA) from the National Institute of General Medical Sciences of the National Institutes of Health under Award Number P2OGM103395. The content is solely the responsibility of the authors and does not necessarily represent the official views of the National Institutes of Health. Animal handling protocols were approved by the University of Alaska Anchorage's Institutional Animal Care and Use Committee approval #419971-1. Research and sample import to the United States was authorized under National Marine Fisheries Service Marine Mammal permit #17411. Research activities were approved through Antarctic Conservation Act permit #2014-003. Many thanks to Doug Causey and to Don Spalinger for the helpful discussions about agent -based modeling and sensitivity analyses; to Luke Miller for producing the R script to extract sea surface temperature data from NOAA's Optimum Interpolated Sea Surface Temperature products; and to Jenny Shepperson, Pierre Dupont, Uta Berger, Steve Rails back, Cyril Piou, and the members of the 2014 Individual -Based Modeling Course for helpful feedback during the model development stages.</t>
  </si>
  <si>
    <t>0304-3800</t>
  </si>
  <si>
    <t>1872-7026</t>
  </si>
  <si>
    <t>ECOL MODEL</t>
  </si>
  <si>
    <t>Ecol. Model.</t>
  </si>
  <si>
    <t>10.1016/j.ecolmodel.2017.02.002</t>
  </si>
  <si>
    <t>ES1AC</t>
  </si>
  <si>
    <t>WOS:000399259300004</t>
  </si>
  <si>
    <t>Balasuriya, S</t>
  </si>
  <si>
    <t>Balasuriya, Sanjeeva</t>
  </si>
  <si>
    <t>Unsteadily manipulating internal flow barriers</t>
  </si>
  <si>
    <t>JOURNAL OF FLUID MECHANICS</t>
  </si>
  <si>
    <t>flow control; mixing; nonlinear dynamical systems</t>
  </si>
  <si>
    <t>LAGRANGIAN COHERENT STRUCTURES; TIME LYAPUNOV EXPONENTS; FLUID-FLOWS; MICROFLUIDIC CHANNELS; EFFICIENT NAVIGATION; 2-DIMENSIONAL FLOWS; TRANSPORT BARRIERS; UNSTABLE MANIFOLDS; VECTOR-FIELDS; CHAOS</t>
  </si>
  <si>
    <t>Typical flows contain internal flow barriers: specialised time-moving Lagrangian entities which demarcate distinct motions. Examples include the boundary between an oceanic eddy and a nearby jet, the edge of the Antarctic circumpolar vortex or the interface between two fluids which are to be mixed together in an microfluidic assay. The ability to control the locations of these barriers in a user-specified time-varying (unsteady) way can profoundly impact fluid transport between the coherent structures which are separated by the barriers. A condition on the unsteady Eulerian velocity required to achieve this objective is explicitly derived, thereby solving an 'inverse Lagrangian coherent structure' problem. This is an important first step in developing flow-barrier control in realistic flows, and in providing a postprocessing tool for observational/experimental velocity data. The excellent accuracy of the method is demonstrated using the KelvinStuart cats-eyes flow and the unsteady double gyre, utilising finite-time Lyapunov exponents.</t>
  </si>
  <si>
    <t>[Balasuriya, Sanjeeva] Univ Adelaide, Sch Math Sci, Adelaide, SA 5005, Australia</t>
  </si>
  <si>
    <t>University of Adelaide</t>
  </si>
  <si>
    <t>Balasuriya, S (corresponding author), Univ Adelaide, Sch Math Sci, Adelaide, SA 5005, Australia.</t>
  </si>
  <si>
    <t>sanjeevabalasuriya@yahoo.com</t>
  </si>
  <si>
    <t>Balasuriya, Sanjeeva/0000-0002-3261-7940</t>
  </si>
  <si>
    <t>Australian Research Council [FT130100484]; Australian Research Council [FT130100484] Funding Source: Australian Research Council</t>
  </si>
  <si>
    <t>Support from the Australian Research Council through Future Fellowship grant FT130100484 is gratefully acknowledged.</t>
  </si>
  <si>
    <t>0022-1120</t>
  </si>
  <si>
    <t>1469-7645</t>
  </si>
  <si>
    <t>J FLUID MECH</t>
  </si>
  <si>
    <t>J. Fluid Mech.</t>
  </si>
  <si>
    <t>10.1017/jfm.2017.117</t>
  </si>
  <si>
    <t>Mechanics; Physics, Fluids &amp; Plasmas</t>
  </si>
  <si>
    <t>Mechanics; Physics</t>
  </si>
  <si>
    <t>ER0WE</t>
  </si>
  <si>
    <t>WOS:000398508300021</t>
  </si>
  <si>
    <t>Wood, J; Smyth, TJ; Estellés, V</t>
  </si>
  <si>
    <t>Wood, John; Smyth, Tim J.; Estelles, Victor</t>
  </si>
  <si>
    <t>Autonomous marine hyperspectral radiometers for determining solar irradiances and aerosol optical properties</t>
  </si>
  <si>
    <t>ATMOSPHERIC MEASUREMENT TECHNIQUES</t>
  </si>
  <si>
    <t>SUN PHOTOMETER; CALIBRATION; DESIGN; OPERATION; NETWORK</t>
  </si>
  <si>
    <t>We have developed two hyperspectral radiometer systems which require no moving parts, shade rings or motorised tracking, making them ideally suited for autonomous use in the inhospitable remote marine environment. Both systems are able to measure direct and diffuse hyperspectral irradiance in the wavelength range 350-1050 nm at 6 nm (Spectrometer 1) or 3.5 nm (Spectrometer 2) resolution. Marine field trials along a 100 degrees transect (between 50 degrees N and 50 degrees S) of the Atlantic Ocean resulted in close agreement with existing commercially available instruments in measuring (1) photo-synthetically available radiation (PAR), with both spectrometers giving regression slopes close to unity (Spectrometer 1: 0.960; Spectrometer 2: 1.006) and R-2 similar to 0.96; (2) irradiant energy, with R-2 similar to 0.98 and a regression slope of 0.75 which can be accounted for by the difference in wavelength integration range; and (3) hyperspectral irradiance where the agreement on average was between 2 and 5 %. Two long duration land-based field campaigns of up to 18 months allowed both spectrometers to be well calibrated. This was also invaluable for empirically correcting for the wider field of view (FOV) of the spectrometers in comparison with the current generation of sun photometers (similar to 7.5 degrees compared with similar to 1 degrees). The need for this correction was also confirmed and independently quantified by atmospheric radiative transfer modelling and found to be a function of aerosol optical depth (AOD) and solar zenith angle. Once Spectrometer 2 was well calibrated and the FOV effect corrected for, the RMSE in retrievals of AOD when compared with a CIMEL sun photometer were reduced to similar to 0.02-0.03 with R-2 &gt; 0.95 at wavelengths 440, 500, 670 and 870 nm. Corrections for the FOV as well as ship motion were applied to the data from the marine field trials. This resulted in AOD(500 nm) ranging between 0.05 in the clear background marine aerosol regions and similar to 0.5 within the Saharan dust plume. The RMSE between the handheld Microtops sun photometer and Spectrometer 2 was between 0.047 and 0.057 with R-2 &gt; 0.94.</t>
  </si>
  <si>
    <t>[Wood, John] Peak Design Ltd, Sunnybank House,Wensley Rd, Winster DE4 2DH, Derbys, England; [Smyth, Tim J.] Plymouth Marine Lab, Prospect Pl, Plymouth PL1 3DH, Devon, England; [Estelles, Victor] Univ Valencia, Dept Fis Terra &amp; Termodinam, E-46100 Burjassot, Spain</t>
  </si>
  <si>
    <t>Plymouth Marine Laboratory; University of Valencia</t>
  </si>
  <si>
    <t>Smyth, TJ (corresponding author), Plymouth Marine Lab, Prospect Pl, Plymouth PL1 3DH, Devon, England.</t>
  </si>
  <si>
    <t>tjsm@pml.ac.uk</t>
  </si>
  <si>
    <t>Estelles, Victor/I-4673-2014; Smyth, Tim/D-2008-2012</t>
  </si>
  <si>
    <t>Smyth, Tim/0000-0003-0659-1422</t>
  </si>
  <si>
    <t>European Regional Development Fund; Autonomous Government [PROMETEUII/2014/058]; UK Natural Environment Research Council National Capability funding; National Oceanography Centre, Southampton; AMT programme [307]; Natural Environment Research Council [pml010007] Funding Source: researchfish; NERC [pml010007] Funding Source: UKRI</t>
  </si>
  <si>
    <t>European Regional Development Fund(European Union (EU)); Autonomous Government; UK Natural Environment Research Council National Capability funding(UK Research &amp; Innovation (UKRI)Natural Environment Research Council (NERC)); National Oceanography Centre, Southampton; AMT programme; Natural Environment Research Council(UK Research &amp; Innovation (UKRI)Natural Environment Research Council (NERC)); NERC(UK Research &amp; Innovation (UKRI)Natural Environment Research Council (NERC))</t>
  </si>
  <si>
    <t>The authors would like to thank the crew of the RRS James Clark Ross and staff of the British Antarctic Survey for the considerable help they gave in deploying the spectrometers during AMT24. John Wood would like to thank Delta-T Devices Ltd for their encouragement and the East Midlands Development Agency for funding assistance during the early stage of prototype design. Victor Estelles was funded by the European Regional Development Fund, the Spanish Ministry of Economy and Competitiveness (CGL2015-64785-R, CGL2015-70432-R), and the Valencia Autonomous Government (PROMETEUII/2014/058). The Microtops data collected on AMT24 were processed by the NASA AERONET Maritime Aerosol Network program. This study is a contribution to the international IMBER project and was supported by the UK Natural Environment Research Council National Capability funding to Plymouth Marine Laboratory (Tim J. Smyth) and the National Oceanography Centre, Southampton. This is contribution number 307 of the AMT programme.</t>
  </si>
  <si>
    <t>1867-1381</t>
  </si>
  <si>
    <t>1867-8548</t>
  </si>
  <si>
    <t>ATMOS MEAS TECH</t>
  </si>
  <si>
    <t>Atmos. Meas. Tech.</t>
  </si>
  <si>
    <t>MAY 9</t>
  </si>
  <si>
    <t>10.5194/amt-10-1723-2017</t>
  </si>
  <si>
    <t>FF9VN</t>
  </si>
  <si>
    <t>Green Accepted, gold</t>
  </si>
  <si>
    <t>WOS:000409366300001</t>
  </si>
  <si>
    <t>Inoue, M; Curran, MAJ; Moy, AD; van Ommen, TD; Fraser, AD; Phillips, HE; Goodwin, ID</t>
  </si>
  <si>
    <t>Inoue, Mana; Curran, Mark A. J.; Moy, Andrew D.; van Ommen, Tas D.; Fraser, Alexander D.; Phillips, Helen E.; Goodwin, Ian D.</t>
  </si>
  <si>
    <t>A glaciochemical study of the 120m ice core from Mill Island, East Antarctica</t>
  </si>
  <si>
    <t>LAW DOME; METHANESULFONIC-ACID; SEA; VARIABILITY; CHEMISTRY; INDICATOR; AEROSOL; RECORD; H2O2</t>
  </si>
  <si>
    <t>A 120m ice core was drilled on Mill Island, East Antarctica (65 degrees 30'S, 100 degrees 40'E) during the 2009/2010 Australian Antarctic field season. Contiguous discrete 5 cm samples were measured for hydrogen peroxide, water stable isotopes, and trace ion chemistry. The ice core was annually dated using a combination of chemical species and water stable isotopes. The Mill Island ice core preserves a climate record covering 97 years from 1913 to 2009 CE, with a mean snow accumulation of 1.35m (ice-equivalent) per year (mIE yr(-1)). This northernmost East Antarctic coastal ice core site displays trace ion concentrations that are generally higher than other Antarctic ice core sites (e.g. mean sodium levels were 254 mu Eq L-1). The trace ion record at Mill Island is characterised by a unique and complex chemistry record with three distinct regimes identified. The trace ion record in regime A displays clear seasonality from 2000 to 2009 CE; regime B displays elevated concentrations with no seasonality from 1934 to 2000 CE; and regime C displays relatively low concentrations with seasonality from 1913 to 1934 CE. Sea salts were compared with instrumental data, including atmospheric models and satellite-derived sea-ice concentration, to investigate influences on the Mill Island ice core record. The mean annual sea salt record does not correlate with wind speed. Instead, sea-ice concentration to the east of Mill Island likely influences the annual mean sea salt record. A mechanism involving formation of frost flowers on sea ice is proposed to explain the extremely high sea salt concentration. The Mill Island ice core records are unexpectedly complex, with strong modulation of the trace chemistry on long timescales.</t>
  </si>
  <si>
    <t>[Inoue, Mana; Curran, Mark A. J.; Moy, Andrew D.; van Ommen, Tas D.; Fraser, Alexander D.] Univ Tasmania, Antarctic Climate &amp; Ecosyst Cooperat Res Ctr, Private Bag 80, Hobart, Tas 7005, Australia; [Inoue, Mana; Phillips, Helen E.] Univ Tasmania, Inst Marine &amp; Antarctic Studies, Hobart, Tas 7001, Australia; [Curran, Mark A. J.; Moy, Andrew D.; van Ommen, Tas D.] Australian Antarctic Div, Channel Highway, Kingston, Tas 7050, Australia; [Fraser, Alexander D.] Hokkaido Univ, Inst Low Temp Sci, Kita Ku, N19,W8, Sapporo, Hokkaido 0600819, Japan; [Goodwin, Ian D.] Macquarie Univ, Marine Climate Risk Grp, Dept Environm &amp; Geog, Eastern Rd, Sydney, NSW 2109, Australia</t>
  </si>
  <si>
    <t>University of Tasmania; Antarctic Climate &amp; Ecosystems Cooperative Research Centre (ACE CRC); University of Tasmania; Australian Antarctic Division; Hokkaido University; Macquarie University</t>
  </si>
  <si>
    <t>Inoue, M (corresponding author), Univ Tasmania, Antarctic Climate &amp; Ecosyst Cooperat Res Ctr, Private Bag 80, Hobart, Tas 7005, Australia.;Inoue, M (corresponding author), Univ Tasmania, Inst Marine &amp; Antarctic Studies, Hobart, Tas 7001, Australia.</t>
  </si>
  <si>
    <t>manainoue@gmail.com</t>
  </si>
  <si>
    <t>Phillips, Helen/I-3761-2013; Fraser, Alexander/AFO-7186-2022; van Ommen, Tas/B-5020-2012</t>
  </si>
  <si>
    <t>Phillips, Helen/0000-0002-2941-7577; Fraser, Alexander/0000-0003-1924-0015; Moy, Andrew/0000-0002-7664-9960; Goodwin, Ian/0000-0001-8682-6409; van Ommen, Tas/0000-0002-2463-1718</t>
  </si>
  <si>
    <t>Australian Antarctic Division [AAS1236]; Japan Society for the Promotion of Science [25.03748]; Australian Government's Cooperative Research Centre program through the Antarctic Climate and Ecosystems Cooperative Research Centre</t>
  </si>
  <si>
    <t>Australian Antarctic Division; Japan Society for the Promotion of Science(Ministry of Education, Culture, Sports, Science and Technology, Japan (MEXT)Japan Society for the Promotion of Science); Australian Government's Cooperative Research Centre program through the Antarctic Climate and Ecosystems Cooperative Research Centre(Australian GovernmentDepartment of Industry, Innovation and ScienceCooperative Research Centres (CRC) Programme)</t>
  </si>
  <si>
    <t>The Australian Antarctic Division provided funding and logistical support (AAS1236). This work was supported by the Japan Society for the Promotion of Science Grant-in-Aid for Scientific Research (KAKENHI) no. 25.03748, and by the Australian Government's Cooperative Research Centre program through the Antarctic Climate and Ecosystems Cooperative Research Centre. The authors would like to thank to Meredith Nation and Sam Poynter for their assistance in laboratory and Indi Hodgson-Johnston for creating Fig. 12.</t>
  </si>
  <si>
    <t>10.5194/cp-13-437-2017</t>
  </si>
  <si>
    <t>GQ0WQ</t>
  </si>
  <si>
    <t>WOS:000441341200001</t>
  </si>
  <si>
    <t>Drews, R; Pattyn, F; Hewitt, IJ; Ng, FSL; Berger, S; Matsuoka, K; Helm, V; Bergeot, N; Favier, L; Neckel, N</t>
  </si>
  <si>
    <t>Drews, R.; Pattyn, F.; Hewitt, I. J.; Ng, F. S. L.; Berger, S.; Matsuoka, K.; Helm, V.; Bergeot, N.; Favier, L.; Neckel, N.</t>
  </si>
  <si>
    <t>Actively evolving subglacial conduits and eskers initiate ice shelf channels at an Antarctic grounding line</t>
  </si>
  <si>
    <t>EAST ANTARCTICA; SHEET; GLACIER; LAURENTIDE; GREENLAND; SEDIMENT; DRAINAGE; BED; STABILITY; SURFACE</t>
  </si>
  <si>
    <t>Ice-shelf channels are long curvilinear tracts of thin ice found on Antarctic ice shelves. Many of them originate near the grounding line, but their formation mechanisms remain poorly understood. Here we use ice-penetrating radar data from Roi Baudouin Ice Shelf, East Antarctica, to infer that the morphology of several ice-shelf channels is seeded upstream of the grounding line by large basal obstacles indenting the ice from below. We interpret each obstacle as an esker ridge formed from sediments deposited by subglacial water conduits, and calculate that the eskers' size grows towards the grounding line where deposition rates are maximum. Relict features on the shelf indicate that these linked systems of subglacial conduits and ice-shelf channels have been changing over the past few centuries. Because ice-shelf channels are loci where intense melting occurs to thin an ice shelf, these findings expose a novel link between subglacial drainage, sedimentation and ice-shelf stability.</t>
  </si>
  <si>
    <t>[Drews, R.; Pattyn, F.; Berger, S.; Favier, L.] Univ Libre Bruxelles, Lab Glaciol, Ave FD Roosevelt 50, B-1050 Brussels, Belgium; [Drews, R.] Bavarian Acad Sci &amp; Humanities, Glaziol, Alfons Goppel Str 11, D-80539 Munich, Germany; [Hewitt, I. J.] Univ Oxford, Math Inst, Woodstock Rd, Oxford OX2 6GG, England; [Ng, F. S. L.] Univ Sheffield, Dept Geog, Winter St, Sheffield S10 2TN, S Yorkshire, England; [Matsuoka, K.] Norwegian Polar Res Inst, Fram Ctr, N-9296 Tromso, Norway; [Helm, V.; Neckel, N.] Alfred Wegener Inst, Alten Hafen 26, D-27568 Bremerhaven, Germany; [Bergeot, N.] Royal Observ Belgium, Ave Circulaire 3, B-1180 Brussels, Belgium; [Drews, R.] Univ Tubingen, Earth Syst Dynam Res, Wilhelmstr 56, D-72074 Tubingen, Germany</t>
  </si>
  <si>
    <t>Universite Libre de Bruxelles; University of Oxford; University of Sheffield; Norwegian Polar Institute; Helmholtz Association; Alfred Wegener Institute, Helmholtz Centre for Polar &amp; Marine Research; Eberhard Karls University of Tubingen</t>
  </si>
  <si>
    <t>Drews, R (corresponding author), Univ Libre Bruxelles, Lab Glaciol, Ave FD Roosevelt 50, B-1050 Brussels, Belgium.;Drews, R (corresponding author), Bavarian Acad Sci &amp; Humanities, Glaziol, Alfons Goppel Str 11, D-80539 Munich, Germany.;Drews, R (corresponding author), Univ Tubingen, Earth Syst Dynam Res, Wilhelmstr 56, D-72074 Tubingen, Germany.</t>
  </si>
  <si>
    <t>reinhard.drews@uni-tuebingen.de</t>
  </si>
  <si>
    <t>Pattyn, Frank/AAA-9640-2019; Drews, reinhard/AAP-4134-2021; Matsuoka, Kenichi/B-7298-2017</t>
  </si>
  <si>
    <t>Pattyn, Frank/0000-0003-4805-5636; Drews, reinhard/0000-0002-2328-294X; favier, lionel/0000-0002-5392-3031; Berger, Sophie/0000-0003-4095-9323; Ng, Felix/0000-0001-6352-0351; Helm, Veit/0000-0001-7788-9328; Neckel, Niklas/0000-0003-4300-5488; Matsuoka, Kenichi/0000-0002-3587-3405</t>
  </si>
  <si>
    <t>Deutsche Forschungsgemeinschaft (DFG) [MA 3347/10-1]; European Union; European Facilities for Airborne Research (EUFAR); European Space Agency [C1P.10754]; [SD/SA/06A IceCon]</t>
  </si>
  <si>
    <t>Deutsche Forschungsgemeinschaft (DFG)(German Research Foundation (DFG)); European Union(European Union (EU)); European Facilities for Airborne Research (EUFAR); European Space Agency(European Space Agency);</t>
  </si>
  <si>
    <t>This paper forms a contribution to the Belgian Research Programme on the Antarctic (Belgian Federal Science Policy Office), Project SD/SA/06A IceCon and the FNRS-PDR (Fonds de la Recherche Scientifique) project MEDRISM. R.D. was partially supported by the Deutsche Forschungsgemeinschaft (DFG) in the framework of the priority programme 'Antarctic Research with comparative investigations in Arctic ice areas' by the grant MA 3347/10-1. I.J.H. is supported by a European Union FP7 CIG grant (ImPISM). We received excellent logistic support by the Belgian Military, AntarctiQ and the International Polar Foundation during fieldwork. Airborne radar data were made available by the Alfred Wegener Institute funded by the European Facilities for Airborne Research (EUFAR). Data for the satellite radar interferometry were provided by the European Space Agency (Project C1P.10754) and the Copernicus Programme. Landsat scenes were provided by the USGS. TanDEM-X data originate from German Aerospace Center (ATI-GLAC0267). We gratefully acknowledge initial design of Fig. 2 by S. Mutz, discussion with B. Adams and constructive criticism from N. Ross and anonymous reviewers.</t>
  </si>
  <si>
    <t>10.1038/ncomms15228</t>
  </si>
  <si>
    <t>EU2HH</t>
  </si>
  <si>
    <t>Green Submitted, gold, Green Published, Green Accepted</t>
  </si>
  <si>
    <t>WOS:000400848500001</t>
  </si>
  <si>
    <t>Green, ME; Appleyard, SA; White, W; Tracey, S; Ovenden, J</t>
  </si>
  <si>
    <t>Green, M. E.; Appleyard, S. A.; White, W.; Tracey, S.; Ovenden, J.</t>
  </si>
  <si>
    <t>Variability in multiple paternity rates for grey reef sharks (Carcharhinus amblyrhynchos) and scalloped hammerheads (Sphyrna lewini)</t>
  </si>
  <si>
    <t>MICROSATELLITE LOCI; COMPUTER-PROGRAM; LEMON SHARK; NURSE SHARK; FEMALES; RECONSTRUCTION; SMOOTHHOUND; POLYANDRY; GENOTYPES; BEHAVIOR</t>
  </si>
  <si>
    <t>This study assessed the presence and prevalence of multiple paternity (MP) in litters of grey reef sharks (Carcharhinus amblyrhynchos) and scalloped hammerheads (Sphyrna lewini) opportunistically caught in Papua New Guinea (PNG). Litter size between species were significantly different with an average of 3.3 pups for grey reef sharks and 17.2 pups for scalloped hammerhead. Using 14 and 10 microsatellite loci respectively, we identified MP in 66% of grey reef sharks (4 out of 6 litters) and 100% MP in scalloped hammerheads (5 litters). We found high paternal skew (the uneven contribution of sires per litter) and a positive correlation between female adult size and litter size in scalloped hammerheads but not in grey reef sharks. Differences in the frequency of MP between species and the identification of paternal skew may be linked with mating strategies and post-copulatory mechanisms. Multiple paternity is thought to benefit populations by enhancing genetic diversity therefore increasing the population's genetic resilience to extrinsic pressures. The identification of MP in two shark species reported here, further elucidates the complex breeding strategies elasmobranchs undertake.</t>
  </si>
  <si>
    <t>[Green, M. E.; Appleyard, S. A.; White, W.] CSIRO Oceans &amp; Atmosphere, Hobart, Tas 7004, Australia; [Green, M. E.; Appleyard, S. A.; White, W.] CSIRO Australian Natl Fish Collect, Natl Res Collect Australia, Hobart, Tas 7004, Australia; [Green, M. E.; Tracey, S.] Univ Tasmania, Inst Marine &amp; Antarctic Studies, Private Bag 49, Hobart, Tas 7001, Australia; [Ovenden, J.] Univ Queensland, Sch Biomed Sci, Chancellors Pl, Brisbane, Qld 4072, Australia</t>
  </si>
  <si>
    <t>Commonwealth Scientific &amp; Industrial Research Organisation (CSIRO); Commonwealth Scientific &amp; Industrial Research Organisation (CSIRO); University of Tasmania; University of Queensland</t>
  </si>
  <si>
    <t>Green, ME (corresponding author), CSIRO Oceans &amp; Atmosphere, Hobart, Tas 7004, Australia.;Green, ME (corresponding author), CSIRO Australian Natl Fish Collect, Natl Res Collect Australia, Hobart, Tas 7004, Australia.;Green, ME (corresponding author), Univ Tasmania, Inst Marine &amp; Antarctic Studies, Private Bag 49, Hobart, Tas 7001, Australia.</t>
  </si>
  <si>
    <t>madeline.green@utas.edu.au</t>
  </si>
  <si>
    <t>Ovenden, Jennifer/A-3717-2010; appleyard, sharon/D-6076-2012; Appleyard, Sharon/AAJ-9942-2020; White, William/B-9748-2009; Tracey, Sean/J-7446-2014</t>
  </si>
  <si>
    <t>Ovenden, Jennifer/0000-0001-7538-1504; appleyard, sharon/0000-0002-3105-1690; Appleyard, Sharon/0000-0002-3105-1690; Green, Madeline Elizabeth/0000-0002-5037-2043; White, William/0000-0001-9705-2453; Tracey, Sean/0000-0002-6735-5899</t>
  </si>
  <si>
    <t>Australian Centre for International Agricultural Research (ACIAR) [FIS/2012/102]; National Fisheries Authority (NFA); Commonwealth Scientific and Industrial Research Organisation (CSIRO); University of Tasmania; Holsworth Wildlife Research Endowment; CSIRO-UTAS PhD Program in Quantitative Marine Science Elite Scholarship</t>
  </si>
  <si>
    <t>Australian Centre for International Agricultural Research (ACIAR)(Australian Ctr Intl Agr Res); National Fisheries Authority (NFA); Commonwealth Scientific and Industrial Research Organisation (CSIRO)(Commonwealth Scientific &amp; Industrial Research Organisation (CSIRO)); University of Tasmania; Holsworth Wildlife Research Endowment; CSIRO-UTAS PhD Program in Quantitative Marine Science Elite Scholarship</t>
  </si>
  <si>
    <t>This project was funded by the Australian Centre for International Agricultural Research (ACIAR; project FIS/2012/102), National Fisheries Authority (NFA), the Commonwealth Scientific and Industrial Research Organisation (CSIRO), the University of Tasmania and the Holsworth Wildlife Research Endowment. Special thanks to Drs Chris Barlow and Jes Sammut for their support of this project. The lead author was supported by the CSIRO-UTAS PhD Program in Quantitative Marine Science Elite Scholarship. The authors would like to thank Brian Kumasi, Luanah Yaman, Leban Gisawa and Ludwig Kumoru from the NFA for their continued support and collaboration on this project. We would like to thank the fishers of the longline vessels and a special thanks to the NFA on-board fisheries observers who collected the data and tissues samples: Jackson Mara-vee, Noah Lurang Jr, Daniel Sau, Murphy John, Paliau Parkop, Towai Peli and Udill Jotham. Finally, we would like to thank Bob Ward and Claire Holleley for their constructive comments on earlier drafts of our manuscript.</t>
  </si>
  <si>
    <t>MAY 8</t>
  </si>
  <si>
    <t>10.1038/s41598-017-01416-w</t>
  </si>
  <si>
    <t>EU2QK</t>
  </si>
  <si>
    <t>Green Accepted, gold, Green Published</t>
  </si>
  <si>
    <t>WOS:000400873800009</t>
  </si>
  <si>
    <t>Erdmann, M; France, L; Fischer, LA; Deloule, E; Koepke, J</t>
  </si>
  <si>
    <t>Erdmann, Martin; France, Lyderic; Fischer, Lennart A.; Deloule, Etienne; Koepke, Juergen</t>
  </si>
  <si>
    <t>Trace elements in anatectic products at the roof of mid-ocean ridge magma chambers: An experimental study</t>
  </si>
  <si>
    <t>Hydrous partial melting; Trace elements; Partition coefficients; Oceanic plagiogranites; Granoblastic hornfels; Fast spreading mid-ocean ridge</t>
  </si>
  <si>
    <t>PACIFIC-ANTARCTIC RISE; MASS-SPECTROMETRY; RARE-EARTH; WATER; CRUST; ASSIMILATION; GLASSES; BASALT; USGS; PETROGENESIS</t>
  </si>
  <si>
    <t>At fast-spreading mid-ocean ridges (MORs), the horizon between the axial melt lens (AML) and the overlying sheeted dikes is characterized by extensive anatectic processes. The heat flux of the AML in combination with hydrothermal fluids from above causes high-grade contact metamorphism, which may result in anatexis of the roof rocks above the AML. The products of this process are silica-rich anatectic melts that have the potential to contaminate MOR basalts and residual hornfels. Here, we simulate the complex igneous and metamorphic processes occurring at the AML roof by hydrous partial melting experiments and provide corresponding trace element partition coefficients between melt and residues, which are useful to quantify those processes. We present trace element patterns from experimental anatectic felsic melts and the related residue produced by hydrous partial melting of various types of AML roof rocks. The starting materials used are sheeted dikes and hornfelses from Hole 1256D drilled by the Integrated Ocean Drilling Program. Results are compared with directly-related natural lithologies (i.e., felsic veins and granoblastic hornfels) from the same site. The trace element contents generally overlap with natural examples and experimental melts produced at low water activity (aH(2)O &lt; 0.5) can be highly enriched in trace elements despite relatively low SiO2 contents (58.9 to 65.7 wt%). A low aH(2)O is required to reproduce the low Al2O3 contents observed in natural silica-rich rocks. However, low aH(2)O implies that the presence of residual amphibole is not required for anatectic processes Even though residual amphibole is often used as an important phase for explaining trace element characteristics in relevant felsic rocks formed at MORs when modeling anatexis. Because amphibole is lacking in any experimental residue, which is in agreement with natural homfelses from the dike/gabbro transition at Site 1256, we assume that partial melting within the AML roof rocks proceeds without the participation of amphibole as residual phase. We present a comprehensive set of trace element compositions as well as bulk and mineral/melt trace element partition coefficients obtained from our amphibole-free experimental results for different potential protoliths over a large range of temperature and at different aH(2)Os. (C) 2017 Elsevier B.V. All rights reserved.</t>
  </si>
  <si>
    <t>[Erdmann, Martin; Fischer, Lennart A.; Koepke, Juergen] Leibniz Univ Hannover, Inst Mineral, Callinstr 3, D-30167 Hannover, Germany; [Erdmann, Martin; France, Lyderic; Deloule, Etienne] Univ Lorraine, CRPG, 15 Rue Notre Dame Pauvres, F-54501 Vandoeuvre Les Nancy, France; [Erdmann, Martin; France, Lyderic; Deloule, Etienne] Univ Lorraine, UMR 7358, CNRS, 15 Rue Notre Dame Pauvres, F-54501 Vandoeuvre Les Nancy, France</t>
  </si>
  <si>
    <t>Leibniz University Hannover; Universite de Lorraine; Centre National de la Recherche Scientifique (CNRS); CNRS - National Institute for Earth Sciences &amp; Astronomy (INSU); Universite de Lorraine</t>
  </si>
  <si>
    <t>Erdmann, M (corresponding author), Leibniz Univ Hannover, Inst Mineral, Callinstr 3, D-30167 Hannover, Germany.</t>
  </si>
  <si>
    <t>m.erdmann@mineralogie.uni-hannover.de</t>
  </si>
  <si>
    <t>Deloule, Etienne/0000-0001-6955-1685; Fischer, Lennart Alexander/0000-0002-9304-3047; France, Lyderic/0000-0003-1138-0072</t>
  </si>
  <si>
    <t>U.S. National Science Foundation (NSF); Deutsche Forschungsgemeinschaft [KO 1723/13]</t>
  </si>
  <si>
    <t>U.S. National Science Foundation (NSF)(National Science Foundation (NSF)); Deutsche Forschungsgemeinschaft(German Research Foundation (DFG))</t>
  </si>
  <si>
    <t>We thank Otto Dietrich and Julian Feige for their careful sample preparation. The manuscript has been substantially improved after a thorough review by Froukje M. van der Zwan. This research used samples and/or data provided by the International Ocean Drilling Program (IODP). IODP is sponsored by the U.S. National Science Foundation (NSF) and participating countries under management of the Consortium for Ocean Leadership (COL). Funding for this research was provided by grants from the Deutsche Forschungsgemeinschaft (KO 1723/13). This is CRPG contribution number 2500.</t>
  </si>
  <si>
    <t>1878-5999</t>
  </si>
  <si>
    <t>MAY 5</t>
  </si>
  <si>
    <t>10.1016/j.chemgeo.2017.03.004</t>
  </si>
  <si>
    <t>EW0WL</t>
  </si>
  <si>
    <t>WOS:000402211800005</t>
  </si>
  <si>
    <t>Schröder, L; Richter, A; Fedorov, DV; Eberlein, L; Brovkov, EV; Popov, SV; Knöfel, C; Horwath, M; Dietrich, R; Matveev, AY; Scheinert, M; Lukin, VV</t>
  </si>
  <si>
    <t>Schroeder, Ludwig; Richter, Andreas; Fedorov, Denis V.; Eberlein, Lutz; Brovkov, Evgeny V.; Popov, Sergey V.; Knoefel, Christoph; Horwath, Martin; Dietrich, Reinhard; Matveev, Alexey Y.; Scheinert, Mirko; Lukin, Valery V.</t>
  </si>
  <si>
    <t>Validation of satellite altimetry by kinematic GNSS in central East Antarctica</t>
  </si>
  <si>
    <t>SUBGLACIAL LAKE VOSTOK; ICE-SHEET; ELEVATION CHANGE; ISOSTATIC-ADJUSTMENT; RADAR ALTIMETRY; SURFACE; GPS; FLUCTUATIONS; PRECISION; ACCURACY</t>
  </si>
  <si>
    <t>Ice-surface elevation profiles of more than 30 000 km in total length are derived from kinematic GNSS (GPS and the Russian GLONASS) observations on sledge convoy vehicles along traverses between Vostok Station and the East Antarctic coast. These profiles have accuracies between 4 and 9 cm. They are used to validate elevation data sets from both radar and laser satellite altimetry as well as four digital elevation models. A crossover analysis with three different processing versions of Envisat radar altimetry elevation profiles yields a clear preference for the relocation method over the direct method of slope correction and for threshold retrackers over functional fit algorithms. The validation of CryoSat-2 low-resolution mode and SARIn mode data sets documents the progress made from baseline B to C elevation products. ICESat laser altimetry data are demonstrated to be accurate to a few decimetres over a wide range of surface slopes. A crossover adjustment in the region of subglacial Lake Vostok combining ICESat elevation data with our GNSS profiles yields a new set of ICESat laser campaign biases and provides new, independent evidence for the stability of the ice-surface elevation above the lake. The evaluation of the digital elevation models reveals the benefits of combining laser and radar altimetry.</t>
  </si>
  <si>
    <t>[Schroeder, Ludwig; Richter, Andreas; Eberlein, Lutz; Knoefel, Christoph; Horwath, Martin; Dietrich, Reinhard; Scheinert, Mirko] Tech Univ Dresden, Inst Planetare Geodasie, Dresden, Germany; [Fedorov, Denis V.; Brovkov, Evgeny V.; Matveev, Alexey Y.] OAO Aerogeodeziya, St Petersburg, Russia; [Popov, Sergey V.] PMGE, St Petersburg, Russia; [Lukin, Valery V.] AARI, St Petersburg, Russia</t>
  </si>
  <si>
    <t>Technische Universitat Dresden; Arctic &amp; Antarctic Research Institute</t>
  </si>
  <si>
    <t>Schröder, L (corresponding author), Tech Univ Dresden, Inst Planetare Geodasie, Dresden, Germany.</t>
  </si>
  <si>
    <t>ludwig.schroeder@tu-dresden.de</t>
  </si>
  <si>
    <t>Popov, Sergey/IYJ-2371-2023; Horwath, Martin/ABH-4320-2020; Richter, Andreas/ABD-6833-2020; Popov, Sergey V./I-2319-2013</t>
  </si>
  <si>
    <t>Popov, Sergey/0000-0002-1830-8658; Richter, Andreas/0000-0002-7900-4893; Popov, Sergey V./0000-0002-1830-8658; Horwath, Martin/0000-0001-5797-244X; Scheinert, Mirko/0000-0002-0892-8941; Schroder, Ludwig/0000-0002-6862-0930; Richter, Andreas/0000-0002-8588-9755</t>
  </si>
  <si>
    <t>Deutsche Bundesstiftung Umwelt (DBU); Deutsche Bundesstiftung Umwelt (German Federal Environmental Foundation); German Research Foundation DFG [DI 473/20, DI 473/34, DI 473/38, SCHE1426/20-1]; Russian Foundation for Basic Research [10-05-91330-NNIO-a]</t>
  </si>
  <si>
    <t>Deutsche Bundesstiftung Umwelt (DBU); Deutsche Bundesstiftung Umwelt (German Federal Environmental Foundation); German Research Foundation DFG(German Research Foundation (DFG)); Russian Foundation for Basic Research(Russian Foundation for Basic Research (RFBR)Spanish Government)</t>
  </si>
  <si>
    <t>This work is supported by the Deutsche Bundesstiftung Umwelt (DBU, German Federal Environmental Foundation). The fieldwork was partly funded by the German Research Foundation DFG (grants DI 473/20; DI 473/34; DI 473/38; SCHE1426/20-1) and the Russian Foundation for Basic Research (grant 10-05-91330-NNIO-a). We also thank the participants of the Russian Antarctic Expedition, especially the convoy teams, for their valuable support. We thank the NASA Goddard Space Flight Center, the European Space Agency and the National Snow and Ice Data Center for providing the altimetry data products. We are grateful for the contributions of the editor E. Berthier, the reviewer J. Nilsson and two anonymous reviewers, which helped to improve and to clarify the manuscript.</t>
  </si>
  <si>
    <t>10.5194/tc-11-1111-2017</t>
  </si>
  <si>
    <t>EU0WQ</t>
  </si>
  <si>
    <t>Green Published, gold, Green Submitted</t>
  </si>
  <si>
    <t>WOS:000400733100004</t>
  </si>
  <si>
    <t>Graham, FS; Roberts, JL; Galton-Fenzi, BK; Young, DC; Blankenship, D; Siegert, MJ</t>
  </si>
  <si>
    <t>Graham, Felicity S.; Roberts, Jason L.; Galton-Fenzi, Ben K.; Young, Duncan; Blankenship, Donald; Siegert, Martin J.</t>
  </si>
  <si>
    <t>A high-resolution synthetic bed elevation grid of the Antarctic continent</t>
  </si>
  <si>
    <t>EARTH SYSTEM SCIENCE DATA</t>
  </si>
  <si>
    <t>PINE ISLAND GLACIER; ICE-SHEET DYNAMICS; CONDITIONAL SIMULATIONS; BEDROCK TOPOGRAPHY; THICKNESS; DECOMPOSITION; MORPHOLOGY; BASIN</t>
  </si>
  <si>
    <t>Digital elevation models of Antarctic bed topography are smoothed and interpolated onto low-resolution (&gt; 1 km) grids as current observed topography data are generally sparsely and unevenly sampled. This issue has potential implications for numerical simulations of ice-sheet dynamics, especially in regions prone to instability where detailed knowledge of the topography, including fine-scale roughness, is required. Here, we present a high-resolution (100 m) synthetic bed elevation terrain for Antarctica, encompassing the continent, continental shelf, and seas south of 60 degrees S. Although not identically matching observations, the synthetic bed surface-denoted as HRES - preserves topographic roughness characteristics of airborne and ground-based ice-penetrating radar data measured by the ICECAP (Investigating the Cryospheric Evolution of the Central Antarctic Plate) consortium or used to create the Bedmap1 compilation. Broad-scale (&gt; 5 km resolution) features of the Antarctic landscape are incorporated using a low-pass filter of the Bedmap2 bed elevation data. HRES has applicability in high-resolution ice-sheet modelling studies, including investigations of the interaction between topography, ice-sheet dynamics, and hydrology, where processes are highly sensitive to bed elevations and fine-scale roughness. The data are available for download from the Australian Antarctic Data Centre</t>
  </si>
  <si>
    <t>[Graham, Felicity S.] Univ Tasmania, Inst Marine &amp; Antarctic Studies, Private Bag 129, Hobart, Tas 7001, Australia; [Roberts, Jason L.; Galton-Fenzi, Ben K.] Australian Antarctic Div, Kingston, Tas, Australia; [Roberts, Jason L.; Galton-Fenzi, Ben K.] Antarctic Climate &amp; Ecosyst Cooperat Res Ctr, Private Bag 80, Hobart, Tas 7001, Australia; [Young, Duncan; Blankenship, Donald] Univ Texas Austin, Inst Geophys, Austin, TX 78758 USA; [Siegert, Martin J.] Imperial Coll London, Grantham Inst, London SW7 2AZ, England; [Siegert, Martin J.] Imperial Coll London, Dept Earth Sci &amp; Engn, London SW7 2AZ, England</t>
  </si>
  <si>
    <t>University of Tasmania; Australian Antarctic Division; Antarctic Climate &amp; Ecosystems Cooperative Research Centre (ACE CRC); University of Texas System; University of Texas Austin; Imperial College London; Imperial College London</t>
  </si>
  <si>
    <t>Graham, FS (corresponding author), Univ Tasmania, Inst Marine &amp; Antarctic Studies, Private Bag 129, Hobart, Tas 7001, Australia.</t>
  </si>
  <si>
    <t>felicity.graham@utas.edu.au</t>
  </si>
  <si>
    <t>Siegert, Martin/M-9939-2019; Siegert, Martin J/A-3826-2008; Roberts, Jason L/B-2235-2012; McCormack, Felicity/B-9218-2015; Young, Duncan/G-6256-2010</t>
  </si>
  <si>
    <t>Siegert, Martin/0000-0002-0090-4806; Siegert, Martin J/0000-0002-0090-4806; Roberts, Jason L/0000-0002-3477-4069; Galton-Fenzi, Benjamin Keith/0000-0003-1404-4103; McCormack, Felicity/0000-0002-2324-2120; Young, Duncan/0000-0002-6866-8176</t>
  </si>
  <si>
    <t>Australian Research Council's Special Research Initiative for Antarctic Gateway Partnership [SR140300001]; Australian Antarctic Division [3013, 4077, 4346]; Antarctic Climate AMP; Ecosystems Cooperative Research Centre, NSF [PLR-0733025, PLR-1143843, CDI-0941678]; NASA [NNG10HPO6C, NNX11AD33G]; NERC [NE/D003733/1]; G. Unger Vetlesen Foundation; Jackson School of Geosciences, University of Texas; British Council Global Innovation Initiative Award; Natural Environment Research Council [NE/F016646/2, NE/F016646/1] Funding Source: researchfish; The British Council [GII203] Funding Source: researchfish; NERC [NE/F016646/2, NE/F016646/1] Funding Source: UKRI</t>
  </si>
  <si>
    <t>Australian Research Council's Special Research Initiative for Antarctic Gateway Partnership(Australian Research Council); Australian Antarctic Division; Antarctic Climate AMP; Ecosystems Cooperative Research Centre, NSF; NASA(National Aeronautics &amp; Space Administration (NASA)); NERC(UK Research &amp; Innovation (UKRI)Natural Environment Research Council (NERC)); G. Unger Vetlesen Foundation; Jackson School of Geosciences, University of Texas; British Council Global Innovation Initiative Award; Natural Environment Research Council(UK Research &amp; Innovation (UKRI)Natural Environment Research Council (NERC)); The British Council; NERC(UK Research &amp; Innovation (UKRI)Natural Environment Research Council (NERC))</t>
  </si>
  <si>
    <t>The authors thank Richard Coleman and David E. Gwyther for constructive feedback, and they thank the two anonymous reviewers for their suggestions that improved the paper. This research is supported under the Australian Research Council's Special Research Initiative for Antarctic Gateway Partnership SR140300001. The project is part of an ongoing ICECAP collaboration between Australia, the USA, and the UK and is supported by the Australian Antarctic Division projects 3013, 4077, and 4346; the Antarctic Climate &amp; Ecosystems Cooperative Research Centre, NSF grants PLR-0733025, PLR-1143843, and CDI-0941678; NASA grants NNG10HPO6C and NNX11AD33G (Operation Ice Bridge and the American Recovery and Reinvestment Act); NERC grant NE/D003733/1; the G. Unger Vetlesen Foundation; the Jackson School of Geosciences, University of Texas; and the British Council Global Innovation Initiative Award. This is UTIG contribution 3115.</t>
  </si>
  <si>
    <t>1866-3508</t>
  </si>
  <si>
    <t>1866-3516</t>
  </si>
  <si>
    <t>EARTH SYST SCI DATA</t>
  </si>
  <si>
    <t>Earth Syst. Sci. Data</t>
  </si>
  <si>
    <t>10.5194/essd-9-267-2017</t>
  </si>
  <si>
    <t>ET9RL</t>
  </si>
  <si>
    <t>WOS:000400645200001</t>
  </si>
  <si>
    <t>Bennetts, LG; O'Farrell, S; Uotila, P</t>
  </si>
  <si>
    <t>Bennetts, Luke G.; O'Farrell, Siobhan; Uotila, Petteri</t>
  </si>
  <si>
    <t>Brief communication: Impacts of ocean-wave-induced breakup of Antarctic sea ice via thermodynamics in a stand-alone version of the CICE sea-ice model</t>
  </si>
  <si>
    <t>FLOE SIZE; THICKNESS DISTRIBUTION; ZONE</t>
  </si>
  <si>
    <t>Impacts of wave-induced breakup of Antarctic sea ice on ice concentration and volume are investigated using a modified version of the CICE sea-ice model, run in stand-alone mode from 1979-2010. Model outputs show that during summer wave-induced breakup reduces local ice concentration by up to 0.3-0.4 in a vicinity of the ice edge and total ice volume by up to a factor of 0.1-0.2.</t>
  </si>
  <si>
    <t>[Bennetts, Luke G.] Univ Adelaide, Sch Math Sci, Adelaide, SA, Australia; [O'Farrell, Siobhan] CSIRO Ocean &amp; Atmosphere, Aspendale, Vic, Australia; [Uotila, Petteri] Finnish Meteorol Inst, Helsinki, Finland</t>
  </si>
  <si>
    <t>University of Adelaide; Commonwealth Scientific &amp; Industrial Research Organisation (CSIRO); Finnish Meteorological Institute</t>
  </si>
  <si>
    <t>Bennetts, LG (corresponding author), Univ Adelaide, Sch Math Sci, Adelaide, SA, Australia.</t>
  </si>
  <si>
    <t>luke.bennetts@adelaide.edu.au</t>
  </si>
  <si>
    <t>Bennetts, Luke/N-1448-2019; Uotila, Petteri/A-1703-2012</t>
  </si>
  <si>
    <t>Bennetts, Luke/0000-0001-9386-7882; Uotila, Petteri/0000-0002-2939-7561</t>
  </si>
  <si>
    <t>Australian Research Council [DE130101571]; Australian Antarctic Science Program [4123]; Academy of Finland [264358]; Academy of Finland (AKA) [264358] Funding Source: Academy of Finland (AKA); Australian Research Council [DE130101571] Funding Source: Australian Research Council</t>
  </si>
  <si>
    <t>Australian Research Council(Australian Research Council); Australian Antarctic Science Program; Academy of Finland(Research Council of Finland); Academy of Finland (AKA)(Research Council of Finland); Australian Research Council(Australian Research Council)</t>
  </si>
  <si>
    <t>The authors thank Mark Hemer for providing advice on the wave data used and an internal CSIRO review of the original version of the paper and the two anonymous referees and Christopher Horvat for their valuable comments. The Australian Research Council (DE130101571) and the Australian Antarctic Science Program (Project 4123) funded this investigation. The Academy of Finland supports PU (Contract 264358).</t>
  </si>
  <si>
    <t>MAY 3</t>
  </si>
  <si>
    <t>10.5194/tc-11-1035-2017</t>
  </si>
  <si>
    <t>ET8VV</t>
  </si>
  <si>
    <t>WOS:000400582300001</t>
  </si>
  <si>
    <t>Carrasco, M; Alcaíno, J; Cifuentes, V; Baeza, M</t>
  </si>
  <si>
    <t>Carrasco, Mario; Alcaino, Jennifer; Cifuentes, Vctor; Baeza, Marcelo</t>
  </si>
  <si>
    <t>Purification and characterization of a novel cold adapted fungal glucoamylase</t>
  </si>
  <si>
    <t>MICROBIAL CELL FACTORIES</t>
  </si>
  <si>
    <t>Fungal amylase; Cold-adapted amylase; Tetracladium sp.; Antarctic fungi</t>
  </si>
  <si>
    <t>ALPHA-AMYLASE; BIOCHEMICAL-CHARACTERIZATION; RAW STARCH; YEASTS; FERMENTATION; HYDROLYSIS; ENZYMES; DIVERSITY; STABILITY</t>
  </si>
  <si>
    <t>Background: Amylases are used in various industrial processes and a key requirement for the efficiency of these processes is the use of enzymes with high catalytic activity at ambient temperature. Unfortunately, most amylases isolated from bacteria and filamentous fungi have optimal activity above 45 degrees C and low pH. For example, the most commonly used industrial glucoamylases, a type of amylase that degrades starch to glucose, are produced by Aspergillus strains displaying optimal activities at 45-60 degrees C. Thus, isolating new amylases with optimal activity at ambient temperature is essential for improving industrial processes. In this report, a glucoamylase secreted by the cold-adapted yeast Tetracladium sp. was isolated and biochemically characterized. Results: The effects of physicochemical parameters on enzyme activity were analyzed, and pH and temperature were found to be key factors modulating the glucoamylase activity. The optimal conditions for enzyme activity were 30 degrees C and pH 6.0, and the K-m and k(cat) using soluble starch as substrate were 4.5 g/L and 45 min(-1), respectively. Possible amylase or glucoamylase encoding genes were identified, and their transcript levels using glucose or soluble starch as the sole carbon source were analyzed. Transcription levels were highest in medium supplemented with soluble starch for the potential glucoamylase encoding gene. Comparison of the structural model of the identified Tetracladium sp. glucoamylase with the solved structure of the Hypocrea jecorina glucoamylase revealed unique structural features that may explain the thermal lability of the glucoamylase from Tetracladium sp. Conclusion: The glucoamylase secreted by Tetracladium sp. is a novel cold-adapted enzyme and its properties should render this enzyme suitable for use in industrial processes that require cold-active amylases, such as biofuel production.</t>
  </si>
  <si>
    <t>[Carrasco, Mario; Alcaino, Jennifer; Cifuentes, Vctor; Baeza, Marcelo] Univ Chile, Fac Ciencias, Dept Ciencias Ecol, Las Palmeras 342,Casilla 653, Santiago, Chile</t>
  </si>
  <si>
    <t>Universidad de Chile</t>
  </si>
  <si>
    <t>Baeza, M (corresponding author), Univ Chile, Fac Ciencias, Dept Ciencias Ecol, Las Palmeras 342,Casilla 653, Santiago, Chile.</t>
  </si>
  <si>
    <t>mbaeza@u.uchile.cl</t>
  </si>
  <si>
    <t>Alcaino, Jennifer/H-4576-2012; /C-6686-2008</t>
  </si>
  <si>
    <t>Baeza, Marcelo/0000-0001-8853-395X</t>
  </si>
  <si>
    <t>FONDECYT [1130333]</t>
  </si>
  <si>
    <t>FONDECYT(Comision Nacional de Investigacion Cientifica y Tecnologica (CONICYT)CONICYT FONDECYT)</t>
  </si>
  <si>
    <t>This study was financially supported through FONDECYT Grant 1130333.</t>
  </si>
  <si>
    <t>1475-2859</t>
  </si>
  <si>
    <t>MICROB CELL FACT</t>
  </si>
  <si>
    <t>Microb. Cell. Fact.</t>
  </si>
  <si>
    <t>MAY 2</t>
  </si>
  <si>
    <t>10.1186/s12934-017-0693-x</t>
  </si>
  <si>
    <t>ET5MF</t>
  </si>
  <si>
    <t>WOS:000400327100002</t>
  </si>
  <si>
    <t>Slattery, M; Lesser, MP</t>
  </si>
  <si>
    <t>Slattery, Marc; Lesser, Michael P.</t>
  </si>
  <si>
    <t>Allelopathy-mediated competition in microbial mats from Antarctic lakes</t>
  </si>
  <si>
    <t>FEMS MICROBIOLOGY ECOLOGY</t>
  </si>
  <si>
    <t>Antarctica; Dry Valleys; microbial mats; cyanobacteria; competition; allelopathy</t>
  </si>
  <si>
    <t>MCMURDO DRY VALLEYS; CYANOBACTERIAL DIVERSITY; TAYLOR VALLEY; ALGAL MATS; ICE; HOARE; PHOTOSYNTHESIS; PHYTOPLANKTON; IRRADIANCE; ALLELOCHEMICALS</t>
  </si>
  <si>
    <t>Microbial mats are vertically stratified communities that host a complex consortium of microorganisms, dominated by cyanobacteria, which compete for available nutrients and environmental niches, within these extreme habitats. The Antarctic Dry Valleys near McMurdo Sound include a series of lakes within the drainage basin that are bisected by glacial traverses. These lakes are traditionally independent, but recent increases in glacial melting have allowed two lakes ( Chad and Hoare) to become connected by a meltwater stream. Microbial mats were collected from these lakes, and cultured under identical conditions at the McMurdo Station laboratory. Replicate pairings of the microbial mats exhibited consistent patterns of growth inhibition indicative of competitive dominance. Natural products were extracted from the microbial mats, and a disk diffusion assay was utilized to show that allelochemical compounds mediate competitive interactions. Both microscopy and 16S rRNA sequencing show that these mats contain significant populations of cyanobacteria known to produce allelochemicals. Two compounds were isolated from these microbial mats that might be important in the chemical ecology of these psychrophiles. In other disk: mat pairings, including extract versus mat of origin, the allelochemicals exhibited no effect. Taken together, these results indicate that Antarctic lake microbial mats can compete via allelopathy.</t>
  </si>
  <si>
    <t>[Slattery, Marc] Univ Mississippi, Dept Biomol Sci, 411 Faser Hall, Oxford, MS 38677 USA; [Lesser, Michael P.] Univ New Hampshire, Sch Marine Sci &amp; Ocean Engn, Durham, NH 03824 USA</t>
  </si>
  <si>
    <t>University of Mississippi; University System Of New Hampshire; University of New Hampshire</t>
  </si>
  <si>
    <t>Slattery, M (corresponding author), Univ Mississippi, Dept Biomol Sci, 411 Faser Hall, Oxford, MS 38677 USA.</t>
  </si>
  <si>
    <t>slattery@olemiss.edu</t>
  </si>
  <si>
    <t>National Science Foundation Office of Polar Programs</t>
  </si>
  <si>
    <t>National Science Foundation Office of Polar Programs(National Science Foundation (NSF)NSF - Directorate for Geosciences (GEO))</t>
  </si>
  <si>
    <t>This research was supported by grants from the National Science Foundation Office of Polar Programs to both MS and MPL.</t>
  </si>
  <si>
    <t>0168-6496</t>
  </si>
  <si>
    <t>1574-6941</t>
  </si>
  <si>
    <t>FEMS MICROBIOL ECOL</t>
  </si>
  <si>
    <t>FEMS Microbiol. Ecol.</t>
  </si>
  <si>
    <t>MAY</t>
  </si>
  <si>
    <t>fix019</t>
  </si>
  <si>
    <t>10.1093/femsec/fix019</t>
  </si>
  <si>
    <t>FG5GZ</t>
  </si>
  <si>
    <t>WOS:000410337900009</t>
  </si>
  <si>
    <t>Majewski, W; Tatur, A; Witkowski, J; Gazdzicki, A</t>
  </si>
  <si>
    <t>Majewski, Wojciech; Tatur, Andrzej; Witkowski, Jakub; Gazdzicki, Andrzej</t>
  </si>
  <si>
    <t>Rich shallow-water benthic ecosystem in Late Miocene East Antarctica (Fisher Bench Fm, Prince Charles Mountains)</t>
  </si>
  <si>
    <t>MARINE MICROPALEONTOLOGY</t>
  </si>
  <si>
    <t>RADOK LAKE AREA; ICE-SHEET; LAMBERT GRABEN; DIATOM BIOSTRATIGRAPHY; PAGODROMA GROUP; MCMURDO SOUND; AMERY OASIS; FORAMINIFERA; PLIOCENE; ISLAND</t>
  </si>
  <si>
    <t>A single shell of a pectenoid bivalve was found in the lower part of the Fisher Bench Formation (Fisher Massif, Prince Charles Mountains). In contrast to glacigenic sediments that form extensive outcrops in this area and are almost barren of foraminifera, small pieces of muddy sand attached to this shell contained a rich assemblage of calcareous and siliceous microfossils. The diatom assemblage associated with this shell was dominated by marine benthic forms with abundant Saeptifera, associated with subordinate marine neritic taxa, and Chaetoceros resting spores. Benthic foraminifera are very abundant but of low diversity, strongly dominated by Rosalina globularis with uniform chambers. It is the first Miocene foraminiferal assemblage reported from East Antarctica excluding the Ross Sea area. These new results confirm the early Late Miocene age of the shell that was dated by Sr isotope values in an earlier study, and suggest an initial phase of deposition in a shallow-water (possibly no &gt; 10 m) marine, cold, and possibly oligotrophic environment. After initial burial in microfossil-bearing sediment that was weakly lithified, the shell was eroded and transported to be incorporated in fossil-poor glacigenic sediments. Since transport from a nearby location could have been facilitated by glacial and/or down-slope movements in this fiordal setting, the shell is considered para-autochthonous. Based on the Antarctic foraminiferal fossil records, it appears that through most of the Cenozoic, those parts of the Antarctic continental shelf that were deeper than a few tens of meters, with the exception of the Ross Sea area, were mostly unfavorable for development and/or preservation of calcareous microfossils.</t>
  </si>
  <si>
    <t>[Majewski, Wojciech; Gazdzicki, Andrzej] Polish Acad Sci, Inst Paleobiol, Warsaw, Poland; [Tatur, Andrzej] Univ Warsaw, Fac Geol, Warsaw, Poland; [Witkowski, Jakub] Univ Szczecin, Fac Geosci, Szczecin, Poland</t>
  </si>
  <si>
    <t>Polish Academy of Sciences; Institute of Paleobiology of the Polish Academy of Sciences; University of Warsaw; University of Szczecin</t>
  </si>
  <si>
    <t>Majewski, W (corresponding author), Polish Acad Sci, Inst Paleobiol, Warsaw, Poland.</t>
  </si>
  <si>
    <t>wmaj@twarda.pan.pl; tatura@interia.pl; jakub.witkowski@usz.edu.pl; gazdzick@twarda.pan.pl</t>
  </si>
  <si>
    <t>Andrzej, Gazdzicki/AAW-2137-2020; Witkowski, Jakub/HMD-6743-2023; Majewski, Wojciech/D-9255-2017</t>
  </si>
  <si>
    <t>Andrzej, Gazdzicki/0000-0003-2001-3282; Majewski, Wojciech/0000-0002-5407-1782; Witkowski, Jakub/0000-0002-5635-7880</t>
  </si>
  <si>
    <t>0377-8398</t>
  </si>
  <si>
    <t>1872-6186</t>
  </si>
  <si>
    <t>MAR MICROPALEONTOL</t>
  </si>
  <si>
    <t>Mar. Micropaleontol.</t>
  </si>
  <si>
    <t>10.1016/j.marmicro.2017.06.002</t>
  </si>
  <si>
    <t>FF6UO</t>
  </si>
  <si>
    <t>WOS:000409152700004</t>
  </si>
  <si>
    <t>Lai, GT; Mazlan, NA; Nadzir, MSM; Rafek, AG; Serasa, AS; Hussin, A; Ern, LK; Yeok, FS</t>
  </si>
  <si>
    <t>Lai, Goh Thian; Mazlan, Nur Amanina; Nadzir, Mohd Shahrul Mohd; Rafek, Abdul Ghani; Serasa, Ailie Sofyiana; Hussin, Azimah; Ern, Lee Khai; Yeok, Foong Swee</t>
  </si>
  <si>
    <t>Uniaxial Compressive Strength of Antarctic Peninsula Rocks: Schmidt Hammer Rebound Test</t>
  </si>
  <si>
    <t>SAINS MALAYSIANA</t>
  </si>
  <si>
    <t>Rock material; Schmidt hammer rebound value; uniaxial compressive strength</t>
  </si>
  <si>
    <t>EVOLUTION</t>
  </si>
  <si>
    <t>The uniaxial compressive strength test is a destructive and time consuming test. A number of non-destructive methods using portable testing equipment are more applicable and easier to conduct. This paper presents the results of a systematic approach to determine the uniaxial compressive strength of rock material using the Schmidt hammer rebound test. A total of five distinct locations (Graham Coast, Davis Coast, Nanson Island, Danco Coast and Trinity Island) were tested using the Schmidt rebound hammer test. Peninsula Antarctic located at northwest of Antarctic region comprising of igneous and metamorphic rocks. Statistical analysis of the results at 95% confidence level showed the Schmidt rebound value of the Graham Coast ranges from 40 +/- 1.7 to 41 +/- 1.3 with standard deviation of 8.2 to 6.4. The rebound value for Davis Coast was 39 +/- 1.6 with standard deviation of 7.7. Rocks from Nanson Island and Danco Coast have the Schmidt rebound value of 54 +/- 1.7 with standard deviation of 8.0 and 36 +/- 1.3 with standard deviation of 6.2, respectively. The Schmidt rebound value of rocks at Trinity Island ranges from 29 +/- 1.4 to 32 +/- 1.7 with standard deviation of 6.8 to 8.1. Thus, the respective uniaxial compressive strengths of rock materials from Graham Coast, Davis Coast, Danco Coast, Nanson Island and Trinity Island were 73-108, 50, 59, 164 and 45-59 MPa. The respective ISRM strength classification of rock materials of Graham Coast, Davis Coast, Danco Coast, Nanson Island and Trinity Island were strong (R4) to very strong rock (R5), medium strong rock (R3), strong rock (R4), very strong rock (R5) and medium strong (R3) to strong rock (R4). The results showed a mean of quantification of rock material strength based on the Schmidt Hammer rebound test in Antarctic Peninsula.</t>
  </si>
  <si>
    <t>[Lai, Goh Thian; Mazlan, Nur Amanina; Nadzir, Mohd Shahrul Mohd; Hussin, Azimah] Univ Kebangsaan Malaysia, Sch Environm &amp; Nat Resource Sci, Ukm Bangi 43600, Selangor Darul, Malaysia; [Rafek, Abdul Ghani] Univ Teknol Petronas, Dept Geosci, Tronoh, Perak Darul Rid 31750, Malaysia; [Serasa, Ailie Sofyiana] UCSI Univ, Fac Engn Technol &amp; Built Environm, Chem &amp; Petr Engn Dept, Kuala Lumpur 56000, Fed Territory, Malaysia; [Ern, Lee Khai] Univ Kebangsaan Malaysia, Inst Environm &amp; Dev, LESTARI, Ukm Bangi 43600, Selangor Darul, Malaysia; [Yeok, Foong Swee] Univ Sains Malaysia, Sch Biol Sci, Minden 11800, Penang, Malaysia</t>
  </si>
  <si>
    <t>Universiti Kebangsaan Malaysia; Universiti Teknologi Petronas; UCSI University; Universiti Kebangsaan Malaysia; Universiti Sains Malaysia</t>
  </si>
  <si>
    <t>Lai, GT (corresponding author), Univ Kebangsaan Malaysia, Sch Environm &amp; Nat Resource Sci, Ukm Bangi 43600, Selangor Darul, Malaysia.</t>
  </si>
  <si>
    <t>gdsbgoh@gmail.com</t>
  </si>
  <si>
    <t>FOONG, Swee Yeok/AAX-2431-2020; Lee, Khai Ern/C-3975-2011</t>
  </si>
  <si>
    <t>FOONG, Swee Yeok/0000-0001-5099-227X; Lee, Khai Ern/0000-0002-1463-3787</t>
  </si>
  <si>
    <t>Government of Malaysia [FRGS/1/2014/STWN06/UKM/02/1, GUP-2016-024]; e-Science Fund [06-01-02-SF 1140]; Sultan Mizan Antarctic Research Foundation; Geology Program; Faculty of Science and Technology, Universiti Kebangsaan Malaysia</t>
  </si>
  <si>
    <t>Government of Malaysia; e-Science Fund; Sultan Mizan Antarctic Research Foundation; Geology Program; Faculty of Science and Technology, Universiti Kebangsaan Malaysia</t>
  </si>
  <si>
    <t>This publication is based on work supported by the Government of Malaysia under grant Fundamental Research Grant Scheme FRGS/1/2014/STWN06/UKM/02/1, GUP-2016-024 and e-Science Fund Grant Scheme 06-01-02-SF 1140. The authors would also like to acknowledge the support of Sultan Mizan Antarctic Research Foundation, the staff and facilities at Geology Program and Faculty of Science and Technology, Universiti Kebangsaan Malaysia.</t>
  </si>
  <si>
    <t>UNIV KEBANGSAAN MALAYSIA</t>
  </si>
  <si>
    <t>SELANGOR</t>
  </si>
  <si>
    <t>FACULTY SCIENCE &amp; TECHNOLOGY, BANGI, SELANGOR, 43600, MALAYSIA</t>
  </si>
  <si>
    <t>0126-6039</t>
  </si>
  <si>
    <t>SAINS MALAYS</t>
  </si>
  <si>
    <t>Sains Malays.</t>
  </si>
  <si>
    <t>10.17576/jsm-2017-4605-01</t>
  </si>
  <si>
    <t>FE4BY</t>
  </si>
  <si>
    <t>WOS:000408160600001</t>
  </si>
  <si>
    <t>Reid, J</t>
  </si>
  <si>
    <t>Reid, John</t>
  </si>
  <si>
    <t>There is no significant trend in global average temperature</t>
  </si>
  <si>
    <t>ENERGY &amp; ENVIRONMENT</t>
  </si>
  <si>
    <t>Global average temperature; trend; deterministic; stochastic; false drift; spurious regression; centrally biased random walk; red spectra</t>
  </si>
  <si>
    <t>CENTRAL GREENLAND; MODELS</t>
  </si>
  <si>
    <t>The HadCRUT4 time series of 166 annual values of global average temperature was analysed both deterministically and stochastically and the results compared. The deterministic model comprised the sum of a linear trend and a multi-decadal oscillation fitted by ordinary least squares regression. The stochastic model was an ARMA(1,2) model with a drift term included. The deterministic model showed a linear trend of 0.5 degrees C per century while the stochastic model showed no significant drift. In both cases, the residuals were tested for self-correlation using standard statistical tests. The residuals from the deterministic model were significantly self-correlated whereas those from the stochastic model were not. We conclude that the stochastic model was a much better fit to the data and that the apparent linear trend of the deterministic model was spurious and a consequence of performing a regression in which time was the explanatory variable.</t>
  </si>
  <si>
    <t>[Reid, John] Australian Antarctic Div, Kingston, Tas, Australia</t>
  </si>
  <si>
    <t>Reid, J (corresponding author), POB 279, Cygnet, Tas 7112, Australia.</t>
  </si>
  <si>
    <t>johnsinclairreid@gmail.com</t>
  </si>
  <si>
    <t>SAGE PUBLICATIONS LTD</t>
  </si>
  <si>
    <t>1 OLIVERS YARD, 55 CITY ROAD, LONDON EC1Y 1SP, ENGLAND</t>
  </si>
  <si>
    <t>0958-305X</t>
  </si>
  <si>
    <t>2048-4070</t>
  </si>
  <si>
    <t>ENERG ENVIRON-UK</t>
  </si>
  <si>
    <t>Energy Environ.</t>
  </si>
  <si>
    <t>10.1177/0958305X16686447</t>
  </si>
  <si>
    <t>Environmental Studies</t>
  </si>
  <si>
    <t>EV6WR</t>
  </si>
  <si>
    <t>WOS:000401915900005</t>
  </si>
  <si>
    <t>Long, DG</t>
  </si>
  <si>
    <t>Long, David G.</t>
  </si>
  <si>
    <t>Polar Applications of Spaceborne Scatterometers</t>
  </si>
  <si>
    <t>Advanced scatterometer (ASCAT); backscatter; Earth remote sensing satellite (ERS); firn; freeze/thaw; ice; NASA scatterometer (NSCAT); OceanSat; polar; QuikSCAT; Seasat scatterometer (SASS); SeaWinds; scatterometer; snow</t>
  </si>
  <si>
    <t>ANTARCTIC ICE-SHEET; SEA-ICE; PASSIVE-MICROWAVE; RESOLUTION ENHANCEMENT; SURFACE-PROPERTIES; ARCTIC ICE; GREENLAND; BACKSCATTER; QUIKSCAT; WIND</t>
  </si>
  <si>
    <t>Wind scatterometers were originally developed for observation of near-surface winds over the ocean. They retrieve wind indirectly by measuring the normalized radar cross section (so) of the surface, and estimating the wind via a geophysical model function relating sigma degrees to the vector wind. The sigma degrees measurements have proven to be remarkably capable in studies of the polar regions where they can map snow cover; detect the freeze/thaw state of forest, tundra, and ice; map and classify sea ice; and track icebergs. Further, a long time series of scatterometer so observations is available to support climate studies. In addition to fundamental scientific research, scatterometer data are operationally used for sea-ice mapping to support navigation. Scatterometers are, thus, invaluable tools for monitoring the polar regions. In this paper, a brief review of some of the polar applications of spaceborne wind scatterometer data is provided. The paper considers both C-band and Ku-band scatterometers, and the relative merits of fan-beam and pencil-beam scatterometers in polar remote sensing are discussed.</t>
  </si>
  <si>
    <t>[Long, David G.] Brigham Young Univ, Elect &amp; Comp Engn, Provo, UT 84602 USA</t>
  </si>
  <si>
    <t>Brigham Young University</t>
  </si>
  <si>
    <t>Long, DG (corresponding author), Brigham Young Univ, Elect &amp; Comp Engn, Provo, UT 84602 USA.</t>
  </si>
  <si>
    <t>long@ee.byu.edu</t>
  </si>
  <si>
    <t>NASA [NNX14AM67G, 678998] Funding Source: Federal RePORTER</t>
  </si>
  <si>
    <t>NASA(National Aeronautics &amp; Space Administration (NASA))</t>
  </si>
  <si>
    <t>10.1109/JSTARS.2016.2629418</t>
  </si>
  <si>
    <t>FB8VX</t>
  </si>
  <si>
    <t>WOS:000406418700018</t>
  </si>
  <si>
    <t>Venables, HJ; Meredith, MP; Brearley, JA</t>
  </si>
  <si>
    <t>Venables, Hugh J.; Meredith, Michael P.; Brearley, J. Alexander</t>
  </si>
  <si>
    <t>Modification of deep waters in Marguerite Bay, western Antarctic Peninsula, caused by topographic overflows</t>
  </si>
  <si>
    <t>West Antarctic Peninsula; Deep water modification; Ocean gliders; Time series; Antarctica</t>
  </si>
  <si>
    <t>SEA-ICE; SPATIOTEMPORAL VARIABILITY; CONTINENTAL-SHELF; CLIMATE-CHANGE; PALMER DEEP; STRATIFICATION; DRIVEN</t>
  </si>
  <si>
    <t>Circumpolar Deep Water (CDW) intrudes from the mid-layers of the Antarctic Circumpolar Current onto the shelf of the western Antarctic Peninsula, providing a source of heat and nutrients to the regional ocean. It is well known that CDW is modified as it flows across the shelf, but the mechanisms responsible for this are not fully known. Here, data from underwater gliders with high spatial resolution are used to demonstrate the importance of detailed bathymetry in inducing multiple local mixing events. Clear evidence for overflows is observed in the glider data as water flows along a deep channel with multiple transverse ridges. The ridges block the densest waters, with overflowing water descending several hundred metres to fill subsequent basins. This vertical flow leads to entrainment of overlying colder and fresher water in localised mixing events. Initially this process leads to an increase in bottom temperatures due to the temperature maximum waters descending to greater depths. After several ridges, however, the mixing is sufficient to remove the temperature maximum completely and the entrainment of colder thermocline waters to depth reduces the bottom temperature, to approximately the same as in the source region of Marguerite Trough. Similarly, it is shown that deep waters of Palmer Deep are warmer than at the same depth at the shelf break. The exact details of the transformations observed are heavily dependent on the local bathymetry and water column structure, but glacially-carved troughs and shallow sills are a common feature of the bathymetry of polar shelves, and these types of processes may be a factor in determining the hydrographic conditions close to the coast across a wider area.</t>
  </si>
  <si>
    <t>[Venables, Hugh J.; Meredith, Michael P.; Brearley, J. Alexander] British Antarctic Survey, Cambridge, England</t>
  </si>
  <si>
    <t>Venables, HJ (corresponding author), British Antarctic Survey, Cambridge, England.</t>
  </si>
  <si>
    <t>Brearley, Alexander/C-3313-2012</t>
  </si>
  <si>
    <t>Brearley, Alexander/0000-0003-3700-8017; Meredith, Michael/0000-0002-7342-7756</t>
  </si>
  <si>
    <t>Natural Environment Research Council; NERC [bas0100033, NE/L011166/1] Funding Source: UKRI; Natural Environment Research Council [bas0100033, NE/L011166/1] Funding Source: researchfish</t>
  </si>
  <si>
    <t>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</si>
  <si>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would like to thank Ben Allsup and Lauren Cooney from Teledyne Webb for assisting with glider operations and improving performance around ice together with David White, Alvaro Lorenzo Lopez and Sam Ward from National Oceanography Centre. Also the captain and crew of the RRS James Clark Ross and ARSV Laurence M. Gould for sampling in Marguerite Bay and glider recoveries and the Marine Assistants that have wintered at Rothera and continued the Rothera Time Series. Peter Fretwell assisted with bathymetry during and after glider deployments was also much appreciated. This paper is a contribution of the BAS Polar Oceans programme, funded by the Natural Environment Research Council.</t>
  </si>
  <si>
    <t>10.1016/j.dsr2.2016.09.005</t>
  </si>
  <si>
    <t>FB1DO</t>
  </si>
  <si>
    <t>WOS:000405884100002</t>
  </si>
  <si>
    <t>Brearley, JA; Meredith, MP; Garabato, ACN; Venables, HJ; Inall, ME</t>
  </si>
  <si>
    <t>Brearley, J. Alexander; Meredith, Michael P.; Garabato, Alberto C. Naveira; Venables, Hugh J.; Inall, Mark E.</t>
  </si>
  <si>
    <t>Controls on turbulent mixing on the West Antarctic Peninsula shelf</t>
  </si>
  <si>
    <t>Ocean tides; Water mixing; Ocean-ice-atmosphere system; Turbulence; Antarctic</t>
  </si>
  <si>
    <t>CLIMATE-CHANGE; SEA-ICE; CONTINENTAL-SHELF; INTERNAL WAVES; MARGUERITE BAY; WEDDELL SEA; OCEAN; DISSIPATION; TEMPERATURE; WATER</t>
  </si>
  <si>
    <t>The ocean-to-atmosphere heat budget of the West Antarctic Peninsula is controlled in part by the upward flux of heat from the warm Circumpolar Deep Water (CDW) layer that resides below similar to 200 m to the Antarctic Surface Water (AASW), a water mass which varies strongly on a seasonal basis. Upwelling and mixing of CDW influence the formation of sea ice in the region and affect biological productivity and functioning of the ecosystem through their delivery of nutrients. In this study, 2.5-year time series of both Acoustic Doppler Current Profiler (ADCP) and conductivity-temperature-depth (CTD) data are used to quantify both the diapycnal diffusivity kappa and the vertical heat flux Q at the interface between CDW and AASW. Over the period of the study, a mean upward heat flux of similar to 1 W m(-2) is estimated, with the largest heat fluxes occurring shortly after the loss of winter fast ice when the water column is first exposed to wind stress without being strongly stratified by salinity. Differences in mixing mechanisms between winter and summer seasons are investigated. Whilst tidally-driven mixing at the study site occurs year-round, but is likely to be relatively weak, a strong increase in counterclockwise-polarized near-inertial energy (and shear) is observed during the fast-ice-free season, suggesting that the direct impact of storms on the ocean surface is responsible for much of the observed mixing at the site. Given the rapid reduction in sea-ice duration in this region in the last 30 years, a shift towards an increasingly wind-dominated mixing regime may be taking place.</t>
  </si>
  <si>
    <t>[Brearley, J. Alexander; Meredith, Michael P.; Venables, Hugh J.] British Antarctic Survey, Madingley Rd, Cambridge CB3 0ET, England; [Garabato, Alberto C. Naveira] Univ Southampton, Natl Oceanog Ctr Southampton, European Way, Southampton SO14 3ZH, Hants, England; [Inall, Mark E.] Scottish Assoc Marine Sci, Scottish Marine Inst, Oban PA37 1QA, Argyll, Scotland; [Inall, Mark E.] Univ Edinburgh, Sch Geosci Edinburgh, Edinburgh EH9 3FE, Midlothian, Scotland</t>
  </si>
  <si>
    <t>UK Research &amp; Innovation (UKRI); Natural Environment Research Council (NERC); NERC British Antarctic Survey; NERC National Oceanography Centre; University of Southampton; UHI Millennium Institute; University of Edinburgh</t>
  </si>
  <si>
    <t>Brearley, JA (corresponding author), British Antarctic Survey, Madingley Rd, Cambridge CB3 0ET, England.</t>
  </si>
  <si>
    <t>jambre@bas.ac.uk</t>
  </si>
  <si>
    <t>Brearley, Alexander/C-3313-2012; Garabato, Alberto Naveira/AAQ-1114-2020; /I-4835-2014</t>
  </si>
  <si>
    <t>Garabato, Alberto Naveira/0000-0001-6071-605X; Meredith, Michael/0000-0002-7342-7756; Brearley, Alexander/0000-0003-3700-8017; /0000-0002-1624-4275</t>
  </si>
  <si>
    <t>Natural Environment Research Council; NERC Independent Research Fellowship [NE/L011166/1]; NERC [NE/E005667/1, NE/E006000/1, bas0100033, NE/L011166/1, NE/E006663/1, NE/E005985/1, NE/E013341/1, NE/J005711/1, NE/E007058/1] Funding Source: UKRI; Natural Environment Research Council [NE/E013341/1, bas0100033, NE/E005667/1, NE/L011166/1, NE/E005985/1, NE/E006663/1, NE/J005711/1, NE/E007058/1, NE/E006000/1] Funding Source: researchfish</t>
  </si>
  <si>
    <t>Natural Environment Research Council(UK Research &amp; Innovation (UKRI)Natural Environment Research Council (NERC)); NERC Independent Research Fellowship(UK Research &amp; Innovation (UKRI)Natural Environment Research Council (NERC)); NERC(UK Research &amp; Innovation (UKRI)Natural Environment Research Council (NERC)); Natural Environment Research Council(UK Research &amp; Innovation (UKRI)Natural Environment Research Council (NERC))</t>
  </si>
  <si>
    <t>We thank everyone concerned with the collection and provision of data used here. These include the series of Rothera Marine Assistants who have spent up to two years on base collecting the CTD data and numerous other staff who have supported the RaTS programme, both at Rothera and in Cambridge. Dr. Mags Wallace is particularly thanked for her early work with the moorings data. We also acknowledge Dr. Laurie Padman and an anonymous reviewer for their extensive comments that have significantly improved the manuscript. This work is a contribution of the BAS Polar Oceans Programme, funded by the Natural Environment Research Council. Brearley is funded by a NERC Independent Research Fellowship (NE/L011166/1).</t>
  </si>
  <si>
    <t>10.1016/j.dsr2.2017.02.011</t>
  </si>
  <si>
    <t>WOS:000405884100003</t>
  </si>
  <si>
    <t>Henley, SF; Tuerena, RE; Annett, AL; Fallick, AE; Meredith, MP; Venables, HJ; Clarke, A; Ganeshram, RS</t>
  </si>
  <si>
    <t>Henley, Sian F.; Tuerena, Robyn E.; Annett, Amber L.; Fallick, Anthony E.; Meredith, Michael P.; Venables, Hugh J.; Clarke, Andrew; Ganeshram, Raja S.</t>
  </si>
  <si>
    <t>Macronutrient supply, uptake and recycling in the coastal ocean of the west Antarctic Peninsula</t>
  </si>
  <si>
    <t>Nutrient cycles; Nitrogen isotopes; Primary production; Phytoplankton; Nutrient utilisation; Circumpolar Deep Water; Nitrogen recycling; Nitrification; Sea ice</t>
  </si>
  <si>
    <t>NITROGEN ISOTOPE FRACTIONATION; PHYTOPLANKTON COMMUNITY STRUCTURE; N-15 NATURAL-ABUNDANCE; MELTING GLACIERS FUELS; CIRCUMPOLAR DEEP-WATER; SOUTHERN-OCEAN; SEA-ICE; CONTINENTAL-SHELF; MARGUERITE BAY; RYDER BAY</t>
  </si>
  <si>
    <t>Nutrient supply, uptake and cycling underpin high primary productivity over the continental shelf of the west Antarctic Peninsula (WAP). Here we use a suite of biogeochemical and isotopic data collected over five years in northern Marguerite Bay to examine these macronutrient dynamics and their controlling biological and physical processes in the WAP coastal ocean. We show pronounced nutrient drawdown over the summer months by primary production which drives a net seasonal nitrate uptake of 1.83 mol N m(-2) yr(-1), equivalent to net carbon uptake of 146 g C m(-2) yr(-1). High primary production fuelled primarily by deep-sourced macronutrients is diatom-dominated, but non-siliceous phytoplankton also play a role. Strong nutrient drawdown in the uppermost surface ocean has the potential to cause transient nitrogen limitation before nutrient resupply and/or regeneration. Interannual variability in nutrient utilisation corresponds to winter sea ice duration and the degree of upper ocean mixing, implying susceptibility to physical climate change. The nitrogen isotope composition of nitrate (delta N-15(NO3)) shows a utilisation signal during the growing seasons with a community-level net isotope effect of 4.19 +/- 0.29 parts per thousand. We also observe significant deviation of our data from modelled and observed utilisation trends, and argue that this is driven primarily by water column nitrification and meltwater dilution of surface nitrate. This study is important because it provides a detailed description of the nutrient biogeochemistry underlying high primary productivity at the WAP, and shows that surface ocean nutrient inventories in the Antarctic sea ice zone can be affected by intense recycling in the water column, meltwater dilution and sea ice processes, in addition to utilisation in the Upper ocean.</t>
  </si>
  <si>
    <t>[Henley, Sian F.; Tuerena, Robyn E.; Annett, Amber L.; Ganeshram, Raja S.] Univ Edinburgh, Sch GeoSci, James Hutton Rd, Edinburgh EH9 3FE, Midlothian, Scotland; [Fallick, Anthony E.] Scottish Univ, Environm Res Ctr, Rankine Ave, E Kilbride G75 0QF, Lanark, Scotland; [Meredith, Michael P.; Venables, Hugh J.; Clarke, Andrew] British Antarctic Survey, Madingley Rd, Cambridge CB3 0ET, England; [Tuerena, Robyn E.] Univ Liverpool, Dept Earth Ocean &amp; Ecol Sci, Liverpool L69 3GP, Merseyside, England; [Annett, Amber L.] Dept Marine &amp; Coastal Sci, 71 Dudley Rd, New Brunswick, NJ 08901 USA</t>
  </si>
  <si>
    <t>University of Edinburgh; Scottish Universities Research &amp; Reactor Center; UK Research &amp; Innovation (UKRI); Natural Environment Research Council (NERC); NERC British Antarctic Survey; University of Liverpool</t>
  </si>
  <si>
    <t>Henley, SF (corresponding author), Univ Edinburgh, Sch GeoSci, James Hutton Rd, Edinburgh EH9 3FE, Midlothian, Scotland.</t>
  </si>
  <si>
    <t>s.f.henley@ed.ac.uk</t>
  </si>
  <si>
    <t>Ganeshram, Raja S/JPX-5314-2023; Tuerena, Robyn/A-8289-2016</t>
  </si>
  <si>
    <t>Meredith, Michael/0000-0002-7342-7756; Annett, Amber/0000-0002-3730-2438; Tuerena, Robyn/0000-0001-7664-840X</t>
  </si>
  <si>
    <t>UK Natural Environment Research Council (NERC) [NE/F004524/1]; British Antarctic Survey [CGS 10/50, CGS 11/56]; NERC [bas0100033, NE/K010034/1] Funding Source: UKRI; Natural Environment Research Council [bas0100033, NE/K010034/1] Funding Source: researchfish</t>
  </si>
  <si>
    <t>UK Natural Environment Research Council (NERC)(UK Research &amp; Innovation (UKRI)Natural Environment Research Council (NERC)); British Antarctic Survey; NERC(UK Research &amp; Innovation (UKRI)Natural Environment Research Council (NERC)); Natural Environment Research Council(UK Research &amp; Innovation (UKRI)Natural Environment Research Council (NERC))</t>
  </si>
  <si>
    <t>We thank two anonymous reviewers for their thorough and insightful comments, which have improved the manuscript considerably. All data used in this study are available on request from the corresponding author. This work was funded by the UK Natural Environment Research Council (NERC) via Standard Grant NE/F004524/1, a Ph.D Studentship for S.F.H. and the Antarctic Funding Initiative and Collaborative Gearing Schemes of the British Antarctic Survey (CGS 10/50, CGS 11/56). The authors would like to thank staff at the BAS and Rothera Research Station for logistic and fieldwork support. For analytical support, we thank Julie Dougans, Andrew Tait, Malcolm Woodward, Jan Kaiser, Daniel Sigman, Karen Casciotti and Matthew McIlvin. We thank Damien Carson for data.</t>
  </si>
  <si>
    <t>10.1016/j.dsr2.2016.10.003</t>
  </si>
  <si>
    <t>WOS:000405884100006</t>
  </si>
  <si>
    <t>Eveleth, R; Cassar, N; Sherrell, RM; Ducklow, H; Meredith, MP; Venables, HJ; Lin, Y; Li, Z</t>
  </si>
  <si>
    <t>Eveleth, R.; Cassar, N.; Sherrell, R. M.; Ducklow, H.; Meredith, M. P.; Venables, H. J.; Lin, Y.; Li, Z.</t>
  </si>
  <si>
    <t>Ice melt influence on summertime net community production along the Western Antarctic Peninsula</t>
  </si>
  <si>
    <t>Net community production; Carbon sink; Ice melt; Iron; Climate change</t>
  </si>
  <si>
    <t>DISSOLVED INORGANIC CARBON; SOUTHERN-OCEAN; DRAKE PASSAGE; SEA-ICE; INTERANNUAL VARIABILITY; SPATIOTEMPORAL VARIABILITY; PHYTOPLANKTON COMMUNITIES; CONTINENTAL-SHELF; IRON LIMITATION; CLIMATE-CHANGE</t>
  </si>
  <si>
    <t>The Western Antarctic Peninsula (WAP) is a highly productive marine environment that is undergoing rapid change, with consequences for productivity and total ecosystem carbon cycling. We present continuous underway O-2/Ar estimates of net community production (NCPO2Ar) in austral summer 2012, 2013 and 2014 at sub-kilometer horizontal resolution within the Palmer Long-Term Ecological Research (PalLTER) grid region of the WAP. Substantial spatial variability is observed with NCPO2Ar ranging from 0 to 790 mmol O-2 m(-2) d(-1) and considerable interannual variability with mean values in the grid region of 54.4 +/- 48.5, 44.6 +/- 40.5, and 85.6 +/- 75.9 mmol O-2 m(-2) d(-1) in 2012, 2013 and 2014 respectively. Based on a strong correlation (r(2)=0.83) between residence time integrated NCPO2Ar, and NCPDIC derived from seasonal DIC drawdown, we find the observed NCPO2Ar spatial and interannual variability to be consistent with the December-January NCPDIC magnitude. Seeking to explain the mechanistic drivers of NCP in the WAP, we observe a linear relationship between NCPO2Ar and meteoric water content derived from 5180 and salinity. This correlation may be due to Fe supply from glacial melt and/or strengthening of stratification and relief of light limitation. Elevated surface Fe availability, as indicated by F-v/F-m, and measurements of surface water dissolved Fe and Mn (a rough proxy for recent potential Fe availability), and shallower, more stable mixed layers are present where meteoric water and/or sea ice melt is high near the coast. Light limitation is evident in the WAP when mixed layer depths are greater than similar to 40 m. Additionally we document hotspots of NCP associated with submarine canyons along the WAP. While it is difficult to predict how the physical-biological system might evolve under changing climatic conditions, it is evident that NCP, and potentially carbon flux out of the mixed layer, along the WAP will be sensitive to shifts in meltwater input and timing. (C) 2016 Elsevier Ltd. All rights reserved.</t>
  </si>
  <si>
    <t>[Eveleth, R.; Cassar, N.; Lin, Y.; Li, Z.] Duke Univ, Nicholas Sch Environm, Div Earth &amp; Ocean Sci, Durham, NC 27708 USA; [Sherrell, R. M.] Rutgers State Univ, Dept Marine &amp; Coastal Sci, New Brunswick, NJ 08901 USA; [Sherrell, R. M.] Rutgers State Univ, Dept Earth &amp; Planetary Sci, Piscataway, NJ 08854 USA; [Ducklow, H.] Columbia Univ, Lamont Doherty Earth Observ, Palisades, NY 10964 USA; [Meredith, M. P.; Venables, H. J.] British Antarctic Survey, Cambridge CB3 0ET, England</t>
  </si>
  <si>
    <t>Duke University; Rutgers University System; Rutgers University New Brunswick; Rutgers University System; Rutgers University New Brunswick; Columbia University; UK Research &amp; Innovation (UKRI); Natural Environment Research Council (NERC); NERC British Antarctic Survey</t>
  </si>
  <si>
    <t>Eveleth, R (corresponding author), Duke Univ, EOS, Old Chem Bldg,Box 90227, Durham, NC 27708 USA.</t>
  </si>
  <si>
    <t>rachel.eveleth@duke.edu</t>
  </si>
  <si>
    <t>Cassar, Nicolas/B-4260-2011; Eveleth, Rachel/N-1035-2017</t>
  </si>
  <si>
    <t>Eveleth, Rachel/0000-0003-0556-4326; Meredith, Michael/0000-0002-7342-7756; Lin, Yajuan/0000-0002-9057-9321</t>
  </si>
  <si>
    <t>Natural Environment Research Council; National Science Foundation Graduate Research Fellowship [1106401]; NSF [OPP-1043339, PLR-1344502, 1440435, ANT-0838995]; LTER Program of the US National Science Foundation [ANT-0823101]; NERC [bas0100033] Funding Source: UKRI; Natural Environment Research Council [bas0100033] Funding Source: researchfish; Directorate For Geosciences; Office of Polar Programs (OPP) [1142250] Funding Source: National Science Foundation; Directorate For Geosciences; Office of Polar Programs (OPP) [1341647] Funding Source: National Science Foundation</t>
  </si>
  <si>
    <t>Natural Environment Research Council(UK Research &amp; Innovation (UKRI)Natural Environment Research Council (NERC)); National Science Foundation Graduate Research Fellowship(National Science Foundation (NSF)); NSF(National Science Foundation (NSF)); LTER Program of the US National Science Foundation(National Science Foundation (NSF));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 Directorate For Geosciences; Office of Polar Programs (OPP)(National Science Foundation (NSF)NSF - Directorate for Geosciences (GEO))</t>
  </si>
  <si>
    <t>We would like to thank two anonymous reviewers for their insightful comments. Thank you to the logistics support, officers, scientists and crew of the ARSV LMG for help with data collection, and Sharon Stammerjohn, Oscar Schofield, Claudine Hauri, Adam Ulfsbo and Rich Iannuzzi for valuable contributions of data and insight. RaTS is a component of the British Antarctic Survey's Polar Oceans program, funded by the Natural Environment Research Council. We thank all those concerned with the collection of RaTS samples and data including the Rothera Marine Assistants. This material is based upon work supported by the National Science Foundation Graduate Research Fellowship Program under Grant no. 1106401. Work was supported by NSF OPP-1043339 to N.C., NSF awards PLR-1344502 and 1440435 (Palmer LTER Project) to H.W.D at Columbia University. The research was additionally supported by the LTER Program of the US National Science Foundation (ANT-0823101) and NSF ANT-0838995 to R.M.S.</t>
  </si>
  <si>
    <t>10.1016/j.dsr2.2016.07.016</t>
  </si>
  <si>
    <t>hybrid, Green Accepted</t>
  </si>
  <si>
    <t>WOS:000405884100008</t>
  </si>
  <si>
    <t>Bown, J; Laan, P; Ossebaar, S; Bakker, K; Rozema, P; de Baar, HJW</t>
  </si>
  <si>
    <t>Bown, Johann; Laan, Patrick; Ossebaar, Sharyn; Bakker, Karel; Rozema, Patrick; de Baar, Hein J. W.</t>
  </si>
  <si>
    <t>Bioactive trace metal time series during Austral summer in Ryder Bay, Western Antarctic Peninsula</t>
  </si>
  <si>
    <t>Iron; Manganese; Zinc; Cadmium; Cobalt; Copper; GEOTRACES; Trace metals; Rothera; Western Antarctic Peninsula</t>
  </si>
  <si>
    <t>NORTHERN MARGUERITE BAY; SOUTHERN-OCEAN; WEDDELL SEA; DISSOLVED COBALT; ICP-MS; FLOW-INJECTION; DRAKE PASSAGE; WATER-COLUMN; GROWTH-RATES; ROSS SEA</t>
  </si>
  <si>
    <t>The Western Antarctic Peninsula, one of the most productive regions of the Southern Ocean, is currently affected by the increasing of atmospheric and oceanic temperatures. For several decades, the Rothera Time Series (RaTS) site located in Ryder Bay has been monitored by the British Antarctic Survey and has shown long lasting phytoplankton summer blooms (over a month) that are likely driven by the length of the sea ice season. The dynamics of phytoplankton blooms in Ryder Bay may just as well be influenced by natural fertilization of iron and other bioactive trace metals due to the proximity of land, islands and glaciers. For the first time, temporal distributions in the surface layer (0-75 m depth) of six bioactive trace metals (dissolved: Fe, Mn, Zn, Cd, Cu and dissolved labile Co) have been investigated with high temporal and spatial resolution at the RaTS site during a total of similar to 2 and 3.5 months respectively, over two consecutive summers. Most of the studied trace elements showed wide ranges of concentrations and this dynamics appears to be driven by phytoplankton uptake, remineralization and occasional vertical mixing associated with storm episodes. The biological uptake of DMn, DZn, DCd, DCoL and DCu was proportional to uptake of phosphate and silicate, which was associated with weak to strong linear relationships depending on which phytoplankton bloom events was considered. This further suggests that the surface water distributions of these studied bio-active trace metals were mainly driven by biological uptake and remineralization during austral spring and summer in Ryder Bay. Even though DFe did not show any strong relationship with phosphate, DFe decreasing concentrations during each bloom event suggest that Fe is a key essential element for phytoplankton in the area of study. The consistency of trace metals/nutrient ratios during two consecutive summers indicates that over-winter scavenging removal was slow relative to mixing. The increase of DCd/P and DCoL/P drawdown ratios during the two consecutive blooms monitored during the second season could reflect the substitution of DZn by trace metals DCd and DCoL, due to lowered DZn concentrations after the first bloom. Relationships of trace elements versus silicate appear to be dominated by diatoms abundances which tend to vary both at the season and bloom time scale. Simultaneous short-term events of depletions of both nutrients and bioactive trace metals might induce stress in the growth of the phytoplankton assemblage. (C) 2016 Elsevier Ltd. All rights reserved.</t>
  </si>
  <si>
    <t>[Bown, Johann; Laan, Patrick; Ossebaar, Sharyn; Bakker, Karel; de Baar, Hein J. W.] Royal Netherlands Inst Sea Res, NIOZ, Dept Ocean Syst, POB 59, NL-1790 AB Den Burg, Texel, Netherlands; [Bown, Johann; Laan, Patrick; Ossebaar, Sharyn; Bakker, Karel; de Baar, Hein J. W.] Univ Utrecht, POB 59, NL-1790 AB Den Burg, Texel, Netherlands; [Rozema, Patrick; de Baar, Hein J. W.] Univ Groningen, Dept Ocean Ecosyst, Nijenborgh 7, NL-9747 AG Groningen, Netherlands</t>
  </si>
  <si>
    <t>Utrecht University; Royal Netherlands Institute for Sea Research (NIOZ); Utrecht University; University of Groningen</t>
  </si>
  <si>
    <t>Bown, J (corresponding author), Royal Netherlands Inst Sea Res, NIOZ, Dept Ocean Syst, POB 59, NL-1790 AB Den Burg, Texel, Netherlands.;Bown, J (corresponding author), Univ Utrecht, POB 59, NL-1790 AB Den Burg, Texel, Netherlands.</t>
  </si>
  <si>
    <t>johann.bown@nioz.nl</t>
  </si>
  <si>
    <t>Rozema, Patrick D/J-9546-2016</t>
  </si>
  <si>
    <t>Rozema, Patrick/0000-0003-3376-7972</t>
  </si>
  <si>
    <t>Netherlands Organisation for Scientific Research (NWO) [866.20.031]</t>
  </si>
  <si>
    <t>Netherlands Organisation for Scientific Research (NWO)(Netherlands Organization for Scientific Research (NWO))</t>
  </si>
  <si>
    <t>The authors gratefully acknowledge the British Antarctic Survey, Royal Netherlands Institute for Sea Research (NIOZ) and the Netherlands Organisation for Scientific Research (NWO) for the opportunity to conduct field work at the Dirck Gerritsz and Bonner laboratories at Rothera. Particular thanks to our colleagues Amber Annett, Mairi Fenton and Elisabeth Jones, for their wonderful help during trace metals samples collection, and to Ronald Visser and Pim Sprong for collecting and filtering samples for the analysis of phytoplankton pigments. We also would like to thank Rothera's boat officers Timothy Fox and Paul Samways, and Rothera Technical Services for their assistance. We thank Katharine Hendry and one anonymous reviewer for their constructive comments and suggestions that improved the manuscript. Support was gratefully received from Sven Ober (NIOZ), for CTD maintenance and data calibration. This work is part of postdoctoral research (J. Bown) at NIOZ under the research programme 866.20.031, which was financed by the Netherlands Organisation for Scientific Research (NWO).</t>
  </si>
  <si>
    <t>10.1016/j.dsr2.2016.07.004</t>
  </si>
  <si>
    <t>WOS:000405884100009</t>
  </si>
  <si>
    <t>Pyle, KM; Hendry, KR; Sherrell, RM; Meredith, MP; Venables, H; Lagerström, M; Morte-Ródenas, A</t>
  </si>
  <si>
    <t>Pyle, K. M.; Hendry, K. R.; Sherrell, R. M.; Meredith, M. P.; Venables, H.; Lagerstrom, M.; Morte-Rodenas, A.</t>
  </si>
  <si>
    <t>Coastal barium cycling at the West Antarctic Peninsula</t>
  </si>
  <si>
    <t>Barium; Seawater; Polar waters; Trace metal; Antarctica; West Antarctic Peninsula; Pal LTER grid</t>
  </si>
  <si>
    <t>NORTHERN MARGUERITE BAY; DISSOLVED BARIUM; SOUTHERN-OCEAN; CHEMICAL-COMPOSITION; TRACE-ELEMENT; MASS-BALANCE; ARCTIC-OCEAN; SEA; PRECIPITATION; VARIABILITY</t>
  </si>
  <si>
    <t>Barium cycling in the ocean is associated with a number of processes, including the production and recycling of organic matter, freshwater fluxes, and phenomena that affect alkalinity. As a result, the biogeochemical cycle of barium offers insights into past and present oceanic conditions, with barium currently used in various forms as a palaeoproxy for components of organic and inorganic carbon storage, and as a quasi-conservative water mass tracer. However, the nature of the oceanic barium cycle is not fully understood, particularly in cases where multiple processes may be interacting simultaneously with the dissolved and particulate barium pools. This is particularly the case in coastal polar regions such as the West Antarctic Peninsula, where biological drawdown and remineralisation occur in tandem with sea ice formation and melting, glacial meltwater input, and potential fluxes from shelf sediments. Here, we use a high-precision dataset of dissolved barium (Bad) from a grid of stations adjacent to the West Antarctic Peninsula in conjunction with silicic acid (Si(OH)(4)), the oxygen isotope composition of water, and salinity measurements, to determine the relative control of various coastal processes on the barium cycle throughout the water column. There is a strong correlation between Bad and Si(OH)(4) present in deeper samples, but nevertheless persists significantly in surface waters. This indicates that the link between biogenic opal and barium is not solely due to barite precipitation and dissolution at depth, but is supplemented by an association between Bad and diatom tests in surface waters, possibly due to barite formation within diatom-dominated phytodetritus present in the photic zone. Sea-ice meltwater appears to exert a significant secondary control on barium concentrations, likely due to non-conservative biotic or abiotic processes acting as a sink for Bad within the sea ice itself, or sea-ice meltwater stimulating non-siliceous productivity that acts as a Bad sink. Meteoric water input, conversely, exerts little or no control on local barium levels, indicating that glacial meltwater is not a significant coastal source of barium to the West Antarctic Peninsula shelf waters.</t>
  </si>
  <si>
    <t>[Pyle, K. M.; Morte-Rodenas, A.] Cardiff Univ, Sch Earth &amp; Ocean Sci, Main Bldg,Pk Pl, Cardiff CF10 3AT, S Glam, Wales; [Hendry, K. R.] Univ Bristol, Sch Earth Sci, Wills Mem Bldg,Queens Rd, Bristol BS8 1RJ, Avon, England; [Sherrell, R. M.] Rutgers State Univ, Dept Marine &amp; Coastal Sci, New Brunswick, NJ USA; [Sherrell, R. M.] Rutgers State Univ, Dept Earth &amp; Planetary Sci, New Brunswick, NJ USA; [Meredith, M. P.; Venables, H.] British Antarctic Survey, Madingley Rd, Cambridge CB3 0ET, England; [Lagerstrom, M.] Stockholm Univ, Dept Environm Sci &amp; Analyt Chem ACES, SE-10691 Stockholm, Sweden</t>
  </si>
  <si>
    <t>Cardiff University; University of Bristol; Rutgers University System; Rutgers University New Brunswick; Rutgers University System; Rutgers University New Brunswick; UK Research &amp; Innovation (UKRI); Natural Environment Research Council (NERC); NERC British Antarctic Survey; Stockholm University</t>
  </si>
  <si>
    <t>Pyle, KM (corresponding author), Cardiff Univ, Sch Earth &amp; Ocean Sci, Main Bldg,Pk Pl, Cardiff CF10 3AT, S Glam, Wales.</t>
  </si>
  <si>
    <t>kimpyle@sky.com</t>
  </si>
  <si>
    <t>Hendry, Katharine/E-4793-2011; Lagerstrom, Maria/R-8949-2016</t>
  </si>
  <si>
    <t>Hendry, Katharine/0000-0002-0790-5895; Meredith, Michael/0000-0002-7342-7756; Lagerstrom, Maria/0000-0002-7526-5295</t>
  </si>
  <si>
    <t>NERC [126577]; EU [FP7_PEOPLE-20120CIG, 320070]; NSF [ANT 0823101, PLR 1440435]; NERC [bas0100033] Funding Source: UKRI; Natural Environment Research Council [bas0100033] Funding Source: researchfish; Directorate For Geosciences; Office of Polar Programs (OPP) [1142250] Funding Source: National Science Foundation</t>
  </si>
  <si>
    <t>NERC(UK Research &amp; Innovation (UKRI)Natural Environment Research Council (NERC)); EU(European Union (EU)); NSF(National Science Foundation (NSF));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</si>
  <si>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This work has been funded by NERC studentship 126577 and EU FP7_PEOPLE-20120CIG Proposal number 320070. We would like to thank the captain and crew of the ARSV Lawrence M. Gould, Marie Seguret for collecting seawater samples, and Hugh Ducklow and all other contributors to the Palmer, Antarctica Long Term Ecological Research Project, funded by NSF Awards-ANT 0823101 and PLR 1440435. We are grateful to members of the Bristol Oceans Past and Present (BOPP) Research Group at the University of Bristol, and Dr Carrie Lear and Professor Ian Hall at Cardiff University for insightful and constructive discussion of the data. Thanks also to the Editor Dr. Jacqueline Stefels and two anonymous reviewers for significantly improving the manuscript.</t>
  </si>
  <si>
    <t>10.1016/j.dsr2.2016.11.010</t>
  </si>
  <si>
    <t>WOS:000405884100010</t>
  </si>
  <si>
    <t>Cassarino, L; Hendry, KR; Meredith, MP; Venables, HJ; De La Rocha, CL</t>
  </si>
  <si>
    <t>Cassarino, Lucie; Hendry, Katharine R.; Meredith, Michael P.; Venables, Hugh J.; De La Rocha, Christina L.</t>
  </si>
  <si>
    <t>Silicon isotope and silicic acid uptake in surface waters of Marguerite Bay, West Antarctic Peninsula</t>
  </si>
  <si>
    <t>Silicon; Isotopes; Fractionation; Time series; Ryder Bay; Southern Ocean</t>
  </si>
  <si>
    <t>SOUTHERN-OCEAN; BIOGENIC SILICA; MASS SPECTROMETRY; ATMOSPHERIC CO2; MARINE DIATOMS; NATURAL-WATERS; FRACTIONATION; PACIFIC; EXPORT; VARIABILITY</t>
  </si>
  <si>
    <t>The silicon isotope composition (delta Si-30) of dissolved silicon (DSi) and biogenic silica (BSi) provides information about the silicon cycle and its role in oceanic carbon uptake in the modern ocean and in the past. However, there are still questions outstanding regarding the impact of processes such as oceanic mixing, export and dissolution on the isotopic signature of seawater, and the impacts on sedimentary BSi. This study reports the delta Si-30 of DSi from surface waters at the Rothera Time Series (RaTS) site, Ryder Bay, in a coastal region of the West Antarctic Peninsula (WAP). The samples were collected at the end of austral spring through the end of austral summer/beginning of autumn over two field seasons, 2004/5 and 2005/6. Broadly, for both field seasons, DSi diminished and delta Si-30 of DSi increased through the summer, but this was accomplished during only a few short periods of net nutrient drawdown. During these periods, the delta Si-30 of DSi was negatively correlated with DSi concentrations. The Si isotope fractionation factor determined for the net nutrient drawdown periods, epsilon(uptake), was in the range of -2.26 to -1.80 parts per thousand when calculated using an open system model and -1.93 to -1.33 parts per thousand when using a closed system model. These estimates of epsilon are somewhat higher than previous studies that relied on snapshots in time rather than following changes in delta Si-30 and DSi over time, which therefore were more likely to include the effects of mixing of dissolved silicon up into the mixed layer. Results highlight also that, even at the same station and within a single growing season, the apparent fractionation factor may exhibit significant temporal variability because of changes in the extent of biological removal of DSi, nutrient source, siliceous species, and mixing events. Paleoceanographic studies using silicon isotopes need careful consideration in the light of our new results.</t>
  </si>
  <si>
    <t>[Cassarino, Lucie; De La Rocha, Christina L.] Univ Bretagne Occidentale, Technopole Brest Iroise, UMR 6539, LEMAR,IUEM, Pl Nicolas Copernic, F-29280 Plouzane, France; [Cassarino, Lucie; Hendry, Katharine R.] Univ Bristol, Dept Earth Sci, Wills Mem Bldg,Queens Rd, Bristol BS8 1RJ, Avon, England; [Meredith, Michael P.; Venables, Hugh J.] British Antarctic Survey, High Cross Madingley Rd, Cambridge, England</t>
  </si>
  <si>
    <t>Centre National de la Recherche Scientifique (CNRS); CNRS - Institute of Ecology &amp; Environment (INEE); Ifremer; Institut de Recherche pour le Developpement (IRD); Universite de Bretagne Occidentale; Institut Universitaire Europeen de la Mer (IUEM); University of Bristol; UK Research &amp; Innovation (UKRI); Natural Environment Research Council (NERC); NERC British Antarctic Survey</t>
  </si>
  <si>
    <t>Cassarino, L (corresponding author), Univ Bristol, Dept Earth Sci, Wills Mem Bldg,Queens Rd, Bristol BS8 1RJ, Avon, England.</t>
  </si>
  <si>
    <t>; Hendry, Katharine/E-4793-2011</t>
  </si>
  <si>
    <t>Cassarino, Lucie/0000-0001-5736-1817; Hendry, Katharine/0000-0002-0790-5895; Meredith, Michael/0000-0002-7342-7756</t>
  </si>
  <si>
    <t>Antarctic Funding Initiative [AFI4/02]; Laboratory of Environmental Marin sciences (LEMAR) [UMR 6539]; Natural Environment Research Council [bas0100033] Funding Source: researchfish; NERC [bas0100033] Funding Source: UKRI</t>
  </si>
  <si>
    <t>Antarctic Funding Initiative; Laboratory of Environmental Marin sciences (LEMAR); Natural Environment Research Council(UK Research &amp; Innovation (UKRI)Natural Environment Research Council (NERC)); NERC(UK Research &amp; Innovation (UKRI)Natural Environment Research Council (NERC))</t>
  </si>
  <si>
    <t>Sample collection was funded by Antarctic Funding Initiative AFI4/02 and analysis were supported by the Laboratory of Environmental Marin sciences (LEMAR, UMR 6539). The authors are grateful to E. Ponzevera and Y. Germain for their assistance during isotopic measurement and Samia Mantoura, Damien Carson, Andrew Miller, Paul Mann, the Base Commander and all staff at Rothera Research Station (BAS). We also thank P. Treguer, S. Lalonde and N. Coffineau for their interesting comments and suggestions.</t>
  </si>
  <si>
    <t>10.1016/j.dsr2.2016.11.002</t>
  </si>
  <si>
    <t>WOS:000405884100012</t>
  </si>
  <si>
    <t>Rozema, PD; Biggs, T; Sprong, PAA; Buma, AGJ; Venables, HJ; Evans, C; Meredith, MP; Bolhuis, H</t>
  </si>
  <si>
    <t>Rozema, Patrick D.; Biggs, Tristan; Sprong, Pim A. A.; Buma, Anita G. J.; Venables, Hugh J.; Evans, Claire; Meredith, Michael P.; Bolhuis, Henk</t>
  </si>
  <si>
    <t>Summer microbial community composition governed by upper-ocean stratification and nutrient availability in northern Marguerite Bay, Antarctica</t>
  </si>
  <si>
    <t>Phytoplankton; Bacteria; Diatoms; macronutrients; MiSeq sequencing; glacial melt</t>
  </si>
  <si>
    <t>MELTING GLACIERS FUELS; 16S RIBOSOMAL-RNA; SOUTHERN-OCEAN; PHYTOPLANKTON BLOOMS; AMUNDSEN SEA; PICOPLANKTON ASSEMBLAGES; BACTERIAL PRODUCTION; MARINE BACTERIAL; COASTAL WATERS; CLIMATE-CHANGE</t>
  </si>
  <si>
    <t>The Western Antarctic Peninsula warmed significantly during the second half of the twentieth century, with a concurrent retreat of the majority of its glaciers, and marked changes in the sea-ice field. These changes may affect summertime upper-ocean stratification, and thereby the seasonal dynamics of phytoplankton and bacteria. In the present study, we examined coastal Antarctic microbial community dynamics by pigment analysis and applying molecular tools, and analysed various environmental parameters to identify the most important environmental drivers. Sampling focussed on the austral summer of 2009-2010 at the Rothera oceanographic and biological Time Series (RaTS) site in northern Marguerite bay, Antarctica. The Antarctic summer was characterized by a salinity decrease (measured at 15 m depth) coinciding with increased meteoric water fraction. Maximum Chl-a values of 35 mu g l(-1) were observed during midsummer and mainly comprised of diatoms. Microbial community fingerprinting revealed four distinct periods in phytoplankton succession during the summer while bacteria showed a delayed response to the phytoplankton community. Non-metric multidimensional scaling analyses showed that phytoplankton community dynamics were mainly directed by temperature, mixed layer depth and wind speed. Both high and low N/P ratios might have influenced phytoplankton biomass accumulation. The bacterioplankton community composition was mainly governed by Chl-a, suggesting a link to phytoplankton community changes. High-throughput 16S and 18S rRNA amplicon sequencing revealed stable eukaryotic and bacterial communities with regards to observed species, yet varying temporal relative contributions. Eukaryotic sequences were dominated by pennate diatoms in December followed by polar centric diatoms in January and February. Our results imply that the reduction of mixed layer depth during summer, caused by meltwater-related surface stratification, promotes a succession in diatoms rather than in nanophytoflagellates in northern Marguerite Bay, which may favour higher trophic levels.</t>
  </si>
  <si>
    <t>[Rozema, Patrick D.; Sprong, Pim A. A.; Buma, Anita G. J.] Univ Groningen, Dept Ocean Ecosyst, Energy &amp; Sustainabil Res Inst, Nijenborgh 7, NL-9747 AG Groningen, Netherlands; [Biggs, Tristan; Evans, Claire; Bolhuis, Henk] Royal Netherlands Inst Sea Res, Dept Marine Microbiol &amp; Biogeochem, Landsdiep 4, NL-1797 SZ T Horntje, Texel, Netherlands; [Biggs, Tristan; Evans, Claire; Bolhuis, Henk] Univ Utrecht, Landsdiep 4, NL-1797 SZ T Horntje, Texel, Netherlands; [Buma, Anita G. J.] Univ Groningen, Arctic Ctr, Aweg 30, NL-9718 CW Groningen, Netherlands; [Venables, Hugh J.; Meredith, Michael P.] British Antarctic Survey, Madingley Rd, Cambridge CB3 0ET, England; [Sprong, Pim A. A.] Natl Oceanog Ctr, Waterfront Campus,European Way, Southampton SO14 3ZH, Hants, England; Alfred Wegener Inst Polar &amp; Marine Res, Handelshafen 12, D-27570 Bremerhaven, Germany</t>
  </si>
  <si>
    <t>University of Groningen; Utrecht University; Royal Netherlands Institute for Sea Research (NIOZ); Utrecht University; University of Groningen; UK Research &amp; Innovation (UKRI); Natural Environment Research Council (NERC); NERC British Antarctic Survey; NERC National Oceanography Centre; University of Southampton; Helmholtz Association; Alfred Wegener Institute, Helmholtz Centre for Polar &amp; Marine Research</t>
  </si>
  <si>
    <t>Rozema, PD (corresponding author), Univ Groningen, Dept Ocean Ecosyst, Energy &amp; Sustainabil Res Inst, Nijenborgh 7, NL-9747 AG Groningen, Netherlands.</t>
  </si>
  <si>
    <t>P.D.Rozema@rug.nl</t>
  </si>
  <si>
    <t>Bolhuis, Henk/H-8535-2014; Rozema, Patrick D/J-9546-2016; Bolhuis, Henk/S-2986-2019; Buma, Anita GJ/E-8372-2015; Bolhuis, Henk/M-6677-2019</t>
  </si>
  <si>
    <t>Bolhuis, Henk/0000-0002-4772-1898; Meredith, Michael/0000-0002-7342-7756; Rozema, Patrick/0000-0003-3376-7972</t>
  </si>
  <si>
    <t>Dutch Polar Programme [866.10.105]; Natural Environment Research Council; Natural Environment Research Council [noc010009, bas0100033] Funding Source: researchfish; NERC [bas0100033, noc010009] Funding Source: UKRI</t>
  </si>
  <si>
    <t>Dutch Polar Programme;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</si>
  <si>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would like to thank the Marine Assistants and other staff at Rothera and in Cambridge who have contributed to the collection of the samples and data used here. Also, we thank Ronald Visser for his assistance with HPLC analyses. Corina Brussaard is thanked for a valued discussion of an early draft of the manuscript. Finally, we would like to thank the editors, Simon Wright and two anonymous reviewers for their insights and helpful suggestions on improving this paper. This research was funded by the Dutch Polar Programme (866.10.105). Funding for the RaTS programme is from the Natural Environment Research Council, and is a component of the BAS Polar Oceans programme.</t>
  </si>
  <si>
    <t>10.1016/j.dsr2.2016.11.016</t>
  </si>
  <si>
    <t>WOS:000405884100013</t>
  </si>
  <si>
    <t>Jones, EM; Fenton, M; Meredith, MP; Clargo, NM; Ossebaar, S; Ducklow, HW; Venables, HJ; de Baar, HJW</t>
  </si>
  <si>
    <t>Jones, Elizabeth M.; Fenton, Mairi; Meredith, Michael P.; Clargo, Nicola M.; Ossebaar, Sharyn; Ducklow, Hugh W.; Venables, Hugh J.; de Baar, Hein J. W.</t>
  </si>
  <si>
    <t>Ocean acidification and calcium carbonate saturation states in the coastal zone of the West Antarctic Peninsula</t>
  </si>
  <si>
    <t>Carbonate chemistry; Ocean acidification; Sea ice; glacial meltwater; West Antarctic Peninsula; Ryder Bay</t>
  </si>
  <si>
    <t>NORTHERN MARGUERITE BAY; CIRCUMPOLAR DEEP-WATER; SEA-ICE; INORGANIC CARBON; RYDER BAY; TOTAL ALKALINITY; SEASONAL CYCLE; CLIMATE-CHANGE; ARAGONITE UNDERSATURATION; ANTHROPOGENIC CO2</t>
  </si>
  <si>
    <t>The polar oceans are particularly vulnerable to ocean acidification; the lowering of seawater pH and carbonate mineral saturation states due to uptake of atmospheric carbon dioxide (CO2). High spatial variability in surface water pH and saturation states (Omega) for two biologically-important calcium carbonate minerals calcite and aragonite was observed in Ryder Bay, in the coastal sea-ice zone of the West Antarctic Peninsula. Glacial meltwater and melting sea ice stratified the water column and facilitated the development of large phytoplankton blooms and subsequent strong uptake of atmospheric CO2 of up to 55 mmol m(-2) day(-1) during austral summer. Concurrent high pH (8.48) and calcium carbonate mineral supersaturation (Omega aragonite similar to 3.1) occurred in the meltwater-influenced surface ocean. Biologically-induced increases in calcium carbonate mineral saturation states counteracted any effects of carbonate ion dilution. Accumulation of CO2 through remineralisation of additional organic matter from productive coastal waters lowered the pH (7.84) and caused deep-water corrosivity (Omega aragonite similar to 0.9) in regions impacted by Circumpolar Deep Water. Episodic mixing events enabled CO2-rich subsurface water to become entrained into the surface and eroded seasonal stratification to lower surface water pH (8.21) and saturation states (Omega aragonite similar to 1.8) relative to all surface waters across Ryder Bay. Uptake of atmospheric CO2 of 28 mmol m(-2) day(-1) in regions of vertical mixing may enhance the susceptibility of the surface layer to future ocean acidification in dynamic coastal environments. Spatially-resolved studies are essential to elucidate the natural variability in carbonate chemistry in order to better understand and predict carbon cycling and the response of marine organisms to future ocean acidification in the Antarctic coastal zone.</t>
  </si>
  <si>
    <t>[Jones, Elizabeth M.] Univ Groningen, Ctr Energy &amp; Environm Sci, Nijenborgh 4, NL-9747 AG Groningen, Netherlands; [Clargo, Nicola M.; Ossebaar, Sharyn; de Baar, Hein J. W.] NIOZ Royal Netherlands Inst Sea Res, Dept Ocean Syst, POB 59, NL-1790 AB Den Burg, Texel, Netherlands; [Jones, Elizabeth M.; Clargo, Nicola M.; de Baar, Hein J. W.] Univ Utrecht, POB 59, NL-1790 AB Den Burg, Texel, Netherlands; [Fenton, Mairi; Meredith, Michael P.; Venables, Hugh J.] British Antarctic Survey, Madingley Rd, Cambridge CB3 0ET, England; [Ducklow, Hugh W.] Lamont Doherty Earth Observ, Palisades, NY 10964 USA; [de Baar, Hein J. W.] Univ Groningen, Ocean Ecosyst, Nijenborgh 7, NL-9747 AG Groningen, Netherlands</t>
  </si>
  <si>
    <t>University of Groningen; Utrecht University; Royal Netherlands Institute for Sea Research (NIOZ); Utrecht University; UK Research &amp; Innovation (UKRI); Natural Environment Research Council (NERC); NERC British Antarctic Survey; Columbia University; University of Groningen</t>
  </si>
  <si>
    <t>Jones, EM (corresponding author), Univ Groningen, Ctr Energy &amp; Environm Sci, Nijenborgh 4, NL-9747 AG Groningen, Netherlands.</t>
  </si>
  <si>
    <t>e.m.jones@rug.nl</t>
  </si>
  <si>
    <t>Fenton, Mairi/0000-0002-9404-1107; Meredith, Michael/0000-0002-7342-7756</t>
  </si>
  <si>
    <t>Netherlands Polar Programme at NWO; NERC; US NSF-ANT (Palmer LTER) [1440435]; Ship of Opportunity Observation Program (SOOP); United States NOAA [NA10OAR4320143]; Natural Environment Research Council [bas0100033] Funding Source: researchfish; NERC [bas0100033] Funding Source: UKRI</t>
  </si>
  <si>
    <t>Netherlands Polar Programme at NWO; NERC(UK Research &amp; Innovation (UKRI)Natural Environment Research Council (NERC)); US NSF-ANT (Palmer LTER); Ship of Opportunity Observation Program (SOOP); United States NOAA(National Oceanic Atmospheric Admin (NOAA) - USA); Natural Environment Research Council(UK Research &amp; Innovation (UKRI)Natural Environment Research Council (NERC)); NERC(UK Research &amp; Innovation (UKRI)Natural Environment Research Council (NERC))</t>
  </si>
  <si>
    <t>The authors gratefully acknowledge BAS, Royal NIOZ and NWO for the opportunity to conduct fieldwork at the Dirck Gerritsz and Bonner laboratories at Rothera. Particular thanks to J. Bown, P. Rozema, S. Henley, S. Heiser for assistance in the laboratory, boating and sample collection. Support was gratefully received from S. Ober, for CTD maintenance and data calibration, and P. Laan for technical and logistical issues. Extended thanks to the scientific party, Captain, officers and crew onboard ARSV Lawrence M. Gould for the support and opportunity to sample in Marguerite Bay. Meteorological data were obtained from www.antarctica.ac.uk/met/metlog/. Atmospheric CO2 data were obtained from NOAA at ftp://aftp.cmdl.noaa.gov/data/ trace_gases/co2/flask/surface/co2_psa_surface-flask_1_ccgg/_event.txt. This work is part of postdoctoral research (E. Jones) at the University of Groningen under the research programme 866.13.006, which is (partly) financed by the Netherlands Polar Programme at NWO. RaTS is a component of the Polar Oceans research programme at BAS, funded by NERC. The LMG-based sampling was supported by US NSF-ANT 1440435 (Palmer LTER) to H. Ducklow. Underway pCO2 acquisition was supported by the Ship of Opportunity Observation Program (SOOP) and a grant (NA10OAR4320143) from the United States NOAA. We gratefully acknowledge the helpful comments of two anonymous reviewers that have considerably improved the quality of the manuscript. This work is dedicated to Dutch polar explorer Philip de Roo.</t>
  </si>
  <si>
    <t>10.1016/j.dsr2.2017.01.007</t>
  </si>
  <si>
    <t>Green Published, hybrid, Green Submitted, Green Accepted</t>
  </si>
  <si>
    <t>WOS:000405884100015</t>
  </si>
  <si>
    <t>Fine, RA; Peacock, S; Maltrud, ME; Bryan, FO</t>
  </si>
  <si>
    <t>Fine, Rana A.; Peacock, Synte; Maltrud, Mathew E.; Bryan, Frank O.</t>
  </si>
  <si>
    <t>A new look at ocean ventilation time scales and their uncertainties</t>
  </si>
  <si>
    <t>ventilation; time scales; ocean; tracers</t>
  </si>
  <si>
    <t>ANTARCTIC INTERMEDIATE WATER; OXYGEN UTILIZATION RATES; WESTERN BOUNDARY CURRENT; SOUTH INDIAN-OCEAN; SULFUR-HEXAFLUORIDE; NORTH-ATLANTIC; DECADAL CHANGES; PACIFIC-OCEAN; ARCTIC-OCEAN; CHLOROFLUOROCARBONS</t>
  </si>
  <si>
    <t>A suite of eddy-resolving ocean transient tracer model simulations are first compared to observations. Observational and model pCFC-11 ages agree quite well, with the eddy-resolving model adding detail. The CFC ages show that the thermocline is a barrier to interior ocean exchange with the atmosphere on time scales of 45 years, the measureable CFC transient, although there are exceptions. Next, model simulations are used to quantify effects on tracer ages of the spatial dependence of internal ocean tracer variability due to stirring from eddies and biases from nonstationarity of the atmospheric transient when there is mixing. These add to tracer age uncertainties and biases, which are large in frontal boundary regions, and small in subtropical gyre interiors. These uncertainties and biases are used to reinterpret observed temporal trends in tracer-derived ventilation time scales taken from observations more than a decade apart, and to assess whether interpretations of changes in tracer ages being due to changes in ocean ventilation hold water. For the southern hemisphere subtropical gyres, we infer that the rate of ocean ventilation 26-27.2 sigma increased between the mid-1990s and the decade of the 2000s. However, between the mid-1990s and the decade of the 2010s, there is no significant trendperhaps except for South Atlantic. Observed age/AOU/ventilation changes are linked to a combination of natural cycles and climate change, and there is regional variability. Thus, for the future it is not clear how strong or steady in space and time ocean ventilation changes will be.</t>
  </si>
  <si>
    <t>[Fine, Rana A.] Univ Miami, Dept Ocean Sci, Miami, FL 33124 USA; [Peacock, Synte; Bryan, Frank O.] Natl Ctr Atmospher Res, POB 3000, Boulder, CO 80307 USA; [Maltrud, Mathew E.] Los Alamos Natl Lab, Los Alamos, NM USA</t>
  </si>
  <si>
    <t>University of Miami; National Center Atmospheric Research (NCAR) - USA; United States Department of Energy (DOE); Los Alamos National Laboratory</t>
  </si>
  <si>
    <t>Fine, RA (corresponding author), Univ Miami, Dept Ocean Sci, Miami, FL 33124 USA.</t>
  </si>
  <si>
    <t>rfine@miami.edu</t>
  </si>
  <si>
    <t>Bryan, Frank/I-1309-2016</t>
  </si>
  <si>
    <t>Bryan, Frank/0000-0003-1672-8330</t>
  </si>
  <si>
    <t>National Science Foundation, Physical Oceanography Program; National Science Foundation; U.S. Department of Energy's Office of Biological and Environmental Research; Directorate For Geosciences; Division Of Ocean Sciences [0752980, 1433922] Funding Source: National Science Foundation</t>
  </si>
  <si>
    <t>National Science Foundation, Physical Oceanography Program(National Science Foundation (NSF)NSF - Directorate for Geosciences (GEO)); National Science Foundation(National Science Foundation (NSF)); U.S. Department of Energy's Office of Biological and Environmental Research(United States Department of Energy (DOE)); Directorate For Geosciences; Division Of Ocean Sciences(National Science Foundation (NSF)NSF - Directorate for Geosciences (GEO))</t>
  </si>
  <si>
    <t>The authors thank an anonymous reviewer for numerous insightful suggestions. Rana Fine thanks the National Science Foundation, Physical Oceanography Program for support, the data originators for the high quality hydrographic, oxygen, and tracer data, and Debra A. Willey for programming help with the data and figures. Synte Peacock and Frank Bryan were supported by the National Science Foundation through is sponsorship of NCAR. Mathew Maltrud is supported by the U.S. Department of Energy's Office of Biological and Environmental Research. Computational resources for the simulations used in this study were provided by the National Center for Computational Sciences at Oak Ridge National Laboratory and by the Computational and Information Systems Laboratory of NCAR. The model simulation that produced the output described in Appendix was supported by a DOE INCITE grant at the Oak Ridge Leadership Computing Facility. Atmospheric tracer data from http://cdiac.ornl.gov/oceans/new_atmCFC.html, and Fekete et al. [2002] data from http://www.bafg.de/GRDC/EN/03_dtprdcts/33_CmpR/unh_grdc_node.html. The authors have no competing financial interests or other interests that might be perceived to influence the results and/or discussion reported in this article. The data supporting conclusions can be obtained in references, and supporting information.</t>
  </si>
  <si>
    <t>10.1002/2016JC012529</t>
  </si>
  <si>
    <t>EZ0BO</t>
  </si>
  <si>
    <t>WOS:000404363600015</t>
  </si>
  <si>
    <t>Alberty, MS; Sprintall, J; MacKinnon, J; Ganachaud, A; Cravatte, S; Eldin, G; Germineaud, C; Melet, A</t>
  </si>
  <si>
    <t>Alberty, M. S.; Sprintall, J.; MacKinnon, J.; Ganachaud, A.; Cravatte, S.; Eldin, G.; Germineaud, C.; Melet, A.</t>
  </si>
  <si>
    <t>Spatial patterns of mixing in the Solomon Sea</t>
  </si>
  <si>
    <t>Solomon Sea; mixing; finescale; observational</t>
  </si>
  <si>
    <t>PACIFIC EQUATORIAL UNDERCURRENT; INTERNAL WAVES; TURBULENT DISSIPATION; NUMERICAL-MODEL; FINESCALE PARAMETERIZATIONS; INERTIAL MOTIONS; SOUTH-PACIFIC; TIDAL ENERGY; DEEP-OCEAN; CIRCULATION</t>
  </si>
  <si>
    <t>The Solomon Sea is a marginal sea in the southwest Pacific that connects subtropical and equatorial circulation, constricting transport of South Pacific Subtropical Mode Water and Antarctic Intermediate Water through its deep, narrow channels. Marginal sea topography inhibits internal waves from propagating out and into the open ocean, making these regions hot spots for energy dissipation and mixing. Data from two hydrographic cruises and from Argo profiles are employed to indirectly infer mixing from observations for the first time in the Solomon Sea. Thorpe and finescale methods indirectly estimate the rate of dissipation of kinetic energy (E) and indicate that it is maximum in the surface and thermocline layers and decreases by 2-3 orders of magnitude by 2000 m depth. Estimates of diapycnal diffusivity from the observations and a simple diffusive model agree in magnitude but have different depth structures, likely reflecting the combined influence of both diapycnal mixing and isopycnal stirring. Spatial variability of E is large, spanning at least 2 orders of magnitude within isopycnal layers. Seasonal variability of E reflects regional monsoonal changes in large-scale oceanic and atmospheric conditions with E increased in July and decreased in March. Finally, tide power input and topographic roughness are well correlated with mean spatial patterns of mixing within intermediate and deep isopycnals but are not clearly correlated with thermocline mixing patterns. Plain Language Summary In the ocean, a number of physical processes move heat, salt, and nutrients around vertically by mixing neighboring layers of the ocean together. This study investigates the strength and spatial patterns of this mixing in the Solomon Sea, which is located in the tropical west Pacific Ocean. Estimates of the strength of mixing are made using measurements of temperature, salinity, and velocity taken during two scientific cruises in the Solomon Sea. Measurements of temperature and salinity from a network of floats that move up and down through the ocean and travel with ocean currents were also used to estimate the strength and patterns of mixing. This research finds three key results for mixing in the Solomon Sea: (1) Mixing is strongest near the surface of the Solomon Sea and less strong at deeper depths. (2) Mixing varies horizontally, with stronger mixing above underwater ridges and seamounts, and with weaker mixing above smooth and flat seafloor. (3) The strength of mixing changes with the seasons, possibly related to the monsoonal winds which also change in strength over the seasons.</t>
  </si>
  <si>
    <t>[Alberty, M. S.; Sprintall, J.; MacKinnon, J.] Univ Calif San Diego, Scripps Inst Oceanog, La Jolla, CA 92093 USA; [Ganachaud, A.; Cravatte, S.; Eldin, G.; Germineaud, C.] Univ Toulouse, Lab Etudes Geophys &amp; Oceanog Spati, CNES, CNRS,IRD,UPS, Toulouse, France; [Melet, A.] Mercator Ocean, Ramonville Saint Agne, France</t>
  </si>
  <si>
    <t>University of California System; University of California San Diego; Scripps Institution of Oceanography; Centre National de la Recherche Scientifique (CNRS); Universite de Toulouse; Universite Toulouse III - Paul Sabatier; Institut de Recherche pour le Developpement (IRD)</t>
  </si>
  <si>
    <t>Alberty, MS (corresponding author), Univ Calif San Diego, Scripps Inst Oceanog, La Jolla, CA 92093 USA.</t>
  </si>
  <si>
    <t>malberty@ucsd.edu</t>
  </si>
  <si>
    <t>Melet, Angelique/ABE-5148-2020; Ganachaud, Alexandre/B-7556-2013; Cravatte, Sophie/AAI-4635-2021</t>
  </si>
  <si>
    <t>Melet, Angelique/0000-0003-3888-8159; Ganachaud, Alexandre/0000-0002-9709-1396; Cravatte, Sophie/0000-0002-2439-8952; Alberty, Marion/0000-0003-4560-2032; Germineaud, Cyril/0000-0003-4327-1137; Sprintall, Janet/0000-0002-7428-7580; MacKinnon, Jennifer/0000-0002-7690-1185</t>
  </si>
  <si>
    <t>ANR [ANR-09-BLAN-0233-01]; INSU/LEFE; IRD; LEGOS; NSF [ANR-09-BLAN-0233-01, OCE1029487]; INSU/LEFE project Solwara</t>
  </si>
  <si>
    <t>ANR(Agence Nationale de la Recherche (ANR)); INSU/LEFE; IRD; LEGOS; NSF(National Science Foundation (NSF)); INSU/LEFE project Solwara</t>
  </si>
  <si>
    <t>The Pandora and MoorSPICE cruises are contributions to the CLIVAR/SPICE and GEOTRACES International programs. The Pandora cruise has been co-funded by ANR (project ANR-09-BLAN-0233-01), INSU/LEFE, IRD, LEGOS, and NSF grant OCE1029487. The MoorSPICE cruise has been co-funded by NSF grant OCE1029487, ANR-09-BLAN-0233-01, and INSU/LEFE project Solwara. Pandora and MoorSPICE data can be found at http://www.obs-vlfr.fr/proof/cruises.php. MoorSPICE data can also be found through Cruise (doi:10.7284/903044). We are grateful to the crews of the RN l'Atalante and RN Thomas G. Thompson. We arc also grateful to the engineers and scientists who carefully sampled, recorded, and treated the data. This subset of the Argo database was made freely available by the Coriolis project and programs that contribute to it (http://www.coriolis.eu.org). This publication benefited from the insightful and constructive comments of Robin Robertson and an anonymous reviewer.</t>
  </si>
  <si>
    <t>10.1002/2016JC012666</t>
  </si>
  <si>
    <t>WOS:000404363600028</t>
  </si>
  <si>
    <t>Li, YL; Han, WQ; Ravichandran, M; Wang, WQ; Shinoda, T; Lee, T</t>
  </si>
  <si>
    <t>Li, Yuanlong; Han, Weiqing; Ravichandran, M.; Wang, Wanqiu; Shinoda, Toshiaki; Lee, Tong</t>
  </si>
  <si>
    <t>Bay of Bengal salinity stratification and Indian summer monsoon intraseasonal oscillation: 1. Intraseasonal variability and causes</t>
  </si>
  <si>
    <t>Bay of Bengal; ocean mixed layer; Indian summer monsoon; intraseasonal oscillation; barrier layer</t>
  </si>
  <si>
    <t>SEA-SURFACE TEMPERATURE; BARRIER-LAYER THICKNESS; INTERANNUAL VARIABILITY; ARABIAN SEA; DIURNAL CYCLE; OCEAN SURFACE; ATMOSPHERE; MODEL; SYSTEM; SST</t>
  </si>
  <si>
    <t>The huge freshwater flux of the Indian summer monsoon (ISM; May-October) gives rise to strong salinity stratification in the Bay of Bengal (BoB), causing a shallow mixed layer and a thick barrier layer, which potentially affects intraseasonal oscillations of the monsoon (MISOs). In this study, intraseasonal variability of the mixed-layer depth (MLD) and barrier layer thickness (BLT) is investigated using in situ observations from Argo floats and moored buoys and an ocean general circulation model (OGCM). The average MLD in the BoB is typically 20-30 m during the ISM, while the BLT increases from approximate to 10 m in May-June to 20-40 m in September-October. MISOs induce in-phase variations in MLD and isothermal layer depth (ILD), both of which are deepened by 8-15 m during MISO active phase, while the change of BLT is small and within the error range of Argo data sampling. In the northern (southern) bay, BLT increases by approximate to 5 m (2 m) during MISOs owing to a larger deepening of ILD than MLD. OGCM experiments are performed to understand the underlying mechanism. In the BoB intraseasonal variations of MLD, ILD and BLT arise largely from ocean internal instability, whereas those induced by MISOs are weaker. The in-phase variations of MLD and ILD during MISOs are induced by different processes. The MLD deepening is primarily caused by wind stress forcing, while the ILD deepening is driven by surface heat fluxes via surface cooling. The limited variability of BLT is due to the offsetting of different forcing processes.</t>
  </si>
  <si>
    <t>[Li, Yuanlong; Han, Weiqing] Univ Colorado, Dept Atmospher &amp; Ocean Sci, Boulder, CO 80309 USA; [Ravichandran, M.] Natl Ctr Antarctic &amp; Ocean Res, Vasco Da Gama, India; [Wang, Wanqiu] NOAA NWS NCEP, Climate Predict Ctr, College Pk, MD USA; [Shinoda, Toshiaki] Texas A&amp;M Univ, Dept Phys &amp; Environm Sci, Corpus Christi, TX USA; [Lee, Tong] CALTECH, Jet Prop Lab, Pasadena, CA USA</t>
  </si>
  <si>
    <t>University of Colorado System; University of Colorado Boulder; Ministry of Earth Sciences (MoES) - India; National Centre for Polar and Ocean Research (NCPOR); National Oceanic Atmospheric Admin (NOAA) - USA; Texas A&amp;M University System; National Aeronautics &amp; Space Administration (NASA); NASA Jet Propulsion Laboratory (JPL); California Institute of Technology</t>
  </si>
  <si>
    <t>Li, YL (corresponding author), Univ Colorado, Dept Atmospher &amp; Ocean Sci, Boulder, CO 80309 USA.</t>
  </si>
  <si>
    <t>yuanlong.li@colorado.edu</t>
  </si>
  <si>
    <t>Li, Yuanlong/AES-6061-2022; Ravichandran, M./AAM-1351-2020; Han, Weiqing/JXN-0886-2024; Lee, Tong/AAZ-6447-2020; Shinoda, Toshiaki/S-1721-2019; Keyes, Dennis/AAZ-9285-2021; Lee, Tony/JDM-3564-2023</t>
  </si>
  <si>
    <t>Li, Yuanlong/0000-0002-7239-5756; Lee, Tong/0000-0001-9817-2908; Shinoda, Toshiaki/0000-0003-1416-2206; HAN, WEIQING/0000-0003-3633-9105</t>
  </si>
  <si>
    <t>Earth System Science Organization, Ministry of Earth Sciences, Government of India [SSC-03-002, MM/SERP/CNRS/2013/INT-10/002]; NASA Ocean Salinity Science Team award [NNX14AI82G]; NASA Ocean Vector Wind Science Team award [NNX14AM68G]; NSF [OCE 1658132, AGS 1347132, OCE 1658218]; NOAA [NA15OAR431074]; NASA Physical Oceanography Program [NNX17AH25G]; NASA [681685, NNX14AI82G, 679086, NNX14AM68G] Funding Source: Federal RePORTER</t>
  </si>
  <si>
    <t>Earth System Science Organization, Ministry of Earth Sciences, Government of India; NASA Ocean Salinity Science Team award; NASA Ocean Vector Wind Science Team award; NSF(National Science Foundation (NSF)); NOAA(National Oceanic Atmospheric Admin (NOAA) - USA); NASA Physical Oceanography Program(National Aeronautics &amp; Space Administration (NASA)); NASA(National Aeronautics &amp; Space Administration (NASA))</t>
  </si>
  <si>
    <t>Insightful comments from two anonymous reviewers are helpful for improving our work. The authors gratefully acknowledge the financial support given by the Earth System Science Organization, Ministry of Earth Sciences, Government of India (grant SSC-03-002; Project No. MM/SERP/CNRS/2013/INT-10/002) to conduct this research under Monsoon Mission. The research is also supported by the NASA Ocean Salinity Science Team award NNX14AI82G, NASA Ocean Vector Wind Science Team award NNX14AM68G, and NSF OCE 1658132. T. Shinoda is supported by NOAA grant NA15OAR431074, NSF grants AGS 1347132 and OCE 1658218, and NASA Physical Oceanography Program award NNX17AH25G. We appreciate the National Center for Atmospheric Research (NCAR) CISL and the Office of Information Technology (OIT) of University of Colorado and for providing and maintaining the computational resource. In this study, the Argo float data profiles are provided by the Coriolis Global Data Acquisition Center of France through http://www.coriolis.eu.org; in situ observational data from the RAMA buoys are provided by the NOAA Pacific Marine Environmental Laboratory (PMEL) through the website http://www.pmel.noaa.gov/tao/index.shtml; WOA13 Version-2 temperature and salinity climatology is downloaded from the NOAA National Centers for Environmental Information (NCEI) through https://www.nodc.noaa.gov/OC5/woa13/; Aquarius/SAC-D Combined Active-Passive retrieval (CAP) version 4.0 SSS product is distributed by NASA Jet Propulsion Laboratory (JPL) distributed by PO.DAAC and accessible through the FTP site ftp://podaac-ftp.jpl.nasa.gov/allData/aquarius/; TRMM TMPA level 3B42 precipitation product is available at http://mirador.gsfc.nasa.gov/; CCMP v1.1 sea surface wind data are downloaded from NASA JPL website http://podaac.jpl.nasa.gov/; gridded ASCAT surface wind data are provided by Centre de Recherche et d'Exploitation Satellitaire (CERSAT) of IFREMER, France through the FTP site ftp://ftp.ifremer.fr/ifremer/cersat/products/; CERES radiation data are taken from the website http://ceres.larc.nasa.gov/; data processing and graphing work in this study are completed using a licensed Matlab program.</t>
  </si>
  <si>
    <t>10.1002/2017JC012691</t>
  </si>
  <si>
    <t>WOS:000404363600042</t>
  </si>
  <si>
    <t>Li, YL; Han, WQ; Wang, WQ; Ravichandran, M; Lee, T; Shinoda, T</t>
  </si>
  <si>
    <t>Li, Yuanlong; Han, Weiqing; Wang, Wanqiu; Ravichandran, M.; Lee, Tong; Shinoda, Toshiaki</t>
  </si>
  <si>
    <t>Bay of Bengal salinity stratification and Indian summer monsoon intraseasonal oscillation: 2. Impact on SST and convection</t>
  </si>
  <si>
    <t>sea surface temperature; intraseasonal variability; Bay of Bengal; mixed layer depth; barrier layer</t>
  </si>
  <si>
    <t>SEA-SURFACE TEMPERATURE; OCEAN-ATMOSPHERE INTERACTION; CLIMATE FORECAST SYSTEM; DIURNAL CYCLE; BARRIER-LAYER; NORTHWARD PROPAGATION; SOLAR-RADIATION; COUPLED MODEL; VARIABILITY; PRECIPITATION</t>
  </si>
  <si>
    <t>The Indian summer monsoon intraseasonal oscillations (MISOs) induce pronounced intraseasonal sea surface temperature (SST) variability in the Bay of Bengal (BoB), which has important feedbacks to atmospheric convection. An ocean general circulation model (OGCM) is employed to investigate the upper-ocean processes affecting intraseasonal SST variability and its feedback to the MISO convection. In the BoB, the MISO induces intraseasonal SST variability predominantly through surface heat flux forcing with comparable contributions from shortwave radiation and turbulent heat flux, and to a much smaller extent through wind-driven ocean mixed layer entrainment. The ocean salinity stratification, represented by mixed layer depth (MLD) and barrier layer thickness (BLT), has a strong control on SST but weak impact on convection of the MISO. The MLD is critical for the amplitude of SST response to various forcing processes, while the BLT mainly affects entrainment by determining the temperature difference between the mixed layer and the water below. From May to mid-June, the shallow MLD and thin barrier layer greatly enhance intraseasonal SST anomalies, which can amplify convection fluctuations of the MISO through air-sea interaction and leads to intense but short-duration postconvection break spells. When either the MLD or the BLT is large, intraseasonal SSTs tend to be weak. Further investigation reveals that freshwater flux of the monsoon gives rise to the shallow MLD and thick barrier layer, and its overall effect on intraseasonal SSTs is a 20% enhancement. These results provide implications for improving the simulation and forecast of the MISO in climate models.</t>
  </si>
  <si>
    <t>[Li, Yuanlong; Han, Weiqing] Univ Colorado, Dept Atmospher &amp; Ocean Sci, Boulder, CO 80309 USA; [Wang, Wanqiu] NOAA NWS NCEP, Climate Predict Ctr, College Pk, MD USA; [Ravichandran, M.] Natl Ctr Antarctic &amp; Ocean Res, Vasco Da Gama, Goa, India; [Lee, Tong] CALTECH, Jet Prop Lab, Pasadena, CA USA; [Shinoda, Toshiaki] Texas A&amp;M Univ, Dept Phys &amp; Environm Sci, Corpus Christi, TX USA</t>
  </si>
  <si>
    <t>University of Colorado System; University of Colorado Boulder; National Oceanic Atmospheric Admin (NOAA) - USA; Ministry of Earth Sciences (MoES) - India; National Centre for Polar and Ocean Research (NCPOR); National Aeronautics &amp; Space Administration (NASA); NASA Jet Propulsion Laboratory (JPL); California Institute of Technology; Texas A&amp;M University System</t>
  </si>
  <si>
    <t>Lee, Tong/AAZ-6447-2020; Ravichandran, M./AAM-1351-2020; Li, Yuanlong/AES-6061-2022; Han, Weiqing/JXN-0886-2024; Shinoda, Toshiaki/S-1721-2019; Lee, Tony/JDM-3564-2023</t>
  </si>
  <si>
    <t>Lee, Tong/0000-0001-9817-2908; Li, Yuanlong/0000-0002-7239-5756; Shinoda, Toshiaki/0000-0003-1416-2206; HAN, WEIQING/0000-0003-3633-9105</t>
  </si>
  <si>
    <t>Earth System Science Organization, Ministry of Earth Sciences, Government of India [SSC-030-02, MM/SERP/CNRS/2013/INT-10/002]; NASA Ocean Salinity Science Team award [NNX14AI82G]; NASA Ocean Vector Wind Science Team award [NNX14AM68G]; NSF [OCE 1658132, AGS-1347132, OCE 1658218]; NOAA [NA15OAR431074]; NASA Physical Oceanography Program [NNX17AH25G]; NASA [NNX14AI82G, 681685, NNX14AM68G, 679086] Funding Source: Federal RePORTER</t>
  </si>
  <si>
    <t>The authors gratefully acknowledge the financial support given by the Earth System Science Organization, Ministry of Earth Sciences, Government of India (grant SSC-030-02; project MM/SERP/CNRS/2013/INT-10/002) to conduct this research under Monsoon Mission. The research is also supported by the NASA Ocean Salinity Science Team award NNX14AI82G, NASA Ocean Vector Wind Science Team award NNX14AM68G, and NSF OCE 1658132. T. Shinoda is supported by NOAA grant NA15OAR431074, NASA Physical Oceanography Program award NNX17AH25G, and NSF grant AGS-1347132 and OCE 1658218. We thank Alaa Albarakati and an anonymous reviewer for providing insightful comments. We appreciate the National Center for Atmospheric Research (NCAR) CISL and the Office of Information Technology (OIT) of University of Colorado for providing and maintaining the computational resource. In this study, TRMM TMPA level 3B42 precipitation product is available at http://mirador.gsfc.nasa.gov/; TRMM TMI SST product is downloaded from http://www.remss.com/missions/tmi; CFSR reanalysis data are provided by the NOMADS through http://nomads.ncdc.noaa.gov/ and NCAR through http://rda.ucar.edu/pub/cfsr.html; CERES radiation data are taken from the website http://ceres.larc.nasa.gov/; monthly river discharge records are provided by NCAR through the website http://www.cgd.ucar.edu/cas/catalog/surface/dai-runoff/; data processing and graphing work in this study are finished using a licensed Matlab R2012b program.</t>
  </si>
  <si>
    <t>10.1002/2017JC012692</t>
  </si>
  <si>
    <t>WOS:000404363600043</t>
  </si>
  <si>
    <t>Mangel, M</t>
  </si>
  <si>
    <t>Mangel, Marc</t>
  </si>
  <si>
    <t>Know your organism, know your data</t>
  </si>
  <si>
    <t>ICES JOURNAL OF MARINE SCIENCE</t>
  </si>
  <si>
    <t>behavioural ecology; fisheries management; international law; life history theory; search theory; stochastic dynamic programming</t>
  </si>
  <si>
    <t>KRILL EUPHAUSIA-SUPERBA; GENETIC STOCK IDENTIFICATION; LIFE-HISTORY STRATEGIES; BOTTOM-UP CONTROL; ANTARCTIC KRILL; REPRODUCTIVE ECOLOGY; FISHERY DYNAMICS; REFERENCE POINTS; TOP-DOWN; SEARCH</t>
  </si>
  <si>
    <t>I review my career in marine science chronologically forward from the time that I decided to become a scientist to the present. Among other themes, I illustrate how much of my career was the result of recognizing good opportunities rather than specific plans, the role that search problems have played in my career, and the power of mathematical methods to allow us to find commonalities in systems appears totally different. I discuss in detail my involvement in the International Court of Justice between Australia and Japan concerning special permit whaling in the Antarctic and conclude with my current activities-showing that surprises can happen at any point in a career.</t>
  </si>
  <si>
    <t>[Mangel, Marc] Univ Calif Santa Cruz, Dept Appl Math &amp; Stat, Santa Cruz, CA 95064 USA; [Mangel, Marc] Univ Bergen, Dept Biol, N-9020 Bergen, Norway</t>
  </si>
  <si>
    <t>University of California System; University of California Santa Cruz; University of Bergen</t>
  </si>
  <si>
    <t>Mangel, M (corresponding author), Univ Calif Santa Cruz, Dept Appl Math &amp; Stat, Santa Cruz, CA 95064 USA.;Mangel, M (corresponding author), Univ Bergen, Dept Biol, N-9020 Bergen, Norway.</t>
  </si>
  <si>
    <t>msmangel@ucsc.edu</t>
  </si>
  <si>
    <t>NOAA Fisheries; NSF; Sea Grant; USDA; Lenfest Ocean program</t>
  </si>
  <si>
    <t>NOAA Fisheries(National Oceanic Atmospheric Admin (NOAA) - USA); NSF(National Science Foundation (NSF)); Sea Grant; USDA(United States Department of Agriculture (USDA)); Lenfest Ocean program</t>
  </si>
  <si>
    <t>I thank Howard Browman for inviting me to write this essay. Over a long career, I have had support from NOAA Fisheries, NSF, Sea Grant, and USDA and the Lenfest Ocean program; I thank them all. Similarly, I thank the members of my group not mentioned or cited in here for helping create the rich intellectual life that I have enjoyed in UC for almost 40 years. Although I have not published a paper with these colleagues, I thank them for friendship and support over the years: Nancy Reid (since 1974), Simon Levin (since 1977, and an able squash partner for nearly 20 years), John Gillespie and Michael Turelli (at Davis), Joe Travis (since 1996), and John Thompson (at Santa Cruz). I thank Susan Milke Mangel, my partner in this adventure of ideas, an anonymous referee and Howard Browman for comments on a previous version of the manuscript.</t>
  </si>
  <si>
    <t>1054-3139</t>
  </si>
  <si>
    <t>1095-9289</t>
  </si>
  <si>
    <t>ICES J MAR SCI</t>
  </si>
  <si>
    <t>ICES J. Mar. Sci.</t>
  </si>
  <si>
    <t>MAY-JUN</t>
  </si>
  <si>
    <t>10.1093/icesjms/fsw228</t>
  </si>
  <si>
    <t>Fisheries; Marine &amp; Freshwater Biology; Oceanography</t>
  </si>
  <si>
    <t>EZ1DS</t>
  </si>
  <si>
    <t>WOS:000404450700001</t>
  </si>
  <si>
    <t>Mishin, VM; Mishin, VV; Lunyushkin, SB; Wang, JY; Moiseev, AV</t>
  </si>
  <si>
    <t>Mishin, V. M.; Mishin, V. V.; Lunyushkin, S. B.; Wang, J. Y.; Moiseev, A. V.</t>
  </si>
  <si>
    <t>27 August 2001 substorm: Preonset phenomena, two main onsets, field-aligned current systems, and plasma flow channels in the ionosphere and in the magnetosphere</t>
  </si>
  <si>
    <t>NEAR-EARTH MAGNETOTAIL; QUIET AURORAL ARCS; BURSTY BULK FLOWS; MAGNETOGRAM INVERSION TECHNIQUE; INTERPLANETARY MAGNETIC-FIELD; SOLAR-WIND; FEEDBACK INSTABILITY; CLUSTER OBSERVATIONS; THEMIS OBSERVATIONS; NIGHTTIME SECTOR</t>
  </si>
  <si>
    <t>We supplement the results of the 27 August 2001 substorm studied earlier in the series of papers. Described is the plasma flow in the nightside ionosphere from the near-polar region from the polar cap to the auroral oval during the substorm preonset phase and two expansion onsets, EO1 and EO2, produced by reconnection in the closed tail (magnetic reconnection (MR1) and in the open tail lobes (MR2), respectively. We discuss the location of the MR2 region (is it near, middle, and/or distant tail?) and the EO2 trigger mechanism. The upward substorm current wedge field-aligned current (FAC) and the downward FAC in the polar cap dusk sector that were both produced by different types of magnetosphere-ionosphere feedback instability are found to provide the main contribution to the system of FACs during EO1 and EO2. Also, we obtain the estimates for the EO1 and EO2 power and energy. Addressed are the variations in the tail lobe magnetic flux and their (variations) association with EO2. In addition, we describe a 3-D system of mesoscale cells, each of which involves a plasma vortex and a local FAC maximum. The cells of this system in the inner magnetosphere and in the tail lobes intensify one after other within 2min interval. At last, we substantiate the assumption that the fast plasma flow recorded by the Cluster satellites 7min prior to EO1 was a bursty bulk flow from the most distant tail.</t>
  </si>
  <si>
    <t>[Mishin, V. M.; Mishin, V. V.; Lunyushkin, S. B.] Russian Acad Sci, Inst Solar Terr Phys, Siberian Branch, Irkutsk, Russia; [Wang, J. Y.] Chinese Acad Sci, Natl Space Sci Ctr, State Key Lab Space Weather, Beijing, Peoples R China; [Moiseev, A. V.] Russian Acad Sci, Siberian Branch, Yu G Shafer Inst Cosmophys Res &amp; Aeron, Yakutsk, Russia</t>
  </si>
  <si>
    <t>Irkutsk Science Centre of the Russian Academy of Sciences; Russian Academy of Sciences; Institute of Solar-Terrestrial Physics of the Siberian Branch of the Russian Academy of Sciences; Chinese Academy of Sciences; National Space Science Center, CAS; Russian Academy of Sciences; Shafer Institute of Cosmophysical Research &amp; Aeronomy, Siberian Branch of the Russian Academy of Sciences</t>
  </si>
  <si>
    <t>Mishin, VV (corresponding author), Russian Acad Sci, Inst Solar Terr Phys, Siberian Branch, Irkutsk, Russia.</t>
  </si>
  <si>
    <t>vladm@iszf.irk.ru</t>
  </si>
  <si>
    <t>Lunyushkin, Sergey/AAH-5642-2019; Mishin, Vladimir Vilenovich/S-6119-2017; Моисеев, Алексей/AAC-5125-2020</t>
  </si>
  <si>
    <t>Lunyushkin, Sergey/0000-0003-0474-1079; Mishin, Vladimir Vilenovich/0000-0002-2729-2862; Wang, Jiangyan/0000-0003-2868-9543</t>
  </si>
  <si>
    <t>Russian Foundation for Basic Research [15-05-05561, 15-45-05090]; NSFC [413111039]</t>
  </si>
  <si>
    <t>Russian Foundation for Basic Research(Russian Foundation for Basic Research (RFBR)Spanish Government); NSFC(National Natural Science Foundation of China (NSFC))</t>
  </si>
  <si>
    <t>We thank the ISTP SB RAS MIT group members for the assistance in the calculations. We are grateful to PIs of the Wind, Cluster, CARISMA, INTERMAGNET, GIMA, MACCS, and IMAGE international projects and of magnetic networks in Arctic and the Antarctic (Arctic and Antarctic Research Institute and DMI), and individual Russian and Japan magnetic observatories for providing magnetic data used in this study. Available geomagnetic data are obtained directly from websites http://www.intermagnet.org (INTERMAGNET), http://space.fmi.fi/image (IMAGE), http://space.augsburg.edu/maccs (MACCS), https://www.asf.alaska.edu/magnetometer (GIMA), and http://www.carisma.ca (CARISMA). V.V.M., S.L., and V.M.M. are supported by the Russian Foundation for Basic Research under grant 15-05-05561. A.M. is supported by the Russian Foundation for Basic Research under grants 15-45-05090. J.Y.W. is supported by the NSFC grant 413111039.</t>
  </si>
  <si>
    <t>10.1002/2017JA023915</t>
  </si>
  <si>
    <t>EY3YP</t>
  </si>
  <si>
    <t>WOS:000403912500010</t>
  </si>
  <si>
    <t>Gabrielse, C; Angelopoulos, V; Harris, C; Artemyev, A; Kepko, L; Runov, A</t>
  </si>
  <si>
    <t>Gabrielse, Christine; Angelopoulos, Vassilis; Harris, Camilla; Artemyev, Anton; Kepko, Larry; Runov, Andrei</t>
  </si>
  <si>
    <t>Extensive electron transport and energization via multiple, localized dipolarizing flux bundles</t>
  </si>
  <si>
    <t>ENERGETIC PARTICLE INJECTIONS; BURSTY BULK FLOWS; PLASMA SHEET; PI-2 PULSATIONS; GEOSYNCHRONOUS OBSERVATIONS; SATELLITE-OBSERVATIONS; MAGNETIC PULSATIONS; PI2 PULSATIONS; R-E; SUBSTORM</t>
  </si>
  <si>
    <t>Using an analytical model of multiple dipolarizing flux bundles (DFBs) embedded in earthward traveling bursty bulk flows, we demonstrate how equatorially mirroring electrons can travel long distances and gain hundreds of keV from betatron acceleration. The model parameters are constrained by four Time History of Events and Macroscale Interactions during Substorms satellite observations, putting limits on the DFBs' speed, location, and magnetic and electric field magnitudes. We find that the sharp, localized peaks in magnetic field have such strong spatial gradients that energetic electrons del B drift in closed paths around the peaks as those peaks travel earthward. This is understood in terms of the third adiabatic invariant, which remains constant when the field changes on timescales longer than the electron's drift timescale: An energetic electron encircles a sharp peak in magnetic field in a closed path subtending an area of approximately constant flux. As the flux bundle magnetic field increases the electron's drift path area shrinks and the electron is prevented from escaping to the ambient plasma sheet, while it continues to gain energy via betatron acceleration. When the flux bundles arrive at and merge with the inner magnetosphere, where the background field is strong, the electrons suddenly gain access to previously closed drift paths around the Earth. DFBs are therefore instrumental in transporting and energizing energetic electrons over long distances along the magnetotail, bringing them to the inner magnetosphere and energizing them by hundreds of keV. Plain Language Summary Scientists have wondered how narrow flow channels in space could transport and energize electrons enough before the electrons escape the channel. They also wondered how narrow, localized magnetic field peaks (and their electric fields) contribute to electron energization in comparison to wide, large-scale electromagnetic fields. We show that it is actually because these fields are so localized that the electrons are transported closer toward Earth. Because of the rules that govern an electron's motion, electrons get trapped circling around the localized magnetic field peak and cannot escape the flow channel. As the peak travels earthward, it takes the electrons along with it and energizes the electrons along the way. When multiple peaks follow each other, they all contribute to a longer energization signature. The magnetic field peaks can also pileup when they hit the strong magnetic field closer to Earth, creating a bigger, longer magnetic field signature. It once again appears that great things come in small packages.</t>
  </si>
  <si>
    <t>[Gabrielse, Christine; Angelopoulos, Vassilis; Harris, Camilla; Artemyev, Anton; Runov, Andrei] Univ Calif Los Angeles, Earth Planetary &amp; Space Sci Dept, Los Angeles, CA 90095 USA; [Kepko, Larry] Goddard Space Flight Ctr, Greenbelt, MD USA</t>
  </si>
  <si>
    <t>University of California System; University of California Los Angeles; National Aeronautics &amp; Space Administration (NASA); NASA Goddard Space Flight Center</t>
  </si>
  <si>
    <t>Gabrielse, C (corresponding author), Univ Calif Los Angeles, Earth Planetary &amp; Space Sci Dept, Los Angeles, CA 90095 USA.</t>
  </si>
  <si>
    <t>cgabrielse@ucla.edu</t>
  </si>
  <si>
    <t>Gabrielse, Christine/HLP-7410-2023; Harris, Camilla D K/H-5860-2017; Artemyev, Anton/AAO-8011-2020; Kepko, Larry/D-7747-2012</t>
  </si>
  <si>
    <t>Harris, Camilla D K/0000-0001-5045-8827; Gabrielse, Christine/0000-0001-6905-2288; Kepko, Larry/0000-0002-4911-8208; Angelopoulos, Vassilis/0000-0001-7024-1561</t>
  </si>
  <si>
    <t>NASA [NAS5-02099, NNX13AF81G]; German Ministry for Economy and Technology; German Center for Aviation and Space (DLR) [50 OC 0302]; NASA [475103, NNX13AF81G] Funding Source: Federal RePORTER</t>
  </si>
  <si>
    <t>NASA(National Aeronautics &amp; Space Administration (NASA)); German Ministry for Economy and Technology; German Center for Aviation and Space (DLR)(Helmholtz AssociationGerman Aerospace Centre (DLR)); NASA(National Aeronautics &amp; Space Administration (NASA))</t>
  </si>
  <si>
    <t>We acknowledge NASA contract NAS5-02099 for the use of data from the THEMIS mission, C.W. Carlson and J.P. McFadden for use of ESA data, D.E. Larson and R.P. Lin for use of SST data, and K.H. Glassmeier, U. Auster, and W. Baumjohann for the use of FGM data provided under the lead of the Technical University of Braunschweig and with financial support through the German Ministry for Economy and Technology and the German Center for Aviation and Space (DLR) under contract 50 OC 0302. The THEMIS data and the software package to access it (SPEDAS) can be found at http://themis.ssl.berkeley.edu/overview_data.shtml. For the ground magnetometer data used to calculate the SuperMag AE (SME) index, we gratefully acknowledge Intermagnet; USGS, Jeffrey J. Love; CARISMA, PI Ian Mann; CANMOS; The S-RAMP Database, PI K. Yumoto and K. Shiokawa; The SPIDR database; AARI, PI Oleg Troshichev; The MACCS program, PI M. Engebretson, Geomagnetism Unit of the Geological Survey of Canada; GIMA; MEASURE, UCLA IGPP and Florida Institute of Technology; SAMBA, PI Eftyhia Zesta; 210 Chain, PI K. Yumoto; SAMNET, PI Farideh Honary; the institutes who maintain the IMAGE magnetometer array, PI Eija Tanskanen; PENGUIN; AUTUMN, PI Martin Connors; DTU Space, PI Juergen Matzka; South Pole and McMurdo Magnetometer, PI's Louis J. Lanzarotti and Alan T. Weatherwax; ICESTAR; RAPIDMAG; PENGUIn; British Antarctic Survey; McMac, PI Peter Chi; BGS, PI Susan Macmillan; Pushkov Institute of Terrestrial Magnetism, Ionosphere and Radio Wave Propagation (IZMIRAN); GFZ, PI Juergen Matzka; MFGI, PI B. Heilig; IGFPAS, PI J. Reda; University of L'Aquila, PI M. Vellante; and SuperMAG, PI Jesper W. Gjerloev. SuperMag data can be downloaded at http://supermag.jhuapl.edu/. We acknowledge NASA contract NAS5-02099 and NASA grant NNX13AF81G (Living With a Star) for funding this work. We thank the International Space Science Institute's (ISSI) International Teams program, which provided a forum to discuss injections with other experts on the Understanding energetic particle injections and their effect on Earth's outer radiation belt electrons using multipoint observations team. We thank William Glover for his knowledge and assistance with Fortran and Matthew Seligman for helpful coding discussions.</t>
  </si>
  <si>
    <t>10.1002/2017JA023981</t>
  </si>
  <si>
    <t>WOS:000403912500014</t>
  </si>
  <si>
    <t>Baddeley, LJ; Lorentzen, DA; Partamies, N; Denig, M; Pilipenko, VA; Oksavik, K; Chen, X; Zhang, Y</t>
  </si>
  <si>
    <t>Baddeley, L. J.; Lorentzen, D. A.; Partamies, N.; Denig, M.; Pilipenko, V. A.; Oksavik, K.; Chen, X.; Zhang, Y.</t>
  </si>
  <si>
    <t>Equatorward propagating auroral arcs driven by ULF wave activity: Multipoint ground- and space-based observations in the dusk sector auroral oval</t>
  </si>
  <si>
    <t>FIELD-LINE RESONANCES; INVERTED-V STRUCTURES; GEOMAGNETIC-PULSATIONS; ALFVEN WAVES; MAGNETOSPHERE; SIGNATURES; BOUNDARY</t>
  </si>
  <si>
    <t>Observations of multiple equatorward propagating arcs driven by a resonant Alfven wave on closed field lines are presented. Data sets from the European Incoherent Scatter Svalbard Radar (ESR) and Meridian Scanning Photometer in Longyearbyen, All-Sky Camera in Ny angstrom lesund, ground magnetometer data in Svalbard, and Defense Meteorological Satellite Program (DMSP) F16 satellite were utilized to study the arc structures. The arcs had an equatorward phase propagation of similar to 0.46 km s(-1) and were observed in the dusk ionosphere from 1800 to 2030 magnetic local time. Analysis of the optical data indicates that the Alfven wave had a frequency of 1.63 mHz and an azimuthal wave number, m similar to -20 (the negative sign indicating a westward propagation). Inverted-V electron populations associated with field-aligned currents of between 0.5 and 0.8 mu A m(-2) are observed by DMSP F16 inside the arc structures. In addition to electron density enhancements associated with the arcs, the ESR data show elevated ion temperatures in between the arcs consistent with electric field enhancements and ionospheric heating effects. The combination of ESR and DMSP F16 data indicates that the wave energy was dissipated through ionospheric Joule and/or ion frictional heating and acceleration of particles into the ionosphere, generating the auroral displays. The fine-scale structuring, in addition to the propagation direction and scale size, would suggest that the auroral features are the signatures of a field line resonance driven by an interaction with a compressional fast mode wave propagating earthward from the magnetotail.</t>
  </si>
  <si>
    <t>[Baddeley, L. J.; Lorentzen, D. A.; Partamies, N.; Oksavik, K.; Chen, X.] Univ Ctr Svalbard, Dept Geophys, Longyearbyen, Norway; [Baddeley, L. J.; Lorentzen, D. A.; Partamies, N.; Oksavik, K.; Chen, X.] Univ Bergen, Dept Phys &amp; Technol, Birkeland Ctr Space Sci, Bergen, Norway; [Baddeley, L. J.; Lorentzen, D. A.] British Antarctic Survey, Cambridge, England; [Denig, M.] Natl Ctr Environm Informat, Boulder, CO USA; [Pilipenko, V. A.] Inst Phys Earth, Moscow, Russia; [Chen, X.] Polar Res Inst China, SOA Key Lab Polar Sci, Shanghai, Peoples R China; [Zhang, Y.] Johns Hopkins Univ, Appl Phys Lab, Laurel, MD USA</t>
  </si>
  <si>
    <t>University Centre Svalbard (UNIS); University of Bergen; UK Research &amp; Innovation (UKRI); Natural Environment Research Council (NERC); NERC British Antarctic Survey; Russian Academy of Sciences; Schmidt Institute of Physics of the Earth of the Russian Academy of Sciences; Polar Research Institute of China; Johns Hopkins University; Johns Hopkins University Applied Physics Laboratory</t>
  </si>
  <si>
    <t>Baddeley, LJ (corresponding author), Univ Ctr Svalbard, Dept Geophys, Longyearbyen, Norway.;Baddeley, LJ (corresponding author), Univ Bergen, Dept Phys &amp; Technol, Birkeland Ctr Space Sci, Bergen, Norway.;Baddeley, LJ (corresponding author), British Antarctic Survey, Cambridge, England.</t>
  </si>
  <si>
    <t>lisa.baddeley@unis.no</t>
  </si>
  <si>
    <t>Oksavik, Kjellmar/GWZ-7781-2022; Chen, Xiangcai/S-9746-2019; Baddeley, Lisa/ABD-4414-2020; Partamies, Noora/G-3408-2014; Pilipenko, Vyacheslav/K-9747-2015</t>
  </si>
  <si>
    <t>Oksavik, Kjellmar/0000-0003-4312-6992; Chen, Xiangcai/0000-0002-6325-5049; Baddeley, Lisa/0000-0003-1246-0488; DENIG, WILLIAM/0000-0002-2575-5325; Pilipenko, Vyacheslav/0000-0003-3056-7465</t>
  </si>
  <si>
    <t>Research Council of Norway [246725, 223252/F50, 195385]; Norway (NFR); Sweden (VR); Finland (SA); Japan (NIPR); Japan (STEL); China (CRIRP); United Kingdom (NERC); NERC [bas0100031] Funding Source: UKRI; Natural Environment Research Council [bas0100031] Funding Source: researchfish</t>
  </si>
  <si>
    <t>Research Council of Norway(Research Council of Norway); Norway (NFR)(Research Council of Norway); Sweden (VR)(Swedish Research Council); Finland (SA); Japan (NIPR); Japan (STEL); China (CRIRP); United Kingdom (NERC)(UK Research &amp; Innovation (UKRI)Natural Environment Research Council (NERC)); NERC(UK Research &amp; Innovation (UKRI)Natural Environment Research Council (NERC)); Natural Environment Research Council(UK Research &amp; Innovation (UKRI)Natural Environment Research Council (NERC))</t>
  </si>
  <si>
    <t>This research was partly funded by the Research Council of Norway (project 246725 and contract 223252/F50). The Longyearbyen MSP is owned and operated by the University Centre in Svalbard and partly funded by the Research Council of Norway (project 195385). The MSP data can be obtained from Dag Lorentzen (e-mail: dagl@unis.no). The EISCAT scientific association is supported by the research organizations of Norway (NFR), Sweden (VR), Finland (SA), Japan (NIPR and STEL), China (CRIRP), and the United Kingdom (NERC). Data from EISCAT can be obtained from the Madrigal database http://www.eiscat.se/madrigal. The MIRACLE network is operated as an international collaboration under the leadership of the Finnish Meteorological Institute (FMI). IFSI-INAF (Italy) maintains the ITACA ASC in Ny Alesund, and the ASC data can be obtained from Noora Partimies (noora.partamies@unis.no). We thank Liisa Juusola (FMI) for the dipole field projection of ASC images. The DMSP F16 particle and magnetic field data can be obtained from William Denig (e-mail: william.denig@noaa.gov). The DMSP F16 SSUSI data can be downloaded from the SSUSI website (http://ssusi.jhuapl.edu/). IMF and solar wind data are available at the NASA OMNIWeb service (http://omniweb.gsfc.nasa.gov). For the ground magnetometer data we gratefully acknowledge Eija Tanskanen (FMI).</t>
  </si>
  <si>
    <t>10.1002/2016JA023427</t>
  </si>
  <si>
    <t>WOS:000403912500050</t>
  </si>
  <si>
    <t>Partamies, N; Whiter, D; Kadokura, A; Kauristie, K; Tyssoy, HN; Massetti, S; Stauning, P; Raita, T</t>
  </si>
  <si>
    <t>Partamies, N.; Whiter, D.; Kadokura, A.; Kauristie, K.; Tyssoy, H. Nesse; Massetti, S.; Stauning, P.; Raita, T.</t>
  </si>
  <si>
    <t>Occurrence and average behavior of pulsating aurora</t>
  </si>
  <si>
    <t>pulsating aurora; emission height</t>
  </si>
  <si>
    <t>ENERGETIC ELECTRON-PRECIPITATION; SKY CAMERA IMAGES; FAST SATELLITE; SOLAR-CYCLE; PATCHES; REGION; CHORUS; SYOWA</t>
  </si>
  <si>
    <t>Motivated by recent event studies and modeling efforts on pulsating aurora, which conclude that the precipitation energy during these events is high enough to cause significant chemical changes in the mesosphere, this study looks for the bulk behavior of auroral pulsations. Based on about 400 pulsating aurora events, we outline the typical duration, geomagnetic conditions, and change in the peak emission height for the events. We show that the auroral peak emission height for both green and blue emission decreases by about 8km at the start of the pulsating aurora interval. This brings the hardest 10% of the electrons down to about 90km altitude. The median duration of pulsating aurora is about 1.4h. This value is a conservative estimate since in many cases the end of event is limited by the end of auroral imaging for the night or the aurora drifting out of the camera field of view. The longest durations of auroral pulsations are observed during events which start within the substorm recovery phases. As a result, the geomagnetic indices are not able to describe pulsating aurora. Simultaneous Antarctic auroral images were found for 10 pulsating aurora events. In eight cases auroral pulsations were seen in the southern hemispheric data as well, suggesting an equatorial precipitation source and a frequent interhemispheric occurrence. The long lifetimes of pulsating aurora, their interhemispheric occurrence, and the relatively high-precipitation energies make this type of aurora an effective energy deposition process which is easy to identify from the ground-based image data.</t>
  </si>
  <si>
    <t>[Partamies, N.] Univ Ctr Svalbard, Dept Arctic Geophys, Longyearbyen, Norway; [Partamies, N.; Tyssoy, H. Nesse] Birkeland Ctr Space Sci, Bergen, Norway; [Whiter, D.] Univ Southampton, Dept Phys &amp; Astron, Southampton, Hants, England; [Kadokura, A.] Natl Inst Polar Res, Space &amp; Upper Atmospher Sci Grp, Tokyo, Japan; [Kauristie, K.] Finnish Meteorol Inst, Arctic Res, Helsinki, Finland; [Tyssoy, H. Nesse] Univ Bergen, Dept Phys &amp; Technol, Bergen, Norway; [Massetti, S.] Inst Space Astrophys &amp; Planetol, INAF IAPS, Rome, Italy; [Stauning, P.] Danish Meteorol Inst, Copenhagen, Denmark; [Raita, T.] Univ Oulu, Sodankyla Geophys Observ, Oulu, Finland</t>
  </si>
  <si>
    <t>University Centre Svalbard (UNIS); University of Southampton; Research Organization of Information &amp; Systems (ROIS); National Institute of Polar Research (NIPR) - Japan; Finnish Meteorological Institute; University of Bergen; Istituto Nazionale Astrofisica (INAF); Danish Meteorological Institute DMI; University of Oulu</t>
  </si>
  <si>
    <t>Partamies, N (corresponding author), Univ Ctr Svalbard, Dept Arctic Geophys, Longyearbyen, Norway.;Partamies, N (corresponding author), Birkeland Ctr Space Sci, Bergen, Norway.</t>
  </si>
  <si>
    <t>noora.partamies@unis.no</t>
  </si>
  <si>
    <t>Partamies, Noora/G-3408-2014; Massetti, Stefano/HMP-1275-2023; Whiter, Daniel/P-8601-2019</t>
  </si>
  <si>
    <t>Massetti, Stefano/0000-0002-7767-1334; Whiter, Daniel/0000-0001-7130-232X; Stauning, Peter/0000-0002-8804-7932</t>
  </si>
  <si>
    <t>Research Council of Norway under CoE [223252]; PNRA; Natural Environment Research Council [NE/N004051/1] Funding Source: researchfish; Grants-in-Aid for Scientific Research [15H02628] Funding Source: KAKEN; NERC [NE/N004051/1] Funding Source: UKRI</t>
  </si>
  <si>
    <t>Research Council of Norway under CoE; PNRA;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 NERC(UK Research &amp; Innovation (UKRI)Natural Environment Research Council (NERC))</t>
  </si>
  <si>
    <t>This work was partly supported by the Research Council of Norway under CoE contract 223252. Index data are from Kyoto World Data Center, solar wind data are from OMNIWeb. Ground magnetometer data used in this study are available at http://space.fmi.fi/image/. The authors thank S. Makinen, J. Mattanen, A. Ketola, and C.-F. Enell for careful maintenance of the MIRACLE camera network and data flow. MIRACLE ASC quicklook data are available at http://www.space.fmi.fi/MIRACLE/ASC/asc_keograms_00.shtml and at GAIA virtual observatory at http://gaia-vxo.org, while full resolution image data can be requested from FMI (kirsti.kauristie@fmi.fi). The Italian ASC in NAL is funded by PNRA. Sodankyla Geophysical Observatory riometer data quicklook plots can be browsed at http://www.sgo.fi/Data/Riometer/rioData.php and the data are available upon request. Imaging riometer data from Longyearbyen can be made available upon request.</t>
  </si>
  <si>
    <t>10.1002/2017JA024039</t>
  </si>
  <si>
    <t>Green Accepted, Green Published</t>
  </si>
  <si>
    <t>WOS:000403912500051</t>
  </si>
  <si>
    <t>Lee, JI; McKay, RM; Golledge, NR; Yoon, HI; Yoo, KC; Kim, HJ; Hong, JK</t>
  </si>
  <si>
    <t>Lee, Jae Il; McKay, Robert M.; Golledge, Nicholas R.; Yoon, Ho Il; Yoo, Kyu-Cheul; Kim, Hyoung Jun; Hong, Jong Kuk</t>
  </si>
  <si>
    <t>Widespread persistence of expanded East Antarctic glaciers in the southwest Ross Sea during the last deglaciation</t>
  </si>
  <si>
    <t>GEOLOGY</t>
  </si>
  <si>
    <t>ICE-SHEET; MCMURDO SOUND; RETREAT; HISTORY</t>
  </si>
  <si>
    <t>It has been suggested that the grounding line of the Last Glacial Maximum (LGM) ice sheet in the Ross Sea, Antarctica, receded in an approximately north-to-south pattern during the Holocene. An implication of this hypothesis is that geological evidence from the southwestern Ross Sea has been used widely to interpret retreat histories of the West Antarctic Ice Sheet (WAIS) across the wider Ross Sea embayment. Accurately constraining the timing and pattern of marine-based ice sheet retreat in this embayment is critical to understanding the drivers that may have triggered this event, and its contribution to rapid sea-level rise events. Here, we present new multibeam swath bathymetry data that identifies well-preserved glacial features indicating that thick (&gt;700 m) marine-based ice derived from the East Antarctic Ice Sheet coastal outlet glaciers dominated the ice sheet input into the southwestern Ross Sea during the last phases of glaciation. Subglacial geomorphic features indicate that ice derived from present outlet glacier valleys in South Victoria Land flowed southeastward. This is more consistent with flowlines from model-based interpretations of an earlier retreat of the WAIS in the central Ross Sea than with previous land-based geological reconstructions. This implies that coastal records of deglaciation along the Transantarctic Mountains front record only the final phases of glacial retreat in the Ross Sea. Therefore, chronological data from the central embayment are required to accurately constrain the timing of large-scale glacial retreat in the Ross Sea and to identify the mechanisms that drove it.</t>
  </si>
  <si>
    <t>[Lee, Jae Il; Yoon, Ho Il; Yoo, Kyu-Cheul; Kim, Hyoung Jun; Hong, Jong Kuk] Korea Polar Res Inst, Songdomirae Ro 26, Incheon 21990, South Korea; [McKay, Robert M.; Golledge, Nicholas R.] Victoria Univ Wellington, Antarctic Res Ctr, POB 600, Wellington 6140, New Zealand; [Golledge, Nicholas R.] GNS Sci, Lower Hutt 5011, New Zealand</t>
  </si>
  <si>
    <t>Korea Polar Research Institute (KOPRI); Victoria University Wellington; GNS Science - New Zealand</t>
  </si>
  <si>
    <t>McKay, RM (corresponding author), Victoria Univ Wellington, Antarctic Res Ctr, POB 600, Wellington 6140, New Zealand.</t>
  </si>
  <si>
    <t>robert.mckay@vuw.ac.nz</t>
  </si>
  <si>
    <t>McKay, Robert/0000-0002-5602-6985; Golledge, Nicholas/0000-0001-7676-8970</t>
  </si>
  <si>
    <t>crews of R/V Araon; Ministry of Oceans and Fisheries (Korea); Korea Polar Research Institute (KOPRI) [PE17030]; Royal Society Rutherford Discovery Fellowship; Marsden Fund [RDF-13VUW-003, 15-VUW-131]; MBIE [C05X1001]; New Zealand Ministry of Business, Innovation &amp; Employment (MBIE) [C05X1001] Funding Source: New Zealand Ministry of Business, Innovation &amp; Employment (MBIE)</t>
  </si>
  <si>
    <t>crews of R/V Araon; Ministry of Oceans and Fisheries (Korea); Korea Polar Research Institute (KOPRI)(Korea Polar Research Institute of Marine Research Placement (KOPRI)); Royal Society Rutherford Discovery Fellowship(Royal Society of New Zealand); Marsden Fund(Royal Society of New ZealandMarsden Fund (NZ)); MBIE(New Zealand Ministry of Business, Innovation and Employment (MBIE)); New Zealand Ministry of Business, Innovation &amp; Employment (MBIE)(New Zealand Ministry of Business, Innovation and Employment (MBIE))</t>
  </si>
  <si>
    <t>We thank the crews of R/V Araon for their support, and reviewers for comments that improved the manuscript. This research was a part of the project titled KIFES (KOPRI, PM 16060), funded by the Ministry of Oceans and Fisheries (Korea), and the Korea Polar Research Institute (KOPRI) project PE17030. New Zealand funding was provided by Royal Society Rutherford Discovery Fellowship and Marsden Fund (RDF-13VUW-003; 15-VUW-131), and MBIE (C05X1001).</t>
  </si>
  <si>
    <t>GEOLOGICAL SOC AMER, INC</t>
  </si>
  <si>
    <t>BOULDER</t>
  </si>
  <si>
    <t>PO BOX 9140, BOULDER, CO 80301-9140 USA</t>
  </si>
  <si>
    <t>0091-7613</t>
  </si>
  <si>
    <t>1943-2682</t>
  </si>
  <si>
    <t>10.1130/G38715.1|</t>
  </si>
  <si>
    <t>EY6NX</t>
  </si>
  <si>
    <t>WOS:000404101300007</t>
  </si>
  <si>
    <t>Li, M; Yu, XW; Kang, H; Xie, ZQ; Zhang, PF</t>
  </si>
  <si>
    <t>Li, Ming; Yu, Xiawei; Kang, Hui; Xie, Zhouqing; Zhang, Pengfei</t>
  </si>
  <si>
    <t>Concentrations and Size Distributions of Bacteria-Containing Particles over Oceans from China to the Arctic Ocean</t>
  </si>
  <si>
    <t>ATMOSPHERE</t>
  </si>
  <si>
    <t>airborne bacteria; abundance; size distribution; marine boundary layer; the Arctic Ocean; sea ice</t>
  </si>
  <si>
    <t>SURFACE MICROLAYER; GLOBAL ATMOSPHERE; AIRBORNE BACTERIA; MICROBIAL CONTENT; DESERT DUST; CLOUD-WATER; SEA; BIOAEROSOLS; AEROSOLS; FUNGI</t>
  </si>
  <si>
    <t>During the third China Arctic Research Expedition (July-September 2008), size-resolved measurements of bacteria-containing particles (BCPs) in the marine boundary layer (MBL) air were conducted during a cruise through the East China Sea, the Yellow Sea, the Japan Sea, the Okhotsk Sea, the Bering Sea, the Chukchi Sea, and the Arctic Ocean. The concentrations of total airborne BCPs (TBCPs), non-salt tolerant airborne BCPs (NSBCPs), and salt tolerant airborne BCPs (SBCPs) varied from 29 to 955 CFU m(-3) (CFU = Colony Forming Unit), 16 to 919 CFU m(-3), and 4 to 276 CFU m(-3), with an average value of 275, 182, and 92 CFU m(-3), respectively. Although the SBCP concentrations were less than the NSBCP concentrations when averaged over all measurements, there are several cases where the reverse is true (e.g., in the high Arctic Ocean). During the cruise, the TBCP sizes were dominated by the diameter &gt;4.7 mu m fraction (accounted for 46.3% on average), while the fine fraction (diameter &lt;2.1 mu m) accounted for 27.8%. For NSBCPs and SBCPs, the coarse fraction also was the dominant fraction over most regions. The influence of local meteorological conditions on the abundance, size distributions, and species of airborne bacteria is discussed. Notably, in the atmosphere over the Arctic Ocean the abundance of airborne bacteria was apparently related to the distribution of sea ice. As cultivation based methodologies may underestimate the environmental bacterial communities, it is expected that the abundance of bacteria in the ambient air would be higher than that observed in this study. In order to distinguish different species of bacteria, molecular biological techniques (e.g., 16S rDNA analysis) are required for identification in future investigations.</t>
  </si>
  <si>
    <t>[Li, Ming; Yu, Xiawei; Kang, Hui; Xie, Zhouqing] Univ Sci &amp; Technol China, Sch Earth &amp; Space Sci, Anhui Prov Key Lab Polar Environm &amp; Global Change, Hefei 230026, Peoples R China; [Li, Ming] Chinese Acad Sci, Inst Earth Environm, State Key Lab Loess &amp; Quaternary Geol, Xian 710075, Peoples R China; [Zhang, Pengfei] CUNY City Coll, Dept Earth &amp; Atmospher Sci, New York, NY 10031 USA</t>
  </si>
  <si>
    <t>Chinese Academy of Sciences; University of Science &amp; Technology of China, CAS; Chinese Academy of Sciences; Institute of Earth Environment, CAS; City University of New York (CUNY) System; City College of New York (CUNY)</t>
  </si>
  <si>
    <t>Xie, ZQ (corresponding author), Univ Sci &amp; Technol China, Sch Earth &amp; Space Sci, Anhui Prov Key Lab Polar Environm &amp; Global Change, Hefei 230026, Peoples R China.</t>
  </si>
  <si>
    <t>liming11@ieecas.cn; aivy@mail.ustc.edu.cn; rillian@ustc.edu.cn; zqxie@ustc.edu.cn; pzhang@ccny.cuny.edu</t>
  </si>
  <si>
    <t>Zhang, Pengfei/C-2264-2013; xie, zhouqing/P-9661-2019</t>
  </si>
  <si>
    <t>Zhang, Pengfei/0000-0002-1765-5965;</t>
  </si>
  <si>
    <t>National Natural Science Foundation of China [41676173]; Chinese Arctic and Antarctic Administration [CHINARE2012-2017, IC201202]; External Cooperation Program of BIC, CAS [211134KYSB20130012]</t>
  </si>
  <si>
    <t>National Natural Science Foundation of China(National Natural Science Foundation of China (NSFC)); Chinese Arctic and Antarctic Administration; External Cooperation Program of BIC, CAS</t>
  </si>
  <si>
    <t>This research was supported by grants from the National Natural Science Foundation of China (Project No. 41676173), the Chinese Arctic and Antarctic Administration (Projects No. CHINARE2012-2017 and IC201202), and the External Cooperation Program of BIC, CAS (Project No. 211134KYSB20130012). We thank Hang Su and Susannah Burrows for their valuable contributions to study related discussions.</t>
  </si>
  <si>
    <t>2073-4433</t>
  </si>
  <si>
    <t>ATMOSPHERE-BASEL</t>
  </si>
  <si>
    <t>Atmosphere</t>
  </si>
  <si>
    <t>10.3390/atmos8050082</t>
  </si>
  <si>
    <t>EY5YT</t>
  </si>
  <si>
    <t>WOS:000404059500004</t>
  </si>
  <si>
    <t>Visser, AW; Gronning, J; Jónasdóttir, SH</t>
  </si>
  <si>
    <t>Visser, Andre W.; Gronning, Josephine; Jonasdottir, Sigrun Huld</t>
  </si>
  <si>
    <t>Calanus hyperboreus and the lipid pump</t>
  </si>
  <si>
    <t>LIMNOLOGY AND OCEANOGRAPHY</t>
  </si>
  <si>
    <t>DOWNWARD CARBON FLUX; LIFE-CYCLE; NEOCALANUS-CRISTATUS; WINTER DISTRIBUTION; ANTARCTIC COPEPOD; EUCALANUS-BUNGII; STORAGE; SEA; MESOZOOPLANKTON; FINMARCHICUS</t>
  </si>
  <si>
    <t>Lipid-fuelled overwintering by copepods can be a regionally important contribution to carbon sequestration in the deep oceans. Here, we estimate the contribution for Calanus hyperboreus, found in abundance in the northern reaches of the North Atlantic and Arctic Ocean. Estimates for regions with high overwintering populations, Fram Strait, Greenland Sea and Iceland Sea lie between 3.5 gC m(-2) yr(-1) and 6.0 gC m(-2) yr(-1) at depths of 1000-3000 m, comparable to the flux of detrital organic carbon at commensurate depths. Apart from the variation in the abundance of overwintering populations, these estimates are most sensitive to mortality rates. We present a general model based on metabolic theory and isomorphism that can be used to constrain estimates for data poor species in other parts of the global ocean.</t>
  </si>
  <si>
    <t>[Visser, Andre W.; Gronning, Josephine; Jonasdottir, Sigrun Huld] Tech Univ Denmark, VKR Ctr Ocean Life, Natl Inst Aquat Resources, Lyngby, Denmark</t>
  </si>
  <si>
    <t>Technical University of Denmark</t>
  </si>
  <si>
    <t>Visser, AW (corresponding author), Tech Univ Denmark, VKR Ctr Ocean Life, Natl Inst Aquat Resources, Lyngby, Denmark.</t>
  </si>
  <si>
    <t>awv@aqua.dtu.dk</t>
  </si>
  <si>
    <t>; Visser, Andre/G-6317-2015</t>
  </si>
  <si>
    <t>Jonasdottir, Sigrun/0000-0003-4985-0447; Visser, Andre/0000-0002-1604-7263</t>
  </si>
  <si>
    <t>Villum Foundation; Danish Council for Strategic Research under the NAACOS project; European Union Seventh Framework Programme Basin Scale Analysis, Synthesis and Integration [ENV. 2010.2.2.1-1]; Villum Fonden [00007178] Funding Source: researchfish</t>
  </si>
  <si>
    <t>Villum Foundation(Villum Fonden); Danish Council for Strategic Research under the NAACOS project; European Union Seventh Framework Programme Basin Scale Analysis, Synthesis and Integration; Villum Fonden(Villum Fonden)</t>
  </si>
  <si>
    <t>We would like to thank Jeppe Olsen for providing GIS assistance. This work is a contribution to the Centre for Ocean Life, a VKR Centre of Excellence supported by the Villum Foundation. Funding was also provided by the Danish Council for Strategic Research under the NAACOS project, and European Union Seventh Framework Programme Basin Scale Analysis, Synthesis and Integration (ENV. 2010.2.2.1-1; www. euro-basin.eu).</t>
  </si>
  <si>
    <t>0024-3590</t>
  </si>
  <si>
    <t>1939-5590</t>
  </si>
  <si>
    <t>LIMNOL OCEANOGR</t>
  </si>
  <si>
    <t>Limnol. Oceanogr.</t>
  </si>
  <si>
    <t>10.1002/lno.10492</t>
  </si>
  <si>
    <t>Limnology; Oceanography</t>
  </si>
  <si>
    <t>EX0JR</t>
  </si>
  <si>
    <t>WOS:000402907100019</t>
  </si>
  <si>
    <t>Godfrey, KE; Dalton, CA; Ritsema, J</t>
  </si>
  <si>
    <t>Godfrey, Karen E.; Dalton, Colleen A.; Ritsema, Jeroen</t>
  </si>
  <si>
    <t>Seafloor age dependence of Rayleigh wave phase velocities in the Indian Ocean</t>
  </si>
  <si>
    <t>Indian Ocean; Rayleigh waves; oceanic lithosphere; upper mantle</t>
  </si>
  <si>
    <t>EAST PACIFIC RISE; AUSTRALIAN-ANTARCTIC DISCORDANCE; UPPER-MANTLE; MELT REGION; STRUCTURE BENEATH; TRAVEL-TIME; MODEL; TOMOGRAPHY; ANISOTROPY; LITHOSPHERE</t>
  </si>
  <si>
    <t>Variations in the phase velocity of fundamental-mode Rayleigh waves across the Indian Ocean are determined using two inversion approaches. First, variations in phase velocity as a function of seafloor age are estimated using a pure-path age-dependent inversion method. Second, a two-dimensional parameterization is used to solve for phase velocity within 1.25 degrees x 1.25 degrees grid cells. Rayleigh wave travel time delays have been measured between periods of 38 and 200 s. The number of measurements in the study area ranges between 4139 paths at a period of 200 s and 22,272 paths at a period of 40 s. At periods&lt;100 s, the phase velocity variations are strongly controlled by seafloor age and shown to be consistent with temperature variations predicted by the half-space-cooling model for a mantle potential temperature of 1400 degrees C. The inferred thermal structure beneath the Indian Ocean is most similar to the structure of the Pacific upper mantle, where phase velocities can also be explained by a half-space-cooling model. The thermal structure is not consistent with that of the Atlantic upper mantle, which is best fit by a plate-cooling model and requires a thin plate. Removing age-dependent phase velocity from the 2-D maps of the Indian Ocean highlights anomalously high velocities at the Rodriguez Triple Junction and the Australian-Antarctic Discordance and anomalously low velocities immediately to the west of the Central Indian Ridge.</t>
  </si>
  <si>
    <t>[Godfrey, Karen E.; Dalton, Colleen A.] Brown Univ, Dept Earth Environm &amp; Planetary Sci, Providence, RI 02912 USA; [Ritsema, Jeroen] Univ Michigan, Dept Earth &amp; Environm Sci, Ann Arbor, MI 48109 USA</t>
  </si>
  <si>
    <t>Brown University; University of Michigan System; University of Michigan</t>
  </si>
  <si>
    <t>Godfrey, KE (corresponding author), Brown Univ, Dept Earth Environm &amp; Planetary Sci, Providence, RI 02912 USA.</t>
  </si>
  <si>
    <t>karen_godfrey@brown.edu</t>
  </si>
  <si>
    <t>Ritsema, Jeroen/0000-0003-4287-7639; Godfrey, Karen/0000-0003-4460-399X</t>
  </si>
  <si>
    <t>NSF [OCE-1435751, EAR-1416695]; Directorate For Geosciences [1416695] Funding Source: National Science Foundation; Division Of Earth Sciences [1416695] Funding Source: National Science Foundation; Division Of Ocean Sciences; Directorate For Geosciences [1435751] Funding Source: National Science Foundation</t>
  </si>
  <si>
    <t>NSF(National Science Foundation (NSF)); Directorate For Geosciences(National Science Foundation (NSF)NSF - Directorate for Geosciences (GEO)); Division Of Earth Sciences(National Science Foundation (NSF)NSF - Directorate for Geosciences (GEO)); Division Of Ocean Sciences; Directorate For Geosciences(National Science Foundation (NSF)NSF - Directorate for Geosciences (GEO))</t>
  </si>
  <si>
    <t>This work has been funded by NSF grants OCE-1435751 (C.A.D.) and EAR-1416695 (J.R.). Waveform data were obtained from the IRIS/DMC and the Geoscope Data Center. All maps were produced using GMT [Wessel and Smith, 1995], and phase velocities from thermal models were calculated using the Mineos software package [Masters et al., 2014]. We thank Zhitu Ma for helpful discussions and three anonymous reviewers for their useful comments.</t>
  </si>
  <si>
    <t>10.1002/2017GC006824</t>
  </si>
  <si>
    <t>EX8DV</t>
  </si>
  <si>
    <t>WOS:000403479900008</t>
  </si>
  <si>
    <t>Pikuta, EV; Lyu, Z; Williams, MD; Patel, NB; Liu, YC; Hoover, RB; Busse, HJ; Lawson, PA; Whitman, WB</t>
  </si>
  <si>
    <t>Pikuta, Elena V.; Lyu, Zhe; Williams, Melissa D.; Patel, Nisha B.; Liu, Yuchen; Hoover, Richard B.; Busse, Hans-Juergen; Lawson, Paul A.; Whitman, William B.</t>
  </si>
  <si>
    <t>Sanguibacter gelidistatuariae sp nov., a novel psychrotolerant anaerobe from an ice sculpture in Antarctica, and emendation of descriptions of the family Sanguibacteraceae, the genus Sanguibacter and species S. antarcticus, S. inulinus, S. kedieii, S. marinus, S. soli and S. suarezii</t>
  </si>
  <si>
    <t>Actinomycetales; Antarctica; psychrotolerant; facultative anaerobe; ureolytic; chitinase</t>
  </si>
  <si>
    <t>CORYNEFORM BACTERIA; LIPID-COMPOSITION; CLASSIFICATION; DEFINITION; PROPOSAL</t>
  </si>
  <si>
    <t>A novel psychrotolerant bacterium, strain ISLP-3(T), was isolated from a sample of naturally formed ice sculpture on the shore of Lake Podprudnoye in Antarctica. Cells were motile, stained Gram-positive, non-spore-forming, straight or slightly curved rods with the shape of a baseball bat. The new isolate was facultatively anaerobic and catalase-positive. Growth occurred at 3-35 degrees C with an optimum at 22-24 degrees C, 0-2% (w/v) NaCl with an optimum at 0.3% and pH 6.2-9.5 with an optimum at pH 7.5. Strain ISLP-3(T) grew on several carbon sources, with the best growth on cellobiose. The isolate possessed ureolytic activity but growth was inhibited by urea. The strain was sensitive to: ampicillin, gentamycin, kanamycin rifampicin, tetracycline and chloramphenicol. Major fatty acids were: anteiso-C-15:0, iso-C-16:0, C-16:0, C-14:0 and iso-C-15:0. The predominant menaquinone was MK-9(H-4). The genomic G+C content was 69.5 mol%. The 16S rRNA gene showed 99% sequence similarity to that of Sanguibacter suarezii ST-26(T), but their recA genes shared &lt;= 91% sequence similarity, suggesting that this new isolate represents a novel species within the genus Sanguibacter. This conclusion was supported by average nucleotide identity, which was &lt;= 91% to the most closely related strain. The name Sanguibacter gelidistatuariae sp. nov. is proposed for the novel species with the type strain ISLP-3(T)=ATCC TSD-17(T) =DSM 100501(T) =JCM 30887(T)). The complete genome draft sequence of ISLP-3(T) was deposited under IMG OID 2657245272. Emendments to the descriptions of related taxa have been made based on experimental data from our comparative analysis.</t>
  </si>
  <si>
    <t>[Pikuta, Elena V.; Hoover, Richard B.] Athens State Univ, Math Comp &amp; Nat Sci Dept, Athens, AL 35611 USA; [Lyu, Zhe; Whitman, William B.] Univ Georgia, Microbiol Dept, Athens, GA 30602 USA; [Williams, Melissa D.] Univ Alabama, Biol Dept, Huntsville, AL 35899 USA; [Patel, Nisha B.; Lawson, Paul A.] Univ Oklahoma, Dept Microbiol &amp; Plant Biol, Norman, OK 73019 USA; [Liu, Yuchen] Louisiana State Univ, Dept Biol Sci, Baton Rouge, LA 70803 USA; [Busse, Hans-Juergen] Vet Med Univ Wien, Inst Mikrobiol, A-1210 Vienna, Austria; [Williams, Melissa D.] HudsonAlpha Inst Biotechnol, Genome Sequencing Ctr, Huntsville, AL 35806 USA</t>
  </si>
  <si>
    <t>Athens State University; University System of Georgia; University of Georgia; University of Alabama System; University of Alabama Huntsville; University of Oklahoma System; University of Oklahoma - Norman; Louisiana State University System; Louisiana State University; University of Veterinary Medicine Vienna; HudsonAlpha Institute for Biotechnology</t>
  </si>
  <si>
    <t>Pikuta, EV (corresponding author), Athens State Univ, Math Comp &amp; Nat Sci Dept, Athens, AL 35611 USA.</t>
  </si>
  <si>
    <t>epikuta@my.athens.edu</t>
  </si>
  <si>
    <t>Whitman, William/AAC-5896-2020; Liu, Yuchen/E-3034-2017; Lyu, Zhe/H-8273-2019</t>
  </si>
  <si>
    <t>Lyu, Zhe/0000-0003-0184-6609; Whitman, William/0000-0003-1229-0423; Liu, Yuchen/0000-0003-0842-5882</t>
  </si>
  <si>
    <t>NASA; National Science Foundation; Arctic and Antarctic Research Institute (AARI) of the Russian Academy of Sciences; Tawani Foundation International Schirmacher Oasis/Lake Antarctica Expedition; Office of Science of the US Department of Energy [DE-AC02-05CH11231]</t>
  </si>
  <si>
    <t>NASA(National Aeronautics &amp; Space Administration (NASA)); National Science Foundation(National Science Foundation (NSF)); Arctic and Antarctic Research Institute (AARI) of the Russian Academy of Sciences; Tawani Foundation International Schirmacher Oasis/Lake Antarctica Expedition; Office of Science of the US Department of Energy(United States Department of Energy (DOE))</t>
  </si>
  <si>
    <t>We gratefully acknowledge the support of NASA, the National Science Foundation, the Arctic and Antarctic Research Institute (AARI) of the Russian Academy of Sciences and the Tawani Foundation 2008 International Schirmacher Oasis/Lake Antarctica Expedition, which made this study possible. Work conducted by the US Department of Energy Joint Genome Institute, a DOE Office of Science User Facility, is supported by the Office of Science of the US Department of Energy under Contract No. DE-AC02-05CH11231.</t>
  </si>
  <si>
    <t>14-16 MEREDITH ST, LONDON, ENGLAND</t>
  </si>
  <si>
    <t>10.1099/ijsem.0.001838</t>
  </si>
  <si>
    <t>EY1BD</t>
  </si>
  <si>
    <t>WOS:000403696100050</t>
  </si>
  <si>
    <t>Newton, AMW; Huuse, M</t>
  </si>
  <si>
    <t>Newton, Andrew M. W.; Huuse, Mads</t>
  </si>
  <si>
    <t>Glacial geomorphology of the central Barents Sea: Implications for the dynamic deglaciation of the Barents Sea Ice Sheet</t>
  </si>
  <si>
    <t>MARINE GEOLOGY</t>
  </si>
  <si>
    <t>Barents Sea; Glacial geomorphology; Last Glacial Maximum; Ice stream; Deglaciation; Palaeo-glaciology; Bathymetxy</t>
  </si>
  <si>
    <t>TROUGH-MOUTH FANS; KONG KARLS LAND; 3D SEISMIC DATA; SUBMARINE LANDFORMS; SVALBARD MARGIN; GROUNDING-LINE; CONTINENTAL-MARGIN; WESTERN SVALBARD; POSTGLACIAL EMERGENCE; CENOZOIC EVOLUTION</t>
  </si>
  <si>
    <t>Contemporary climate change has resulted in great uncertainty in how glaciers and ice sheets around the Earth might evolve. It has long been appreciated that the contemporary West Antarctic Ice Sheet (WAIS) shares many similarities with the former Barents Sea Ice Sheet (BSIS). Therefore, an increasing number of studies have sought to investigate the Barents Sea glacial record to better understand marine-based glaciation. This paper reports the analysis of a new high-resolution bathymetric survey covering similar to 55,000 km(2) in the central Barents Sea. The relative chronologies of newly-mapped glacial landforms such as mega-scale glacial lineations, grounding-zone wedges, moraines, and crevasse-squeeze ridges are used to reconstruct the ice sheet dynamics in the central Barents Sea. Our results show that the ice sheet responded dynamically with different periods of retreat, advance, and stagnation observed. These new landform records have been integrated with other geomorphological records in order to reconstruct the retreat pattern of the BSIS between 17-14 ka, when the Fennoscandian Ice Sheet, is thought to have uncoupled from the BSIS. Our data shows that the dynamic drawdown of the ice sheet saddle by ice streams was probably the primary mechanism in separating the two ice sheets. After the ice sheets uncoupled, the BSIS is shown to have retreated episodically with several periods of relative stability. Geomorphological records such as those from the BSIS can be used to constrain ice sheet modelling and will help to develop a clearer understanding of marine-based glaciation and the role of ice streams in driving ice sheet evolution.</t>
  </si>
  <si>
    <t>[Newton, Andrew M. W.] Univ Manchester, Sch Earth &amp; Environm Sci, Manchester M13 9PL, Lancs, England; Univ Manchester, Cryosphere Res Manchester, Manchester M13 9PL, Lancs, England</t>
  </si>
  <si>
    <t>University of Manchester; University of Manchester</t>
  </si>
  <si>
    <t>Newton, AMW (corresponding author), Univ Manchester, Sch Earth &amp; Environm Sci, Manchester M13 9PL, Lancs, England.</t>
  </si>
  <si>
    <t>amwnewton@gmail.com</t>
  </si>
  <si>
    <t>Huuse, Mads/O-9960-2014</t>
  </si>
  <si>
    <t>Huuse, Mads/0000-0002-1766-4343; Newton, Andrew/0000-0002-0089-525X</t>
  </si>
  <si>
    <t>Natural Environment Research Council (NERC) [NE/K500859/1]; Cairn Energy; Natural Environment Research Council [1365913] Funding Source: researchfish</t>
  </si>
  <si>
    <t>Natural Environment Research Council (NERC)(UK Research &amp; Innovation (UKRI)Natural Environment Research Council (NERC)); Cairn Energy; Natural Environment Research Council(UK Research &amp; Innovation (UKRI)Natural Environment Research Council (NERC))</t>
  </si>
  <si>
    <t>This work was supported by the Natural Environment Research Council (NERC grant reference number NE/K500859/1) and Cairn Energy who jointly funded AMWN. Schlumberger and ESRI are thanked for providing Petrel and Arc software. We would like to thank the MAREANO Programme for providing the multibeam data used in this study (available at www.mareano.no) and Arnstein Osvik for helping us to acquire the data. We also thank Simon H. Brocklehurst, Matthew Warke, the editor, and three reviewers for very detailed comments that significantly improved the initial manuscript.</t>
  </si>
  <si>
    <t>0025-3227</t>
  </si>
  <si>
    <t>1872-6151</t>
  </si>
  <si>
    <t>MAR GEOL</t>
  </si>
  <si>
    <t>Mar. Geol.</t>
  </si>
  <si>
    <t>MAY 1</t>
  </si>
  <si>
    <t>10.1016/j.margeo.2017.04.001</t>
  </si>
  <si>
    <t>EX8UT</t>
  </si>
  <si>
    <t>WOS:000403526400010</t>
  </si>
  <si>
    <t>Dubinin, EP; Galushkin, YI; Grokholskii, AL; Kokhan, AV; Sushchevskaya, NM</t>
  </si>
  <si>
    <t>Dubinin, E. P.; Galushkin, Yu. I.; Grokholskii, A. L.; Kokhan, A. V.; Sushchevskaya, N. M.</t>
  </si>
  <si>
    <t>Hot and cold zones of the Southeast Indian Ridge and their influence on the peculiarities of its structure and magmatism (Numerical and Physical Modelling)</t>
  </si>
  <si>
    <t>GEOTECTONICS</t>
  </si>
  <si>
    <t>Southeast Indian Ridge; topography; segmentation; numerical and physical modelling; thermal anomalies in mantle; magmatism; accretion; ridge structures</t>
  </si>
  <si>
    <t>AUSTRALIAN-ANTARCTIC DISCORDANCE; LARGE IGNEOUS PROVINCES; MIDOCEAN RIDGES; MANTLE PLUMES; RIFT ZONES; GRAVITY-ANOMALIES; CRUSTAL ACCRETION; REYKJANES RIDGE; PAUL ISLANDS; AMSTERDAM</t>
  </si>
  <si>
    <t>The paper describes the specific features of the bottom topography and morphostructural segmentation along the strike of the Southeast Indian Ridge (SEIR) and in the zones of influence of the Amsterdam-St. Paul hot spot and the anomalous zone of the relatively cold mantle in the area of the Australian-Antarctic discordance. Numerical estimates of changes of thermal state and strength of the crust in axial and off-axial zones of the SEIR were performed. Dorrelation between the thermal-rheological settings in the axial zone of the ridge with the seabed topography and the morphostructural segmentation and magmatism has been established. The numerical modelling results make it possible to assume the presence of along-axis asthenospheric flows under the axial zone of the SEIR. One of them, which was initiated by the Amsterdam-St. Paul point and the Kerguelen plume, is oriented from west to east, and the second, located east of the Australian-Antarctic discordance, is oriented from east to west. Taking into account the numerical modelling results of the thermal regime and the change in thickness of the brittle layer of the axial lithosphere, we performed a physical modelling of the influence of temperature anomalies in the mantle on the peculiarities of crustal deformation in the axial zones of the ridge. The experimental modelling showed that the presence of a thermal anomaly in the sublithosphere mantle in the form of a local heat source (hot spot) will noticeably influence the geometry of the rift axis and its position in relation to the hot spot. An area of anomalous topography forms under the influence of the hot spot, traces of which are preserved in the off-axis spreading flank zones, as in the case of the Amsterdam-St. Paul hot spot. More contrasting and dissected topography forms in zones with a relatively low typical mantle temperature in the process of crustal accretion.</t>
  </si>
  <si>
    <t>[Dubinin, E. P.; Galushkin, Yu. I.; Grokholskii, A. L.] Moscow MV Lomonosov State Univ, Moscow 119991, Russia; [Kokhan, A. V.] Svarog LLC, Moscow 119021, Russia; [Sushchevskaya, N. M.] Russian Acad Sci, Inst Geochem &amp; Analyt Chem, Moscow 119991, Russia</t>
  </si>
  <si>
    <t>Lomonosov Moscow State University; Russian Academy of Sciences; Vernadsky Institute of Geochemistry &amp; Analytical Chemistry</t>
  </si>
  <si>
    <t>Dubinin, EP (corresponding author), Moscow MV Lomonosov State Univ, Moscow 119991, Russia.</t>
  </si>
  <si>
    <t>edubinin08@rambler.ru</t>
  </si>
  <si>
    <t>Кохан, Андрей/AAE-3455-2022</t>
  </si>
  <si>
    <t>Кохан, Андрей/0000-0001-5237-5080</t>
  </si>
  <si>
    <t>Russian Science Foundation [16-17-10139]</t>
  </si>
  <si>
    <t>The work was supported by the Russian Science Foundation (grant no. 16-17-10139).</t>
  </si>
  <si>
    <t>PLEIADES PUBLISHING INC</t>
  </si>
  <si>
    <t>MOSCOW</t>
  </si>
  <si>
    <t>PLEIADES PUBLISHING INC, MOSCOW, 00000, RUSSIA</t>
  </si>
  <si>
    <t>0016-8521</t>
  </si>
  <si>
    <t>1556-1976</t>
  </si>
  <si>
    <t>GEOTECTONICS+</t>
  </si>
  <si>
    <t>Geotectonics</t>
  </si>
  <si>
    <t>10.1134/S0016852117030049</t>
  </si>
  <si>
    <t>EX8HZ</t>
  </si>
  <si>
    <t>WOS:000403491100001</t>
  </si>
  <si>
    <t>Prabhu, A; Kripalani, R; Oh, JH; Preethi, B</t>
  </si>
  <si>
    <t>Prabhu, Amita; Kripalani, Ramesh; Oh, Jaiho; Preethi, Bhaskar</t>
  </si>
  <si>
    <t>Can the Southern annular mode influence the Korean summer monsoon rainfall?</t>
  </si>
  <si>
    <t>ASIA-PACIFIC JOURNAL OF ATMOSPHERIC SCIENCES</t>
  </si>
  <si>
    <t>Southern annular mode; Central Pacific warming; Korean monsoon rainfall</t>
  </si>
  <si>
    <t>SEA-SURFACE TEMPERATURE; INDIAN-OCEAN DIPOLE; ANTARCTIC OSCILLATION; WINTER PRECIPITATION; EAST-ASIA; EL-NINO; TELECONNECTIONS; CIRCULATION; DEFINITION; ANOMALIES</t>
  </si>
  <si>
    <t>We demonstrate that a large-scale longitudinally symmetric global phenomenon in the Southern Hemisphere sub-polar region can transmit its influence over a remote local region of the Northern Hemisphere traveling more than 100A degrees of latitudes (from similar to 70A degrees S to similar to 40A degrees N). This is illustrated by examining the relationship between the Southern Annular Mode (SAM) and the Korean Monsoon Rainfall (KMR) based on the data period 1983-2013. Results reveal that the May-June SAM (MJSAM) has a significant in-phase relationship with the subsequent KMR. A positive MJSAM is favorable for the summer monsoon rainfall over the Korean peninsula. The impact is relayed through the central Pacific Ocean. When a negative phase of MJSAM occurs, it gives rise to an anomalous meridional circulation in a longitudinally locked air-sea coupled system over the central Pacific that propagates from sub-polar to equatorial latitudes and is associated with the central Pacific warming. The ascending motion over the central Pacific descends over the Korean peninsula during peak-boreal summer resulting in weakening of monsoon rainfall. The opposite features prevail during a positive phase of SAM. Thus, the extreme modes of MJSAM could possibly serve as a predictor for ensuing Korean summer monsoon rainfall.</t>
  </si>
  <si>
    <t>[Prabhu, Amita; Oh, Jaiho] Pukyong Natl Univ, Dept Environm &amp; Atmospher Sci, Busan, South Korea; [Prabhu, Amita; Kripalani, Ramesh; Preethi, Bhaskar] Indian Inst Trop Meteorol, Pune, Maharashtra, India; [Kripalani, Ramesh] IITM, Int CLIVAR Monsoon Project Off, CCCR Bldg,Room 305A, Pune 411008, Maharashtra, India</t>
  </si>
  <si>
    <t>Pukyong National University; Ministry of Earth Sciences (MoES) - India; Indian Institute of Tropical Meteorology (IITM); Ministry of Earth Sciences (MoES) - India; Indian Institute of Tropical Meteorology (IITM)</t>
  </si>
  <si>
    <t>Kripalani, R (corresponding author), IITM, Int CLIVAR Monsoon Project Off, CCCR Bldg,Room 305A, Pune 411008, Maharashtra, India.</t>
  </si>
  <si>
    <t>krip@tropmet.res.in</t>
  </si>
  <si>
    <t>Prabhu, Amita/0000-0002-2474-6195</t>
  </si>
  <si>
    <t>Ministry of Earth Sciences, Govt. of India; Korea Meteorological Administration Research and Development Program [KMIPA2015-6130]</t>
  </si>
  <si>
    <t>Ministry of Earth Sciences, Govt. of India; Korea Meteorological Administration Research and Development Program(Korea Meteorological Administration (KMA))</t>
  </si>
  <si>
    <t>This study was initiated at Indian Institute of Tropical Meteorology (IITM) and continued at the Pukyong National University (PKNU). IITM is fully supported by Ministry of Earth Sciences, Govt. of India. The first author wishes to thank Director, IITM for permitting her deputation to South Korea. This research was partially supported by the Korea Meteorological Administration Research and Development Program under the Grant KMIPA2015-6130 for Dr Amita Prabhu's period of stay in Korea from January to December 2016. Authors are also grateful to NCEP-NCAR for providing the atmospheric, ocean and precipitation datasets. Figures are prepared using GrADS. The station rainfall data over South Korea were obtained from the Korea Meteorological Administration. Last but not the least authors would like to thank the reviewers for providing constructive suggestions.</t>
  </si>
  <si>
    <t>KOREAN METEOROLOGICAL SOC</t>
  </si>
  <si>
    <t>SHINKIL-DONG 508, SIWON BLDG 704, YONGDUNGPO-GU, SEOUL, 150-050, SOUTH KOREA</t>
  </si>
  <si>
    <t>1976-7633</t>
  </si>
  <si>
    <t>1976-7951</t>
  </si>
  <si>
    <t>ASIA-PAC J ATMOS SCI</t>
  </si>
  <si>
    <t>Asia-Pac. J. Atmos. Sci.</t>
  </si>
  <si>
    <t>10.1007/s13143-017-0029-0</t>
  </si>
  <si>
    <t>EW4DY</t>
  </si>
  <si>
    <t>WOS:000402453400005</t>
  </si>
  <si>
    <t>Moles, J; Wägele, H; Cutignano, A; Fontana, A; Ballesteros, M; Avila, C</t>
  </si>
  <si>
    <t>Moles, Juan; Waegele, Heike; Cutignano, Adele; Fontana, Angelo; Ballesteros, Manuel; Avila, Conxita</t>
  </si>
  <si>
    <t>Giant embryos and hatchlings of Antarctic nudibranchs (Mollusca: Gastropoda: Heterobranchia)</t>
  </si>
  <si>
    <t>AUSTRODORIS-KERGUELENENSIS; REPRODUCTIVE STRATEGIES; MARINE-INVERTEBRATES; BATHYDORIS-HODGSONI; CHEMICAL ECOLOGY; NATURAL-PRODUCTS; OPISTHOBRANCHIA; SEA; DIVERSITY; SYSTEMATICS</t>
  </si>
  <si>
    <t>Bathydoris hodgsoni and Doris kerguelenensis are two of the largest Antarctic nudibranchs. They are both common circumpolar species with broad bathymetric distributions, although B. hodgsoni is restricted to deep waters in the Antarctic high latitude. Egg masses and juveniles of these species were collected over multiple years (1998-2012) in the eastern Weddell Sea and the South Shetland Islands, and here new data are provided about egg mass characteristics and ontogeny using histological techniques. The egg mass of B. hodgsoni has a maximum length of 12.4 cm with one or two egg capsules with a mean diameter of 4.9 cm. The capsules either contained non-developing eggs or ready-to-hatch juveniles up to 2.9 cm long. The egg mass of D. kerguelenensis is a semicircular ribbon-like structure including 1,500-2,400 oval capsules (similar to 1.7 x 1.2 mm) containing various stages of development up to ready-to-hatch juveniles 2.5 mm in length. Based on their morphology and development in egg masses maintained in the laboratory, the embryonic period for B. hodgsoni is estimated to be up to 10 years, and for D. kerguelenensis 13 months. Thus, B. hodgsoni has the largest egg capsules and probably the largest hatchlings of any mollusc. Chemical analyses of D. kerguelenensis egg masses showed no trace of terpenoid acylglycerols, although these compounds were present in field-collected juveniles and adults. None of four sponges that likely serve as food for D. kerguelenensis had the glycerides, or their precursors, found in the nudibranch.</t>
  </si>
  <si>
    <t>[Moles, Juan; Ballesteros, Manuel; Avila, Conxita] Univ Barcelona, Dept Evolutionary Biol Ecol &amp; Environm Sci, Avinguda Diagonal 643, E-08028 Barcelona, Spain; [Moles, Juan; Ballesteros, Manuel; Avila, Conxita] Univ Barcelona, Biodivers Res Inst IrBIO, Avinguda Diagonal 643, E-08028 Barcelona, Spain; [Waegele, Heike] Zool Res Museum Alexander Koenig, Adenauerallee 160, D-53113 Bonn, Germany; [Cutignano, Adele; Fontana, Angelo] CNR, Bioorgan Chem Unit, Ist Chim Biomol, Via Campi Flegrei 34, I-80078 Naples, Italy</t>
  </si>
  <si>
    <t>University of Barcelona; University of Barcelona; Zoologisches Forschungsmuseum Alexander Koenig (ZFMK); Consiglio Nazionale delle Ricerche (CNR); Istituto di Chimica Biomolecolare (ICB-CNR)</t>
  </si>
  <si>
    <t>Moles, J (corresponding author), Univ Barcelona, Dept Evolutionary Biol Ecol &amp; Environm Sci, Avinguda Diagonal 643, E-08028 Barcelona, Spain.;Moles, J (corresponding author), Univ Barcelona, Biodivers Res Inst IrBIO, Avinguda Diagonal 643, E-08028 Barcelona, Spain.</t>
  </si>
  <si>
    <t>moles.sanchez@gmail.com</t>
  </si>
  <si>
    <t>Fontana, Angelo/C-3354-2012; Cutignano, Adele/C-3343-2012; Moles, Juan/H-4786-2018; Fontana, Angelo/AAO-2741-2021; Avila, Conxita/B-9466-2008; Ballesteros, Manuel/M-1664-2014</t>
  </si>
  <si>
    <t>Cutignano, Adele/0000-0003-3035-9252; Moles, Juan/0000-0003-4511-4055; Fontana, Angelo/0000-0002-5453-461X; Avila, Conxita/0000-0002-5489-8376; Ballesteros, Manuel/0000-0001-9055-1241</t>
  </si>
  <si>
    <t>Spanish Government through the ECOQUIM [REN2003-00545, REN2002-12006E ANT, CGL2004-03356/ANT]; Spanish Government through the ACTIQUIM [CGL2007-65453, CTM2010-17415/ANT]; Spanish Government through the DISTANTCOM [CTM2013-42667/ANT]; PhD Grant of the Spanish Government (MEC) [BES-2011-045325]</t>
  </si>
  <si>
    <t>Spanish Government through the ECOQUIM; Spanish Government through the ACTIQUIM; Spanish Government through the DISTANTCOM; PhD Grant of the Spanish Government (MEC)(German Research Foundation (DFG))</t>
  </si>
  <si>
    <t>This study was funded by the Spanish Government through the ECOQUIM (REN2003-00545, REN2002-12006E ANT, CGL2004-03356/ANT), ACTIQUIM (CGL2007-65453, CTM2010-17415/ANT), and DISTANTCOM (CTM2013-42667/ANT) Projects. J. Moles was supported by a PhD Grant of the Spanish Government (MEC; BES-2011-045325).</t>
  </si>
  <si>
    <t>10.1007/s00227-017-3143-8</t>
  </si>
  <si>
    <t>EX2UP</t>
  </si>
  <si>
    <t>WOS:000403083700006</t>
  </si>
  <si>
    <t>McIntyre, T; Bester, MN; Bornemann, H; Tosh, CA; de Bruyn, PJN</t>
  </si>
  <si>
    <t>McIntyre, Trevor; Bester, Marthan N.; Bornemann, Horst; Tosh, Cheryl A.; de Bruyn, P. J. Nico</t>
  </si>
  <si>
    <t>Slow to change? Individual fidelity to three-dimensional foraging habitats in southern elephant seals, Mirounga leoninae</t>
  </si>
  <si>
    <t>ANIMAL BEHAVIOUR</t>
  </si>
  <si>
    <t>3D-kernel density habitat utilization; home range overlap; individual specialization; long-term fidelity; marine top predator; Marion Island</t>
  </si>
  <si>
    <t>SITE FIDELITY; MARINE PREDATOR; CLIMATE-CHANGE; SHEDS LIGHT; SPACE USE; CONSERVATION; ECOLOGY; TURTLES; TRACKING; BEHAVIOR</t>
  </si>
  <si>
    <t>Long-term fidelity to foraging areas may have fitness benefits to individuals, particularly in unpredictable environments. However, such strategies may result in short-term energetic losses and delay responses to fast environmental changes. We used satellite tracking data and associated diving data to record the habitat use of nine individual southern elephant seals over 34 winter migrations. By assessing overlap in two-and three-dimensional home ranges we illustrate strong long-term (up to 7-year) fidelity to foraging habitat. Furthermore, a repeatability statistic and hierarchical clustering exercise provided evidence for individual specialization of foraging migration strategies. We discuss the possible influences of stable long-term foraging migration strategies on the adaptability of individual elephant seals to rapid environmental change. Our results further illustrate the need for more long-term longitudinal studies to quantify the influence of individual-level site familiarity, fidelity and specialization on population-level resource selection and population dynamics. (C) 2017 The Association for the Study of Animal Behaviour. Published by Elsevier Ltd. All rights reserved.</t>
  </si>
  <si>
    <t>[McIntyre, Trevor; Bester, Marthan N.; Tosh, Cheryl A.; de Bruyn, P. J. Nico] Univ Pretoria, Dept Zool &amp; Entomol, Mammal Res Inst, Private Bag X20, ZA-0028 Hatfield, South Africa; [Bornemann, Horst] Helmholtz Zentrum Polar &amp; Meeresforsch, Alfred Wegener Inst, Bremerhaven, Germany</t>
  </si>
  <si>
    <t>University of Pretoria; Helmholtz Association; Alfred Wegener Institute, Helmholtz Centre for Polar &amp; Marine Research</t>
  </si>
  <si>
    <t>McIntyre, T (corresponding author), Univ Pretoria, Dept Zool &amp; Entomol, Mammal Res Inst, Private Bag X20, ZA-0028 Hatfield, South Africa.</t>
  </si>
  <si>
    <t>tmcintyre@zoology.up.ac.za</t>
  </si>
  <si>
    <t>de Bruyn, P. J. Nico/E-4176-2010; Bester, Marthán N/E-5387-2010; McIntyre, Trevor/E-6846-2010</t>
  </si>
  <si>
    <t>de Bruyn, P. J. Nico/0000-0002-9114-9569; McIntyre, Trevor/0000-0001-8395-7550</t>
  </si>
  <si>
    <t>Department of Science and Technology through the National Research Foundation (South Africa); South African National Antarctic Programme; Alfred-Wegener-Institut Helmholtz-Zentrum fur Polar und Meeresforschung (Germany)</t>
  </si>
  <si>
    <t>We are particularly indebted to a number of field assistants who contributed to the instrumenting of focal animals, especially Chris Oosthuizen, Ryan Reisinger, Mia Wege, Martin Postma, Derek van der Merwe, Jean Purdon, Nico Lubcker and Wiam Haddad. The Department of Science and Technology through the National Research Foundation (South Africa), the South African National Antarctic Programme and the Alfred-Wegener-Institut Helmholtz-Zentrum fur Polar und Meeresforschung (Germany) provided financial and logistical support. The study further benefited from the Marine Mammals Exploring the Oceans Pole to Pole (MEOP) activity under the International Polar Year. We also thank two anonymous referees for their constructive comments that helped improve the manuscript.</t>
  </si>
  <si>
    <t>0003-3472</t>
  </si>
  <si>
    <t>1095-8282</t>
  </si>
  <si>
    <t>ANIM BEHAV</t>
  </si>
  <si>
    <t>Anim. Behav.</t>
  </si>
  <si>
    <t>10.1016/j.anbehav.2017.03.006</t>
  </si>
  <si>
    <t>Behavioral Sciences; Zoology</t>
  </si>
  <si>
    <t>EW7OD</t>
  </si>
  <si>
    <t>WOS:000402702900011</t>
  </si>
  <si>
    <t>Skladnev, DA; Sorokin, VV; Gal'chenko, VF</t>
  </si>
  <si>
    <t>Skladnev, D. A.; Sorokin, V. V.; Gal'chenko, V. F.</t>
  </si>
  <si>
    <t>Formation of Silver Nanoparticles in Water Samples from Antarctic Lake Untersee</t>
  </si>
  <si>
    <t>MICROBIOLOGY</t>
  </si>
  <si>
    <t>Antarctic subglacial Lake Untersee; microbial communities; nanoparticles of reduced silver; OBNG (Observation of Biogenic Nanoparticles Growth)</t>
  </si>
  <si>
    <t>METAL NANOPARTICLES; MASS-SPECTROMETRY; BACTERIA; MICROORGANISMS</t>
  </si>
  <si>
    <t>Comparative integral assessment of the biological characteristics of the water samples of ice-covered Antarctic Lake Untersee was carried out using a new nanobiotechnological approach based on registration of biogenic nanoparticles of reduced silver Ag-0. Formation of reduced silver nanoparticles occurred in all samples containing aboriginal microorganisms, while nanoparticles were not formed in the samples from which bacterial cells were removed. Size distribution of biogenic silver nanoparticles varied in the samples from five water horizons. The method proposed provides for rapid detection of live microbiological objects in the samples by detection of formation of biogenic nanoparticles of reduced silver. The method was termed OBNG (Observation of Biogenic Nanoparticles Growth).</t>
  </si>
  <si>
    <t>[Skladnev, D. A.; Sorokin, V. V.; Gal'chenko, V. F.] Russian Acad Sci, Winogradsky Inst Microbiol, Res Ctr Biotechnol, Moscow, Russia</t>
  </si>
  <si>
    <t>Research Center of Biotechnology RAS; Russian Academy of Sciences</t>
  </si>
  <si>
    <t>Skladnev, DA (corresponding author), Russian Acad Sci, Winogradsky Inst Microbiol, Res Ctr Biotechnol, Moscow, Russia.</t>
  </si>
  <si>
    <t>skladda@gmail.com</t>
  </si>
  <si>
    <t>Sorokin, Vladimir/0000-0002-4166-3105</t>
  </si>
  <si>
    <t>Russian Foundation for Basic Research [15-05-04106, 14-04-01645]</t>
  </si>
  <si>
    <t>Russian Foundation for Basic Research(Russian Foundation for Basic Research (RFBR)Spanish Government)</t>
  </si>
  <si>
    <t>The work was supported by the Russian Foundation for Basic Research, projects nos. 15-05-04106 and 14-04-01645. The authors are thankful to Dr. Dale Andersen (Climate Science and Geoscience, Carl Sagan Center, United States) for his assistance in organizing of water sampling from Antarctic subglacial Lake Untersee.</t>
  </si>
  <si>
    <t>0026-2617</t>
  </si>
  <si>
    <t>1608-3237</t>
  </si>
  <si>
    <t>MICROBIOLOGY+</t>
  </si>
  <si>
    <t>10.1134/S002626171703016X</t>
  </si>
  <si>
    <t>EW9IB</t>
  </si>
  <si>
    <t>WOS:000402830500007</t>
  </si>
  <si>
    <t>Millar, P</t>
  </si>
  <si>
    <t>Millar, Pat</t>
  </si>
  <si>
    <t>The tension between emotive/aesthetic and analytic/scientific motifs in the work of amateur visual documenters of Antarctica's Heroic Era</t>
  </si>
  <si>
    <t>POLAR RECORD</t>
  </si>
  <si>
    <t>Visual documenters made a major contribution to the recording of the Heroic Era of Antarctic exploration. By far the best known were the professional photographers, Herbert Ponting and Frank Hurley, hired to photograph British and Australasian expeditions. But a great number of images - photographs and artworks - were also produced by amateurs on lesser known European expeditions and a Japanese one. These amateurs were sometimes designated official illustrators, often scientists recording their research. This paper offers a discursive examination of illustrations from the Belgian Antarctic Expedition (1897-1899), German Deep Sea Expedition (1898-1899), German South Polar Expedition (1901-1903), Swedish South Polar Expedition (1901-1903), French Antarctic Expedition (1903-1905) and Japanese Antarctic Expedition (1910-1912), assessing their representations of exploration in Antarctica in terms of the tension between emotive/aesthetic and systematic analytic/scientific motifs. Their depictions were influenced by their illustrative skills and their ways of seeing', produced from their backgrounds and the sponsorship needs of the expedition.</t>
  </si>
  <si>
    <t>[Millar, Pat] Univ Tasmania, Hobart, Tas, Australia</t>
  </si>
  <si>
    <t>Millar, P (corresponding author), Univ Tasmania, Hobart, Tas, Australia.</t>
  </si>
  <si>
    <t>Patricia.Millar@utas.edu.au</t>
  </si>
  <si>
    <t>Millar, Patricia/0000-0002-9110-6809</t>
  </si>
  <si>
    <t>0032-2474</t>
  </si>
  <si>
    <t>1475-3057</t>
  </si>
  <si>
    <t>POLAR REC</t>
  </si>
  <si>
    <t>POLAR REC.</t>
  </si>
  <si>
    <t>10.1017/S003224741700002X</t>
  </si>
  <si>
    <t>Science Citation Index Expanded (SCI-EXPANDED); Social Science Citation Index (SSCI)</t>
  </si>
  <si>
    <t>EW9BS</t>
  </si>
  <si>
    <t>WOS:000402812400002</t>
  </si>
  <si>
    <t>Halici, MG; Güllü, M; Parnikoza, I</t>
  </si>
  <si>
    <t>Halici, Mehmet Gokhan; Gullu, Mithat; Parnikoza, Ivan</t>
  </si>
  <si>
    <t>Sagediopsis bayozturkii sp nov on the lichen Acarospora macrocyclos from Antarctica with a key to the known species of the genus (Ascomycota, Adelococcaceae)</t>
  </si>
  <si>
    <t>LICHENICOLOUS FUNGI</t>
  </si>
  <si>
    <t>Sagediopsis bayozturkii, a lichenicolous fungus growing on Antarctic endemic species Acarospora macrocyclos, is described as new to science from three collections made at 65 degrees south in the Argentine Islands (Graham Land, maritime Antarctica). The fungus has a distinct internal apical beak in the ascus and ellipsoid three-septate ascospores; therefore, it is the member of Sagediopsis subgenus Hawksworthiella. Morphologically and anatomically S. bayozturkii is most similar to S. campsteriana and S. pertusariicola, which are confined to the lichen hosts Ochrolechia spp. and Pertusaria spp., respectively. In addition to having different hosts, S. bayozturkii differs from these two species by having smaller ascomata and shorter ascospores. Its similarities to other species of the genus are discussed, and an artificial key based on the published descriptions of the ten species now known in the genus Sagediopsis is presented.</t>
  </si>
  <si>
    <t>[Halici, Mehmet Gokhan; Gullu, Mithat] Univ Erciyes, Dept Biol, Fac Sci, Kayseri, Turkey; [Parnikoza, Ivan] Natl Acad Sci Ukraine, Inst Mol Biol &amp; Genet, Acad Zabolotnogo Str 150, UA-03680 Kiev, Ukraine</t>
  </si>
  <si>
    <t>Erciyes University; National Academy of Sciences Ukraine; Institute of Molecular Biology &amp; Genetics of NASU</t>
  </si>
  <si>
    <t>Halici, MG (corresponding author), Univ Erciyes, Dept Biol, Fac Sci, Kayseri, Turkey.</t>
  </si>
  <si>
    <t>mghalici@gmail.com</t>
  </si>
  <si>
    <t>Parnikoza, Ivan/I-2398-2016</t>
  </si>
  <si>
    <t>Erciyes University [FBA-2015-5995]</t>
  </si>
  <si>
    <t>Erciyes University(Erciyes University)</t>
  </si>
  <si>
    <t>This study was part of a collaboration between the First Turkish and 21st Ukrainian Antarctic Research Expeditions supported by the FBA-2015-5995 coded Erciyes University project. The Turkish expedition leader Prof Dr Bayram Ozturk (Istanbul University) and the National Antarctic Scientific Centre of Ukraine according to the national science-technical programme of Antarctic studies in 2011-2020 are thanked for this joint expedition and for their friendly help.</t>
  </si>
  <si>
    <t>10.1017/S0032247417000043</t>
  </si>
  <si>
    <t>WOS:000402812400004</t>
  </si>
  <si>
    <t>Skinner, GD</t>
  </si>
  <si>
    <t>Skinner, George David</t>
  </si>
  <si>
    <t>Some reflections on Stoker William Lashly, AM, RN on the 150th anniversary of his birth</t>
  </si>
  <si>
    <t>On the 150th anniversary of the birth of William Lashly, this paper explores what may be deduced about this stoker, who accompanied Scott on both his expeditions, from archived unpublished correspondence and artefacts. It draws particularly on letters he wrote to Reginald Skelton and Robert Gibbings and concludes that Lashly, in addition to being a physically strong member of Scott's teams, was also a thoughtful and perceptive man with the ability to report and reflect beyond what might have been expected of someone of his background and education. Though modest, Lashly was proud of what the he and his colleagues had achieved and remained an enthusiast for Antarctic matters all his life.</t>
  </si>
  <si>
    <t>[Skinner, George David] Rowans, 3 Church St, Belmont BL7 8AB, Lancs, England</t>
  </si>
  <si>
    <t>Skinner, GD (corresponding author), Rowans, 3 Church St, Belmont BL7 8AB, Lancs, England.</t>
  </si>
  <si>
    <t>geoskin47@gmail.com</t>
  </si>
  <si>
    <t>10.1017/S0032247417000146</t>
  </si>
  <si>
    <t>WOS:000402812400008</t>
  </si>
  <si>
    <t>Jaeschke, A; Wengler, M; Hefter, J; Ronge, TA; Geibert, W; Mollenhauer, G; Gersonde, R; Lamy, F</t>
  </si>
  <si>
    <t>Jaeschke, Andrea; Wengler, Marc; Hefter, Jens; Ronge, Thomas A.; Geibert, Walter; Mollenhauer, Gesine; Gersonde, Rainer; Lamy, Frank</t>
  </si>
  <si>
    <t>A biomarker perspective on dust, productivity, and sea surface temperature in the Pacific sector of the Southern Ocean</t>
  </si>
  <si>
    <t>Biomarkers; Southern Ocean; Dust; Th-230; GDGT; U-37(K'); TEX86</t>
  </si>
  <si>
    <t>DIALKYL GLYCEROL TETRAETHERS; MEMBRANE-LIPIDS; ORGANIC-MATTER; ARCHAEAL DIVERSITY; SINKING PARTICLES; SUBTROPICAL FRONT; WESTERN PACIFIC; STABLE CARBON; NEW-ZEALAND; TEX86</t>
  </si>
  <si>
    <t>In this study, we present a new multiproxy data set of terrigenous input, marine productivity and sea surface temperature (SST) from 52 surface sediment samples collected along E-W transects in the Pacific sector of the Southern Ocean. Allochthonous terrigenous input was characterized by the distribution of plant wax n-alkanes and soil-derived branched glycerol dialkyl glycerol tetraethers (brGDGTs). Th-230-normalized burial of both compound groups were highest close to the potential sources in Australia and New Zealand and are strongly related to lithogenic contents (Th-232), indicating common sources and transport. Detection of both long-chain n-alkanes and brGDGTs at the most remote sites in the open ocean strongly suggests a primarily eolian transport mechanism to at least 110 degrees W, i.e. by prevailing westerly winds. Two independent organic SST proxies were used, the U-37(K') based on alkenones, and the TEX86 based on isoprenoid GDGTs. Both, U-37(K') and TEX86 indices show robust relationships with temperature over a temperature range between 0.5 and 20 degrees C, likely implying different seasonal and regional imprints on the temperature signal. Alkenone-based temperature estimates best reflect modern summer SST in the study area when using the polar calibration of Sikes et al. (1997). In contrast, TEX86-derived temperatures may reflect a subsurface signal rather than surface. Th-230-normalized burial of alkenones is highest close to the Subtropical Front and is positively related to the deposition of lithogenic material throughout the study area. In contrast, highest isoGDGT burial south of the Antarctic Polar Front may be largely controlled by diatom blooms, and thus high opal fluxes during austral summer. (C) 2017 Elsevier Ltd. All rights reserved.</t>
  </si>
  <si>
    <t>[Jaeschke, Andrea; Wengler, Marc; Hefter, Jens; Ronge, Thomas A.; Geibert, Walter; Mollenhauer, Gesine; Gersonde, Rainer; Lamy, Frank] Helmholtz Ctr Polar &amp; Marine Res, Alfred Wegener Inst, D-27515 Bremerhaven, Germany; [Jaeschke, Andrea; Wengler, Marc; Mollenhauer, Gesine; Gersonde, Rainer; Lamy, Frank] Univ Bremen, MARUM Ctr Marine Environm Sci, D-28334 Bremen, Germany</t>
  </si>
  <si>
    <t>Jaeschke, A (corresponding author), Univ Cologne, Inst Geol &amp; Mineral, Zulpicher Str 49A, D-50674 Cologne, Germany.</t>
  </si>
  <si>
    <t>andrea.jaeschke@uni-koeln.de</t>
  </si>
  <si>
    <t>Mollenhauer, Gesine/AAD-8167-2019; Jaeschke, Andrea/B-8799-2017; Geibert, Walter/ABA-9785-2020; Lamy, Frank/H-3611-2014</t>
  </si>
  <si>
    <t>Mollenhauer, Gesine/0000-0001-5138-564X; Jaeschke, Andrea/0000-0003-2518-2739; Geibert, Walter/0000-0001-8646-2334; Ronge, Thomas/0000-0003-2625-719X; Lamy, Frank/0000-0001-5952-1765</t>
  </si>
  <si>
    <t>AWI Helmholtz-Zentrum fur Polar- und Meeresforschung; MARUM-Center for Marine Environmental Sciences; Deutsche Forschungsgemeinschaft (DFG) [SPP1158, RO5057/1-1]</t>
  </si>
  <si>
    <t>AWI Helmholtz-Zentrum fur Polar- und Meeresforschung; MARUM-Center for Marine Environmental Sciences; Deutsche Forschungsgemeinschaft (DFG)(German Research Foundation (DFG))</t>
  </si>
  <si>
    <t>We would like to thank chief scientists, crews, and participants of R/V Polarstern (ANT-XXVI/2) and R/V Sonne (SO213) for their support. We are grateful to Ralf Tiedemann for providing surface sediments for this study. We thank Samuel Albani for sharing his latest dust model data. Kirsten Fahl and Walter Luttmer are thanked for precious lab support. We acknowledge financial support for this work through the AWI Helmholtz-Zentrum fur Polar- und Meeresforschung and the MARUM-Center for Marine Environmental Sciences. TAR was funded by Deutsche Forschungsgemeinschaft (DFG) SPP1158 project RO5057/1-1. We thank the associate editor Elizabeth Canuel and three anonymous reviewers for their constructive comments, which greatly improved the quality of this manuscript.</t>
  </si>
  <si>
    <t>10.1016/j.gca.2017.01.045</t>
  </si>
  <si>
    <t>EW4QX</t>
  </si>
  <si>
    <t>WOS:000402487100008</t>
  </si>
  <si>
    <t>Wilson, DJ; van de Flierdt, T; Adkins, JF</t>
  </si>
  <si>
    <t>Wilson, David J.; van de Flierdt, Tina; Adkins, Jess F.</t>
  </si>
  <si>
    <t>Lead isotopes in deep-sea coral skeletons: Ground-truthing and a first deglacial Southern Ocean record</t>
  </si>
  <si>
    <t>Southern Ocean; Tasmania; Deglaciation; Climate change; Ocean circulation; Weathering; Isotope tracers; Pb isotopes; Deep-sea corals</t>
  </si>
  <si>
    <t>INDIAN-OCEAN; ANTHROPOGENIC LEAD; NORTH-ATLANTIC; SOUTHWEST PACIFIC; PB ISOTOPES; INTERMEDIATE WATER; RIVERINE PLAIN; CIRCULATION; NEODYMIUM; SEAWATER</t>
  </si>
  <si>
    <t>Past changes in seawater lead (Pb) isotopes record the temporal evolution of anthropogenic pollution, continental weathering inputs, and ocean current transport. To advance our ability to reconstruct this signature, we present methodological developments that allow us to make precise and accurate Pb isotope measurements on deep-sea coral aragonite, and apply our approach to generate the first Pb isotope record for the glacial to deglacial mid-depth Southern Ocean. Our refined methodology includes a two-step anion exchange chemistry procedure and measurement using a Pb-207-Pb-204 double spike on a Thermo Finnigan Triton TIMS instrument. By employing a 10(12) Omega resistor (in place of a 10(11) Omega resistor) to measure the low-abundance Pb-204 ion beam, we improve the internal precision on Pb-206,Pb-207,Pb-208/Pb-204 for a 2 ng load of NIST-SRM-Pb-981 from typically similar to 420 ppm to similar to 230 ppm (2 s.e.), and the long term external reproducibility from similar to 950 ppm to similar to 550 ppm (2 s.d.). Furthermore, for a typical 500 mg coral sample with low Pb concentrations (similar to 6-10 ppb yielding similar to 3-5 ng Pb for analysis), we obtain a comparable internal precision of similar to 150-250 ppm for Pb-206,Pb-207,Pb-208/Pb-204, indicating a good sensitivity for tracing natural Pb sources to the oceans. Successful extraction of a seawater signal from deep-sea coral aragonite further relies on careful physical and chemical cleaning steps, which are necessary to remove anthropogenic Pb contaminants and obtain results that are consistent with ferromanganese crusts. Applying our approach to a collection of late glacial and deglacial corals (similar to 12-40 ka BP) from south of Tasmania at similar to 1.4-1.7 km water depth, we generated the first intermediate water Pb isotope record from the Southern Ocean. That record reveals millennial timescale variability, controlled by binary mixing between two Pb sources, but no distinct glacialinterglacial Pb isotope shift. Mixing between natural endmembers is fully consistent with our data and points to a persistence of the same Pb sources through time, although we cannot rule out a minor influence from recent anthropogenic Pb. Whereas neodymium (Nd) isotopes in the Southern Ocean respond to global ocean circulation changes between glacial and interglacial periods, Pb isotopes record more localised mixing within the Antarctic Circumpolar Current, potentially further modulated by climate through changing terrestrial inputs from southern Africa or Australia. Such decoupling between Pb and Nd isotopes in the Southern Ocean highlights their potential to provide complementary insights into past oceanographic variability. Keywords: Southern Ocean; Tasmania; Deglaciation; Climate change; Ocean circulation; Weathering; Isotope tracers; Pb isotopes; Deep-sea corals (C) 2017 The Author(s). Published by Elsevier Ltd.</t>
  </si>
  <si>
    <t>[Wilson, David J.; van de Flierdt, Tina] Imperial Coll London, Dept Earth Sci &amp; Engn, London SW7 2AZ, England; [Adkins, Jess F.] CALTECH, Caltech Div Geol &amp; Planetary Sci, MS 131-24, Pasadena, CA 91125 USA</t>
  </si>
  <si>
    <t>Imperial College London; California Institute of Technology</t>
  </si>
  <si>
    <t>Wilson, DJ (corresponding author), Imperial Coll London, Dept Earth Sci &amp; Engn, London SW7 2AZ, England.</t>
  </si>
  <si>
    <t>david.wilson1@imperial.ac.uk</t>
  </si>
  <si>
    <t>Adkins, Jess/GYI-8778-2022; Wilson, David/ITV-6768-2023; Wilson, David/AAA-9939-2019</t>
  </si>
  <si>
    <t>Wilson, David/0000-0003-2786-4688; Wilson, David/0000-0003-2786-4688</t>
  </si>
  <si>
    <t>Leverhulme Trust [RPG-398]; NERC [NE/N001141/1]; NERC [NE/F016751/1, NE/N001141/1] Funding Source: UKRI; Natural Environment Research Council [NE/F016751/1, NE/N001141/1] Funding Source: researchfish</t>
  </si>
  <si>
    <t>Leverhulme Trust(Leverhulme Trust); NERC(UK Research &amp; Innovation (UKRI)Natural Environment Research Council (NERC)); NERC(UK Research &amp; Innovation (UKRI)Natural Environment Research Council (NERC)); Natural Environment Research Council(UK Research &amp; Innovation (UKRI)Natural Environment Research Council (NERC))</t>
  </si>
  <si>
    <t>This study was supported by Leverhulme Trust grant RPG-398 to TvdF, and NERC grant NE/N001141/1 to TvdF and DJW. We are very grateful to Sophia Hines for assistance with sampling from the Caltech coral collection and for providing published and unpublished U-Th ages: Luke Bridgestock for providing some of the NIST-SRM-981 standard data measured on the 1011 Omega resistor: Kirsty Crocket for supplying the coral powder used to prepare the in-house coral Pb standard: and Maxence Paul for establishing the double spike TIMS method at Imperial and for his initial efforts during installation of the 1012 Omega resistor. Katharina Kreissig and Barry Coles provided invaluable maintenance of the MAGIC clean labs and mass spectrometers. We further appreciate careful and thoughtful reviews from Wafa Abouchami, Ed Boyle and Marcus Gutjahr, and editorial handling by Claudine Stirling.</t>
  </si>
  <si>
    <t>10.1016/j.gca.2017.01.052</t>
  </si>
  <si>
    <t>WOS:000402487100021</t>
  </si>
  <si>
    <t>Chai, C; Ammon, CJ; Anandakrishnan, S; Ramirez, C; Nyblade, A</t>
  </si>
  <si>
    <t>Chai, C.; Ammon, C. J.; Anandakrishnan, S.; Ramirez, C.; Nyblade, A.</t>
  </si>
  <si>
    <t>Estimating subglacial structure using P-wave receiver functions</t>
  </si>
  <si>
    <t>Antarctica; Arctic region; Waveform inversion; Crustal imaging; Wave propagation</t>
  </si>
  <si>
    <t>ANTARCTIC RIFT SYSTEM; UPPER-MANTLE STRUCTURE; WHILLANS ICE STREAM; CRUSTAL STRUCTURE; VELOCITY STRUCTURE; NEIGHBORHOOD ALGORITHM; GEOPHYSICAL INVERSION; SOUTHERN CALIFORNIA; FIELD CONTINUATION; CONTINENTAL-CRUST</t>
  </si>
  <si>
    <t>Reverberations of teleseismic compressional (P-) waves within a glacier or ice sheet may mask signals associated with crustal structure beneath the ice. We remove the signal associated with the ice from teleseismic P-waves using a wavefield downward continuation and decomposition technique that depends on known ice layer properties such as ice thickness, velocity, and attenuation. We test the method using data from nine stations in Antarctica and one station in Greenland. We deconvolve the downward-continued seismic wave vectors to create P-wave receiver functions that minimize the ice-layer reverberations in order to better measure signals from deeper structures. The subsurface P-wave receiver functions have similar sensitivities to crustal structure as those calculated from stations installed on bedrock. Synthetic experiments indicate subsurface P-wave receiver functions can constrain crustal structure more tightly than surface P-wave receiver functions when ice layer properties are known. We model the subsurface P-wave receiver functions using a Markov chain Monte Carlo inversion and constrain the product of crustal thickness and the column-average crustal-slowness beneath the stations. Our subglacial shear speed and thickness estimates are consistent with previous investigations at most stations. At station SUMG in south-central Greenland, our results suggest a thicker crust than from previous estimates.</t>
  </si>
  <si>
    <t>[Chai, C.; Ammon, C. J.; Anandakrishnan, S.; Ramirez, C.; Nyblade, A.] Penn State Univ, Dept Geosci, University Pk, PA 16802 USA</t>
  </si>
  <si>
    <t>Pennsylvania Commonwealth System of Higher Education (PCSHE); Pennsylvania State University; Pennsylvania State University - University Park</t>
  </si>
  <si>
    <t>Chai, C (corresponding author), Penn State Univ, Dept Geosci, University Pk, PA 16802 USA.</t>
  </si>
  <si>
    <t>cchai@psu.edu</t>
  </si>
  <si>
    <t>Anandakrishnan, Sridhar/JCN-5026-2023; Chai, Chengping/AAL-9670-2021</t>
  </si>
  <si>
    <t>Chai, Chengping/0000-0002-6792-6014</t>
  </si>
  <si>
    <t>U.S. National Science Foundation [EAR-1053484]; POLENET-NAET program [0632230, 0632239, 0652322, 0632335, 0632136, 0632209, 0632185]; Seismological Facilities for the Advancement of Geoscience and EarthScope (SAGE) Proposal of the National Science Foundation [EAR-1261681]; Office of Polar Programs (OPP); Directorate For Geosciences [1246776] Funding Source: National Science Foundation</t>
  </si>
  <si>
    <t>U.S. National Science Foundation(National Science Foundation (NSF)); POLENET-NAET program; Seismological Facilities for the Advancement of Geoscience and EarthScope (SAGE) Proposal of the National Science Foundation(National Science Foundation (NSF)NSF - Directorate for Geosciences (GEO)); Office of Polar Programs (OPP); Directorate For Geosciences(National Science Foundation (NSF)NSF - Directorate for Geosciences (GEO))</t>
  </si>
  <si>
    <t>We thank editor Lapo Boschi and two anonymous reviewers for their constructive criticism to greatly improve the manuscript. The U.S. National Science Foundation supported this work through the grant EAR-1053484. The NSF Office of Polar Programs grants 0632230, 0632239, 0652322, 0632335, 0632136, 0632209 and 0632185 support the POLENET-NAET program that collected most of the data used in this work. We thank the Pennsylvania State University for providing computing resources though Lion-X clusters that were used for our data processing. The facilities of IRIS Data Services, and specifically the IRIS Data Management Center, were used for access to waveforms, related meta data, and/or derived products used in this study. IRIS Data Services are funded through the Seismological Facilities for the Advancement of Geoscience and EarthScope (SAGE) Proposal of the National Science Foundation under Cooperative Agreement EAR-1261681.</t>
  </si>
  <si>
    <t>10.1093/gji/ggx075</t>
  </si>
  <si>
    <t>EW6SW</t>
  </si>
  <si>
    <t>WOS:000402641600040</t>
  </si>
  <si>
    <t>Caron, L; Métivier, L; Greff-Lefftz, M; Fleitout, L; Rouby, H</t>
  </si>
  <si>
    <t>Caron, L.; Metivier, L.; Greff-Lefftz, M.; Fleitout, L.; Rouby, H.</t>
  </si>
  <si>
    <t>Inverting Glacial Isostatic Adjustment signal using Bayesian framework and two linearly relaxing rheologies</t>
  </si>
  <si>
    <t>Gravity anomalies and Earth structure; Sea level change; Transient deformation; Probability distributions; Dynamics of lithosphere and mantle; Rheology: mantle</t>
  </si>
  <si>
    <t>SEA-LEVEL CHANGE; ANTARCTIC ICE-SHEET; MANTLE VISCOSITY; LATE PLEISTOCENE; JOINT INVERSION; GRAVITY GRADIENTS; MELTING HISTORY; MODEL; EARTH; DEFORMATION</t>
  </si>
  <si>
    <t>Glacial Isostatic Adjustment (GIA) models commonly assume a mantle with a viscoelastic Maxwell rheology and a fixed ice history model. Here, we use a Bayesian Monte Carlo approach with a Markov chain formalism to invert the global GIA signal simultaneously for the mechanical properties of the mantle and the volumes of the ice sheets, using as starting ice models two previously published ice histories. Two stress relaxing rheologies are considered: Burgers and Maxwell linear viscoelasticities. A total of 5720 global palaeo sea level records are used, covering the last 35 kyr. Our goal is not only to seek the model best fitting this data set, but also to determine and display the range of possible solutions with their respective probability of explaining the data. In all cases, our a posteriori probability maps exhibit the classic character of solutions for GIA-determined mantle viscosity with two distinct peaks. What is new in our treatment is the presence of the bi-viscous Burgers rheology and the fact that we invert rheology jointly with ice history, in combination with the greatly expanded palaeo sea level records. The solutions tend to be characterized by an upper-mantle viscosity of around 5 x 10(20) Pa s with one preferred lower-mantle viscosities at 3 x 10(21) Pa s and the other more than 2x10(22) Pa s, a rather classical pairing. Best-fitting models depend upon the starting ice history and the stress relaxing law. A first peak (P1) has the highest probability only in the case with a Maxwell rheology and ice history based on ICE-5G, while the second peak (P2) is favoured for ANU-based ice history or Burgers stress relaxation. The latter solution also may satisfy lower-mantle viscosity inferences from long-term geodynamics and gravity gradient anomalies over Laurentia. P2 is also consistent with large Laurentian and Fennoscandian ice-sheet volumes at the Last Glacial Maximum (LGM) and smaller LGM Antarctic ice volume than in either ICE-5G or ANU. Exploration of a bi-viscous linear relaxing rheology in GIA now seems logical due to a new set of requirements to satisfy observations of transient post-seismic flow seen so ubiquitously in space gravimetry and other global geodetic data.</t>
  </si>
  <si>
    <t>[Caron, L.; Greff-Lefftz, M.] Univ Paris Diderot, Sorbonne Paris Cite, Inst Phys Globe Paris, CNRS,UMR 7154, 1 Rue Jussieu, F-75238 Paris 05, France; [Metivier, L.; Rouby, H.] LAREG, Inst Geog Natl, 6-8 Ave Blaise Pascal, F-77455 Marne La Vallee, France; [Fleitout, L.] PSL Res Univ, Ecole Normale Super, F-75005 Paris, France; [Fleitout, L.] PSL Res Univ, CNRS, UMR8538, F-75005 Paris, France; [Caron, L.] CALTECH, Jet Prop Lab, 4800 Oak Grove Dr MS 300-323, Pasadena, CA 91109 USA</t>
  </si>
  <si>
    <t>Centre National de la Recherche Scientifique (CNRS); CNRS - National Institute for Earth Sciences &amp; Astronomy (INSU); Universite Paris Cite; Universite Gustave-Eiffel; Universite PSL; Ecole Normale Superieure (ENS); Centre National de la Recherche Scientifique (CNRS); CNRS - National Institute for Earth Sciences &amp; Astronomy (INSU); Universite PSL; California Institute of Technology; National Aeronautics &amp; Space Administration (NASA); NASA Jet Propulsion Laboratory (JPL)</t>
  </si>
  <si>
    <t>Caron, L (corresponding author), Univ Paris Diderot, Sorbonne Paris Cite, Inst Phys Globe Paris, CNRS,UMR 7154, 1 Rue Jussieu, F-75238 Paris 05, France.;Caron, L (corresponding author), CALTECH, Jet Prop Lab, 4800 Oak Grove Dr MS 300-323, Pasadena, CA 91109 USA.</t>
  </si>
  <si>
    <t>caron@ipgp.fr</t>
  </si>
  <si>
    <t>Greff, Marianne/A-6126-2011; Métivier, Laurent/A-5003-2011; Caron, Lambert/AAO-9863-2021</t>
  </si>
  <si>
    <t>Métivier, Laurent/0000-0002-7756-5232; Fleitout, Luce/0000-0003-1114-3616</t>
  </si>
  <si>
    <t>CNES (Centre National d'Etudes Spatiales) [3827]</t>
  </si>
  <si>
    <t>CNES (Centre National d'Etudes Spatiales)(Centre National D'etudes Spatiales)</t>
  </si>
  <si>
    <t>The computations involving spherical harmonics have been performed by means of program SHTOOLS (Wieczorek et al. 2016). This work is supported by the CNES (Centre National d'Etudes Spatiales) through the TOSCA committee and constitutes IPGP contribution no. 3827.</t>
  </si>
  <si>
    <t>10.1093/gji/ggx083</t>
  </si>
  <si>
    <t>WOS:000402641600045</t>
  </si>
  <si>
    <t>Petford, N; Mirhadizadeh, S</t>
  </si>
  <si>
    <t>Petford, Nick; Mirhadizadeh, Seyed</t>
  </si>
  <si>
    <t>Image-based modelling of lateral magma flow: the Basement Sill, Antarctica</t>
  </si>
  <si>
    <t>ROYAL SOCIETY OPEN SCIENCE</t>
  </si>
  <si>
    <t>magma; Antarctica; igneous intrusion; fluid dynamics; rheology</t>
  </si>
  <si>
    <t>LARGE IGNEOUS PROVINCE; SILICATE LIQUIDS; RHEOLOGY; PROPAGATION; VISCOSITY; EMPLACEMENT; CONVECTION; TRANSPORT; DYNAMICS; ASCENT</t>
  </si>
  <si>
    <t>The McMurdo Dry Valleys magmatic system, Antarctica, provides a world-class example of pervasive lateral magma flow on a continental scale. The lowermost intrusion (Basement Sill) offers detailed sections through the now frozen particle microstructure of a congested magma slurry. We simulated the flow regime in two and three dimensions using numerical models built on a finite-element mesh derived from field data. The model captures the flow behaviour of the Basement Sill magma over a viscosity range of 1-10(4) Pa s where the higher end (greater than or equal to 10(2) Pa s) corresponds to a magmatic slurry with crystal fractions varying between 30 and 70%. A novel feature of the model is the discovery of transient, low viscosity (less than or equal to 50 Pa s) high Reynolds number eddies formed along undulating contacts at the floor and roof of the intrusion. Numerical tracing of particle orbits implies crystals trapped in eddies segregate according to their mass density. Recovered shear strain rates (10(-3)-10(-5) s(-1)) at viscosities equating to high particle concentrations (around more than 40%) in the Sill interior point to shear-thinning as an explanation for some types of magmatic layering there. Model transport rates for the Sill magmas imply a maximum emplacement time of ca 10(5) years, consistent with geochemical evidence for long-range lateral flow. It is a theoretically possibility that fast-flowing magma on a continental scale will be susceptible to planetary-scale rotational forces.</t>
  </si>
  <si>
    <t>[Petford, Nick; Mirhadizadeh, Seyed] Univ Northampton, Fac Arts Sci &amp; Technol, Northampton, England</t>
  </si>
  <si>
    <t>University of Northampton</t>
  </si>
  <si>
    <t>Petford, N (corresponding author), Univ Northampton, Fac Arts Sci &amp; Technol, Northampton, England.</t>
  </si>
  <si>
    <t>nick.petford@northampton.ac.uk</t>
  </si>
  <si>
    <t>petford, nick/0000-0002-9828-3816</t>
  </si>
  <si>
    <t>National Science Foundation; United States Antarctic Programme</t>
  </si>
  <si>
    <t>National Science Foundation(National Science Foundation (NSF)); United States Antarctic Programme</t>
  </si>
  <si>
    <t>N.P. thanks the National Science Foundation, United States Antarctic Programme and Johns Hopkins University for travel support.</t>
  </si>
  <si>
    <t>ROYAL SOC</t>
  </si>
  <si>
    <t>6-9 CARLTON HOUSE TERRACE, LONDON SW1Y 5AG, ENGLAND</t>
  </si>
  <si>
    <t>2054-5703</t>
  </si>
  <si>
    <t>ROY SOC OPEN SCI</t>
  </si>
  <si>
    <t>R. Soc. Open Sci.</t>
  </si>
  <si>
    <t>10.1098/rsos.161083</t>
  </si>
  <si>
    <t>EW5JL</t>
  </si>
  <si>
    <t>gold, Green Accepted, Green Published</t>
  </si>
  <si>
    <t>WOS:000402541800019</t>
  </si>
  <si>
    <t>Svistov, PF; Pershina, NA; Pavlova, MT; Polishchuk, AI; Semenets, ES</t>
  </si>
  <si>
    <t>Svistov, P. F.; Pershina, N. A.; Pavlova, M. T.; Polishchuk, A. I.; Semenets, E. S.</t>
  </si>
  <si>
    <t>Chemical composition of Russian Arctic precipitation in 2007-2015</t>
  </si>
  <si>
    <t>RUSSIAN METEOROLOGY AND HYDROLOGY</t>
  </si>
  <si>
    <t>Natural conditions; precipitation; chemical composition; acidity; environment; wet deposition</t>
  </si>
  <si>
    <t>The results of observations of the chemical composition of precipitation in the Russian Arctic in 2007-2015 are summarized including the data from NP-35 drifting ice station obtained in 2007-2008 in the framework of the joint program of Arctic and Antarctic Research Institute and Voeikov Main Geophysical Observatory. The qualitative and quantitative difference in the chemical composition of precipitation in the Atlantic, Siberian, and Pacific sectors of the Russian Arctic is revealed. It is found that the concentration of microelements (heavy metals) in precipitation at NP-35 ice station did not exceed 12% of total ions at the lowest mineralization. The comparative analysis is presented of the concentration of sulfate ions in precipitation in Norilsk and at NP-35 ice stations.</t>
  </si>
  <si>
    <t>[Svistov, P. F.; Pershina, N. A.; Pavlova, M. T.; Polishchuk, A. I.; Semenets, E. S.] Voeikov Main Geophys Observ, Ul Karbysheva 7, St Petersburg 194021, Russia</t>
  </si>
  <si>
    <t>Polishchuk, AI (corresponding author), Voeikov Main Geophys Observ, Ul Karbysheva 7, St Petersburg 194021, Russia.</t>
  </si>
  <si>
    <t>polisch@main.mgo.rssi.ru</t>
  </si>
  <si>
    <t>ALLERTON PRESS INC</t>
  </si>
  <si>
    <t>18 WEST 27TH ST, NEW YORK, NY 10001 USA</t>
  </si>
  <si>
    <t>1068-3739</t>
  </si>
  <si>
    <t>1934-8096</t>
  </si>
  <si>
    <t>RUSS METEOROL HYDRO+</t>
  </si>
  <si>
    <t>Russ. Meteorol. Hydrol.</t>
  </si>
  <si>
    <t>10.3103/S1068373917050065</t>
  </si>
  <si>
    <t>EW8CU</t>
  </si>
  <si>
    <t>WOS:000402746600006</t>
  </si>
  <si>
    <t>Hashimoto, T; Nishimura, K; Tsutsumi, M; Sato, K; Sato, T</t>
  </si>
  <si>
    <t>Hashimoto, Taishi; Nishimura, Koji; Tsutsumi, Masaki; Sato, Kaoru; Sato, Toru</t>
  </si>
  <si>
    <t>A User Parameter-Free Diagonal-Loading Scheme for Clutter Rejection on Radar Wind Profilers</t>
  </si>
  <si>
    <t>JOURNAL OF ATMOSPHERIC AND OCEANIC TECHNOLOGY</t>
  </si>
  <si>
    <t>ALGORITHM; ARRAYS; GAIN</t>
  </si>
  <si>
    <t>This paper presents a novel method for the automatic determination of the diagonal-loading level for robust adaptive beamforming on radar wind profilers. This method balances the degradation of the signal-to-interference ratio with that of the signal-to-noise ratio to maximize the detectability of the backscattered signals. Because radial wind velocities are usually estimated from the first moment of the spectrum of backscattered echoes, both the residual ground clutter and any increase in noise level degrade the detectability of atmospheric echoes. The proposed algorithm evaluates the power spectral density of the residual clutter and increased noise to determine the optimal diagonal-loading level by balancing these two factors. The results of numerical simulation show that, without the need to specify any user parameters, the proposed algorithm is stable and more effective at maximizing the signal-to-interference ratio than the conventional norm-constrained diagonal-loading approach. The stability and clutter suppression capability of the proposed algorithm are examined using data from the Program of the Antarctic Syowa Mesosphere-Stratosphere-Troposphere/Incoherent Scatter Radar.</t>
  </si>
  <si>
    <t>[Hashimoto, Taishi; Sato, Toru] Kyoto Univ, Dept Commun &amp; Comp Engn, Kyoto, Japan; [Nishimura, Koji; Tsutsumi, Masaki] Natl Inst Polar Res, Tachikawa, Tokyo, Japan; [Sato, Kaoru] Univ Tokyo, Dept Earth &amp; Planetary Sci, Tokyo, Japan</t>
  </si>
  <si>
    <t>Kyoto University; Research Organization of Information &amp; Systems (ROIS); National Institute of Polar Research (NIPR) - Japan; University of Tokyo</t>
  </si>
  <si>
    <t>Hashimoto, T (corresponding author), Kyoto Univ, Dept Commun &amp; Comp Engn, Kyoto, Japan.</t>
  </si>
  <si>
    <t>hashimoto.taishi.45z@kyoto-u.jp</t>
  </si>
  <si>
    <t>Sato, Toru/F-3818-2012; Sato, Kaoru/E-1693-2012</t>
  </si>
  <si>
    <t>Hashimoto, Taishi/0000-0002-7082-9530; Sato, Kaoru/0000-0002-6225-6066</t>
  </si>
  <si>
    <t>0739-0572</t>
  </si>
  <si>
    <t>1520-0426</t>
  </si>
  <si>
    <t>J ATMOS OCEAN TECH</t>
  </si>
  <si>
    <t>J. Atmos. Ocean. Technol.</t>
  </si>
  <si>
    <t>10.1175/JTECH-D-16-0058.1</t>
  </si>
  <si>
    <t>Engineering, Ocean; Meteorology &amp; Atmospheric Sciences</t>
  </si>
  <si>
    <t>Engineering; Meteorology &amp; Atmospheric Sciences</t>
  </si>
  <si>
    <t>EV9AN</t>
  </si>
  <si>
    <t>WOS:000402077000012</t>
  </si>
  <si>
    <t>Nachtsheim, DA; Jerosch, K; Hagen, W; Plötz, J; Bornemann, H</t>
  </si>
  <si>
    <t>Nachtsheim, Dominik A.; Jerosch, Kerstin; Hagen, Wilhelm; Ploetz, Joachim; Bornemann, Horst</t>
  </si>
  <si>
    <t>Habitat modelling of crabeater seals (Lobodon carcinophaga) in the Weddell Sea using the multivariate approach Maxent</t>
  </si>
  <si>
    <t>Crabeater seal; Weddell Sea; Habitat modelling; Maxent; Species distribution; Foraging behaviour; Antarctic krill</t>
  </si>
  <si>
    <t>KRILL EUPHAUSIA-SUPERBA; PACK-ICE SEALS; ANTARCTIC KRILL; DIVING BEHAVIOR; SPECIES DISTRIBUTIONS; ENVIRONMENTAL-CHANGE; MARINE MAMMALS; LEOPARD SEALS; LONG-TERM; PATTERNS</t>
  </si>
  <si>
    <t>The crabeater seal (Lobodon carcinophaga) is the most abundant Antarctic seal and inhabits the circumpolar pack ice zone of the Southern Ocean. Until now, information on important environmental factors affecting its distribution as well as on foraging behaviour is limited. In austral summer 1998, 12 crabeater seals of both sexes and different age classes were equipped with satellite-linked dive recorders at Drescher Inlet (72.85A degrees S, 19.26A degrees E), eastern Weddell Sea. To identify suitable habitat conditions within the Weddell Sea, a maximum entropy (Maxent) modelling approach was implemented. The model revealed that the eastern and southern Weddell Sea is especially suitable for crabeater seals. Distance to the continental shelf break and sea ice concentration were the two most important parameters in modelling species distribution throughout the study period. Model predictions demonstrated that crabeater seals showed a dynamic response to their seasonally changing environment emphasized by the favoured sea ice conditions. Crabeater seals utilized ice-free waters substantially, which is potentially explained by the comparatively low sea ice cover of the Weddell Sea during summer 1998. Diving behaviour was characterized by short (&gt; 90 % = 0-4 min) and shallow (&gt; 90 % = 0-51 m) dives. This pattern reflects the typical summer and autumn foraging behaviour of crabeater seals. Both the distribution and foraging behaviour corresponded well with the life history of the Antarctic krill (Euphausia superba), the preferred prey of crabeater seals. In general, predicted suitable habitat conditions were congruent with probable habitats of krill, which emphasizes the strong dependence on their primary prey.</t>
  </si>
  <si>
    <t>[Nachtsheim, Dominik A.; Jerosch, Kerstin; Ploetz, Joachim; Bornemann, Horst] Alfred Wegener Inst Helmholtz Zentrum Polar &amp; Mee, Handelshafen 12, D-27570 Bremerhaven, Germany; [Nachtsheim, Dominik A.; Hagen, Wilhelm] Univ Bremen, BreMarE Bremen Marine Ecol, Marine Zool, POB 330440, D-28334 Bremen, Germany</t>
  </si>
  <si>
    <t>Nachtsheim, DA (corresponding author), Alfred Wegener Inst Helmholtz Zentrum Polar &amp; Mee, Handelshafen 12, D-27570 Bremerhaven, Germany.;Nachtsheim, DA (corresponding author), Univ Bremen, BreMarE Bremen Marine Ecol, Marine Zool, POB 330440, D-28334 Bremen, Germany.</t>
  </si>
  <si>
    <t>d.nachtsheim@outlook.de</t>
  </si>
  <si>
    <t>Jerosch, Kerstin/ABC-8913-2020</t>
  </si>
  <si>
    <t>Jerosch, Kerstin/0000-0003-0728-2154; Nachtsheim, Dominik Andre/0000-0002-1010-3527; Hagen, Wilhelm/0000-0002-7462-9931</t>
  </si>
  <si>
    <t>10.1007/s00300-016-2020-0</t>
  </si>
  <si>
    <t>EV9RT</t>
  </si>
  <si>
    <t>WOS:000402123800001</t>
  </si>
  <si>
    <t>Teufel, AG; Li, W; Kiss, AJ; Morgan-Kiss, RM</t>
  </si>
  <si>
    <t>Teufel, Amber G.; Li, Wei; Kiss, Andor J.; Morgan-Kiss, Rachael M.</t>
  </si>
  <si>
    <t>Impact of nitrogen and phosphorus on phytoplankton production and bacterial community structure in two stratified Antarctic lakes: a bioassay approach</t>
  </si>
  <si>
    <t>Algal-bacteria interactions; Climate change; McMurdo Dry Valleys; Nutrient bioassay; Primary production</t>
  </si>
  <si>
    <t>MCMURDO DRY VALLEYS; POLAR NIGHT; MARINE BACTERIOPLANKTON; POLYPHOSPHATE BODIES; ALGAL PRODUCTION; TAYLOR VALLEY; CO-LIMITATION; CIERVA POINT; FRESH-WATER; DIVERSITY</t>
  </si>
  <si>
    <t>Arctic, Antarctic, and alpine ecosystems are recognized as sensors and sentinels of global change. As a consequence of their high sensitivity to minor climatic perturbations, permanently ice-covered lakes located in the McMurdo Dry Valleys (MDV), Antarctica, represent end members in the global network of inland bodies of water. Episodic climatic events in the form of increased summer glacial melt result in inputs of organic sediment and nutrients from glacial streams to these closed basins. Phytoplankton communities residing in the oligotrophic water columns are highly responsive to pulses in nutrient availability; however, there is a lack of understanding on whether specific phytoplankton groups are more competitive during a summer flood event and how shifts in the phytoplankton community may influence heterotrophic bacteria. A bioassay approach in 3-l bottles was used to investigate the influence of inorganic nitrogen and phosphorus availability on planktonic communities from the oligotrophic upper waters of two chemically distinct MDV lakes (Lakes Bonney and Fryxell) which differ in their external inputs and water column N/P stoichiometry. While microbial community responses varied between lakes and were nutrient-dependent, stimulation of phytoplankton biomass and productivity across all treatments was strongly linked with increased abundance of a single phytoplankton phylum (Chlorophyta). Despite stimulation of phytoplankton growth, primary and bacterial productivity was generally uncoupled; however, shifts in bacterial community diversity were observed in bioassays amended with either P or NP. We suggest that climate-associated increases in phytoplankton production and concomitant shifts in diversity will influence MDV bacterial community structure by altering the availability and composition of autochthonous carbon for heterotrophic production.</t>
  </si>
  <si>
    <t>[Teufel, Amber G.; Li, Wei; Morgan-Kiss, Rachael M.] Miami Univ, Dept Microbiol, 700 E High St,32 Pearson Hall, Oxford, OH 45056 USA; [Kiss, Andor J.] Miami Univ, Ctr Bioinformat &amp; Funct Genom, 700 E High St,32 Pearson Hall, Oxford, OH 45056 USA</t>
  </si>
  <si>
    <t>University System of Ohio; Miami University; University System of Ohio; Miami University</t>
  </si>
  <si>
    <t>Morgan-Kiss, RM (corresponding author), Miami Univ, Dept Microbiol, 700 E High St,32 Pearson Hall, Oxford, OH 45056 USA.</t>
  </si>
  <si>
    <t>morganr2@miamioh.edu</t>
  </si>
  <si>
    <t>Kiss, Andor J/E-9863-2016</t>
  </si>
  <si>
    <t>Kiss, Andor J/0000-0002-7508-0485</t>
  </si>
  <si>
    <t>NSF Office of Polar Programs [OPP-1056396]; Directorate For Geosciences; Office of Polar Programs (OPP) [1056396] Funding Source: National Science Foundation</t>
  </si>
  <si>
    <t>NSF Office of Polar Programs(National Science Foundation (NSF)); Directorate For Geosciences; Office of Polar Programs (OPP)(National Science Foundation (NSF)NSF - Directorate for Geosciences (GEO))</t>
  </si>
  <si>
    <t>The authors thank the McMurdo LTER, Antarctic Support Contract (Lockheed Martin), and Petroleum Helicopters Inc., for logistical assistance in the field. We thank the Center for Bioinformatics and Functional Genomics at Miami University for assistance with Illumina sequencing. This work was supported by NSF Office of Polar Programs Grant OPP-1056396.</t>
  </si>
  <si>
    <t>10.1007/s00300-016-2025-8</t>
  </si>
  <si>
    <t>WOS:000402123800005</t>
  </si>
  <si>
    <t>Robertson, G; Wienecke, B; Suazo, CG; Lawton, K; Arata, JA; Moreno, C</t>
  </si>
  <si>
    <t>Robertson, Graham; Wienecke, Barbara; Suazo, Cristian G.; Lawton, Kieran; Arata, Javier A.; Moreno, Carlos</t>
  </si>
  <si>
    <t>Continued increase in the number of black-browed albatrosses (Thalassarche melanophris) at Diego Ramirez, Chile</t>
  </si>
  <si>
    <t>Black-browed albatross; Grey-headed albatross; Mortality in fisheries; Population trends</t>
  </si>
  <si>
    <t>ARCHIPELAGO; CHRYSOSTOMA; FISHERIES</t>
  </si>
  <si>
    <t>Black-browed albatrosses (Thalassarche melanophris) are killed incidentally in commercial fishing operations. Aerial surveys in 2002 and 2011 revealed the number of black-browed albatrosses at the Diego Ramirez and Ildefonso islands, Chile, increased by 52 and 18 %, respectively. The increases were attributed to reduced mortality in the longline fishery for Patagonian toothfish (Dissostichus eleginoides) following fleet conversion to a new gear configuration with much higher average hook sink rates. A new survey in 2014 revealed the number of black-browed albatrosses at Ildefonso was about the same as in 2011, but the number at Diego Ramirez had increased by a further 29 % (8.8 %/year). The number of grey-headed albatrosses (Thalassarche chrysostoma) at Diego Ramirez also increased, by 23 %, in the same time period. In 2014, Ildefonso held an estimated 54,284 breeding pairs of black-browed albatrosses. The populations of black-browed albatrosses at two more northern sites, the Evangelistas and Leonard islets, stood at 4818 and 545 breeding pairs, respectively. The total number of breeding pairs of both albatross species at Diego could not be determined because not all islands in the archipelago were surveyed.</t>
  </si>
  <si>
    <t>[Robertson, Graham] 9 Roba Court, Kingston, Tas 7050, Australia; [Wienecke, Barbara] Australian Antarctic Div, 203 Channel Highway, Kingston, Tas 7050, Australia; [Suazo, Cristian G.] Justus Liebig Univ Giessen, Dept Anim Ecol &amp; Systemat, Heinrich Buff Ring 38, D-35392 Giessen, Germany; [Lawton, Kieran] Skadia Pty Ltd, GIP Business Ctr, Horsham, Vic 3409, Australia; [Arata, Javier A.] Inst Ciencias Marinas &amp; Limnol, Fac Ciencias, Campus Isla Teja, Valdivia, Chile; [Arata, Javier A.] Ctr FONDAP Invest Dinam Ecosistema Marinos Altas, Valdivia, Chile; [Moreno, Carlos] Inst Ciencias Ambientales &amp; Evolutivas, Fac Ciencias, Campus Isla Teja, Valdivia, Chile</t>
  </si>
  <si>
    <t>Australian Antarctic Division; Justus Liebig University Giessen</t>
  </si>
  <si>
    <t>Robertson, G (corresponding author), 9 Roba Court, Kingston, Tas 7050, Australia.</t>
  </si>
  <si>
    <t>graham.robertson1141@gmail.com</t>
  </si>
  <si>
    <t>Arata, Javier A./ABH-9557-2020; Arata, Javier/U-9754-2017</t>
  </si>
  <si>
    <t>Arata, Javier/0000-0001-7320-0511; Suazo, Cristian/0000-0003-3336-3660</t>
  </si>
  <si>
    <t>10.1007/s00300-016-2028-5</t>
  </si>
  <si>
    <t>WOS:000402123800008</t>
  </si>
  <si>
    <t>Rexer-Huber, K; Parker, GC; Sagar, PM; Thompson, DR</t>
  </si>
  <si>
    <t>Rexer-Huber, Kalinka; Parker, Graham C.; Sagar, Paul M.; Thompson, David R.</t>
  </si>
  <si>
    <t>White-chinned petrel population estimate, Disappointment Island (Auckland Islands)</t>
  </si>
  <si>
    <t>Procellaria; Burrow density; Abundance; Population size; Distance sampling</t>
  </si>
  <si>
    <t>PROCELLARIA-AEQUINOCTIALIS; SIZE; SEABIRD</t>
  </si>
  <si>
    <t>The white-chinned petrel Procellaria aequinoctialis is one of the most frequently observed seabird species captured in fisheries bycatch, yet some populations remain virtually unstudied. The size of the breeding population on the sub-Antarctic Auckland Islands, New Zealand, is unknown. Disappointment Island is thought to be the main white-chinned petrel breeding site in the Auckland Islands, and maybe also in the New Zealand region, and has never had introduced mammalian predators. We estimated the white-chinned petrel breeding population size taking into account the detection probability of burrows via distance sampling and the burrow occupancy rate. Eighty line transects were distributed over the island, with a total line length of 1600 m. Burrows were patchily distributed and most abundant in dense megaherb communities. White-chinned petrel burrow density was 654 burrows/ha (95 % CI 528-809 burrows/ha), with burrow detection probability varying among vegetation communities from 0.28 +/- 0.02 to 0.43 +/- 0.02 (+/- SE). Mean burrow occupancy was 0.73 +/- 0.03. We document an estimated total of 155,500 (125,600-192,500) breeding pairs of white-chinned petrels on Disappointment Island during mid incubation in early January 2015. The relatively high occupancy and density of burrows suggest that Disappointment Island is a key breeding site for white-chinned petrels.</t>
  </si>
  <si>
    <t>[Rexer-Huber, Kalinka] Univ Otago, Dept Zool, 340 Great King St, Dunedin, New Zealand; [Parker, Graham C.] Parker Conservat, 126 Maryhill Terrace, Dunedin, New Zealand; [Sagar, Paul M.] Natl Inst Water &amp; Atmospher Res, POB 8602, Christchurch, New Zealand; [Thompson, David R.] Natl Inst Water &amp; Atmospher Res, 301 Evans Bay Parade, Wellington, New Zealand</t>
  </si>
  <si>
    <t>University of Otago; National Institute of Water &amp; Atmospheric Research (NIWA) - New Zealand; National Institute of Water &amp; Atmospheric Research (NIWA) - New Zealand</t>
  </si>
  <si>
    <t>Rexer-Huber, K (corresponding author), Univ Otago, Dept Zool, 340 Great King St, Dunedin, New Zealand.</t>
  </si>
  <si>
    <t>kalinka.rexerhuber@gmail.com</t>
  </si>
  <si>
    <t>Agreement for the Conservation of Albatrosses and Petrels [2013-07]; New Zealand Department of Conservation (DOC) Conservation Services Programme; New Zealand's National Institute of Water and Atmospheric Research; University of Otago; New Zealand Federation of Graduate Women fellowship</t>
  </si>
  <si>
    <t>Agreement for the Conservation of Albatrosses and Petrels; New Zealand Department of Conservation (DOC) Conservation Services Programme; New Zealand's National Institute of Water and Atmospheric Research; University of Otago; New Zealand Federation of Graduate Women fellowship</t>
  </si>
  <si>
    <t>Financial support was received from the Agreement for the Conservation of Albatrosses and Petrels (Grant 2013-07), the New Zealand Department of Conservation (DOC) Conservation Services Programme, and New Zealand's National Institute of Water and Atmospheric Research. KRH was supported by a University of Otago doctoral scholarship and a New Zealand Federation of Graduate Women fellowship. Permission to visit Disappointment Island was granted by DOC (Entry Permit 40203-LND).</t>
  </si>
  <si>
    <t>10.1007/s00300-016-2031-x</t>
  </si>
  <si>
    <t>WOS:000402123800010</t>
  </si>
  <si>
    <t>Mieczan, T; Adamczuk, M; Tarkowska-Kukuryk, M</t>
  </si>
  <si>
    <t>Mieczan, T.; Adamczuk, M.; Tarkowska-Kukuryk, M.</t>
  </si>
  <si>
    <t>Ecology of ciliates in microbial mats in meltwater streams, King George Island, maritime Antarctica</t>
  </si>
  <si>
    <t>Ciliates; Streams; Microbial mats; Antarctica</t>
  </si>
  <si>
    <t>SILVER CARBONATE METHOD; SPECIES ASSEMBLAGES; ICE SHELF; PROTOZOA; LAKES; COMMUNITIES; CILIOPHORA; PONDS</t>
  </si>
  <si>
    <t>Microbial communities living in microbial mats are known to constitute early indicators of ecosystem disturbance, but little is known about their response to environmental factors in the Antarctic. This paper presents the first major study on ciliates from microbial mats in streams on King George Island (Antarctica). The objective of the study is to investigate the structure and spatial distribution of ciliate communities and to identify the environmental factors determining the structure of the assemblages. Additionally, we compared ciliate communities inhabiting streams on King George Island with other isolated islands of the maritime Antarctic. Samples of microbial mats for ciliate analysis were collected from three streams fed by Ecology Glacier. Sampling was carried out three times from 17 January to 24 February 2012. The total numbers of ciliates were dominated by small taxa recognized as cosmopolitan, also recorded on other islands of the maritime Antarctic. The species richness, abundance, and biomass of ciliates differed significantly between the stations studied, with the lowest numbers in the middle course of the stream and the highest numbers in the microhabitats closest to the glacier and at the site where the stream empties into the pond. Variables that significantly explained the variance in ciliate communities in the transects investigated were total organic carbon, total nitrogen, temperature, dissolved oxygen, and conductivity. Further research is required to explain the impact of biotic factors on the presence of ciliates, including the abundance of bacteria, microalgae, and small metazoa.</t>
  </si>
  <si>
    <t>[Mieczan, T.; Adamczuk, M.; Tarkowska-Kukuryk, M.] Univ Life Sci, Dept Hydrobiol, Dobrzanskiego 37, PL-20262 Lublin, Poland</t>
  </si>
  <si>
    <t>Mieczan, T (corresponding author), Univ Life Sci, Dept Hydrobiol, Dobrzanskiego 37, PL-20262 Lublin, Poland.</t>
  </si>
  <si>
    <t>tomasz.mieczan@up.lublin.pl</t>
  </si>
  <si>
    <t>Tarkowska-Kukuryk, Monika/T-7469-2018</t>
  </si>
  <si>
    <t>Adamczuk, Malgorzata/0000-0003-3599-2006; Tarkowska-Kukuryk, Monika/0000-0001-5328-6944; Mieczan, Tomasz/0000-0003-2839-1798</t>
  </si>
  <si>
    <t>10.1007/s00300-016-2034-7</t>
  </si>
  <si>
    <t>WOS:000402123800012</t>
  </si>
  <si>
    <t>Jones, MGW; Dilley, BJ; Hagens, QA; Louw, H; Mertz, EM; Visser, P; Ryan, PG</t>
  </si>
  <si>
    <t>Jones, M. Genevieve W.; Dilley, Ben J.; Hagens, Quentin A.; Louw, Henk; Mertz, Edith M.; Visser, Paul; Ryan, Peter G.</t>
  </si>
  <si>
    <t>Wandering Albatross Diomedea exulans breeding phenology at Marion Island</t>
  </si>
  <si>
    <t>Hatching date; Incubation; Laying date; Prelaying presence</t>
  </si>
  <si>
    <t>CLIMATE-CHANGE; BIRDS; EVOLUTIONARY; DISPERSAL; PATERNITY; RESPONSES; DYNAMICS; SURVIVAL; SEABIRD; AGE</t>
  </si>
  <si>
    <t>South Africa's Prince Edward Islands support a large proportion (44 %) of the global Wandering Albatross Diomedea exulans breeding population, yet most breeding phenology data are recorded from smaller and geographically distant populations. Timing of breeding at Marion Island was remarkably constant across three successive years (2007-2009), providing a good baseline against which future changes can be assessed. Male (but not female) early arrival and presence at the colony during the pre-laying period was positively related to breeding success. Earlier hatching chicks were more likely to survive, but timing of egg laying and incubation periods did not influence fledging success. Although there was considerable individual variation in breeding phenology, average dates of male arrival, laying and hatching were later at Marion (47A degrees S), Crozet (46A degrees S) and Kerguelen (49A degrees S) than at more southerly Bird Island, South Georgia (54A degrees S). Earlier breeding at South Georgia may ensure that chicks have time to grow sufficiently to survive harsh winter conditions that set in earlier at South Georgia.</t>
  </si>
  <si>
    <t>[Jones, M. Genevieve W.; Dilley, Ben J.; Hagens, Quentin A.; Louw, Henk; Mertz, Edith M.; Visser, Paul; Ryan, Peter G.] Univ Cape Town, DST NRF Ctr Excellence, Percy Fitzpatrick Inst African Ornithol, Private Bag X3, ZA-7701 Rondebosch, South Africa</t>
  </si>
  <si>
    <t>University of Cape Town; National Research Foundation - South Africa</t>
  </si>
  <si>
    <t>Jones, MGW (corresponding author), Univ Cape Town, DST NRF Ctr Excellence, Percy Fitzpatrick Inst African Ornithol, Private Bag X3, ZA-7701 Rondebosch, South Africa.</t>
  </si>
  <si>
    <t>MGenevieveWJones@gmail.com</t>
  </si>
  <si>
    <t>DST/NRF Centre of Excellence (CoE) at the Percy FitzPatrick Institute of African Ornithology; South African National Antarctic Programme through the National Research Foundation</t>
  </si>
  <si>
    <t>We greatly appreciate Jordan-Laine Calder's assistance with data collation. This paper built upon data from long-term monitoring of Wandering Albatrosses at Marion Island initiated by John Cooper. Financial and logistical support was provided by the DST/NRF Centre of Excellence (CoE) at the Percy FitzPatrick Institute of African Ornithology and the South African National Antarctic Programme through the National Research Foundation.</t>
  </si>
  <si>
    <t>10.1007/s00300-016-2042-7</t>
  </si>
  <si>
    <t>WOS:000402123800017</t>
  </si>
  <si>
    <t>Gurarie, E; Bengtson, JL; Bester, MN; Blix, AS; Cameron, M; Bornemann, H; Nordoy, ES; Plötz, J; Steinhage, D; Boveng, P</t>
  </si>
  <si>
    <t>Gurarie, Eliezer; Bengtson, John L.; Bester, Marthan N.; Blix, Arnoldus Schytte; Cameron, Michael; Bornemann, Horst; Nordoy, Erling S.; Ploetz, Joachim; Steinhage, Daniel; Boveng, Peter</t>
  </si>
  <si>
    <t>Distribution, density and abundance of Antarctic ice seals off Queen Maud Land and the eastern Weddell Sea (vol 40, pg 1149, 2017)</t>
  </si>
  <si>
    <t>[Gurarie, Eliezer; Bengtson, John L.; Cameron, Michael; Boveng, Peter] NOAA, Alaska Fisheries Sci Ctr, Natl Marine Mammal Lab, 7600 Sand Point Way NE, Seattle, WA 98115 USA; [Gurarie, Eliezer] Univ Maryland, Dept Biol, College Pk, MD 20742 USA; [Bester, Marthan N.] Univ Pretoria, Mammal Res Inst, Dept Zool &amp; Entomol, Private Bag X20, ZA-0028 Pretoria, South Africa; [Bester, Marthan N.] Hanse Wissensch Kolleg, Lehmkuhlenbusch 4, D-27753 Delmenhorst, Germany; [Blix, Arnoldus Schytte; Nordoy, Erling S.] UiT Arctic Univ Norway, Dept Arctic &amp; Marine Biol, Tromso, Norway; [Bornemann, Horst; Ploetz, Joachim; Steinhage, Daniel] Helmholtz Zentrum Polar &amp; Meeresforsch, Alfred Wegener Inst, Handelschafen 12, D-27570 Bremerhaven, Germany</t>
  </si>
  <si>
    <t>National Oceanic Atmospheric Admin (NOAA) - USA; University System of Maryland; University of Maryland College Park; University of Pretoria; UiT The Arctic University of Tromso; Helmholtz Association; Alfred Wegener Institute, Helmholtz Centre for Polar &amp; Marine Research</t>
  </si>
  <si>
    <t>Gurarie, E (corresponding author), NOAA, Alaska Fisheries Sci Ctr, Natl Marine Mammal Lab, 7600 Sand Point Way NE, Seattle, WA 98115 USA.;Gurarie, E (corresponding author), Univ Maryland, Dept Biol, College Pk, MD 20742 USA.</t>
  </si>
  <si>
    <t>egurarie@umd.edu</t>
  </si>
  <si>
    <t>Gurarie, Eliezer/AGI-0958-2022</t>
  </si>
  <si>
    <t>Gurarie, Eliezer/0000-0002-8666-9674</t>
  </si>
  <si>
    <t>10.1007/s00300-016-2050-7</t>
  </si>
  <si>
    <t>WOS:000402123800019</t>
  </si>
  <si>
    <t>Lehman, SJ; Andrews, JT</t>
  </si>
  <si>
    <t>Lehman, Scott J.; Andrews, John T.</t>
  </si>
  <si>
    <t>John Trevor Hollin 1930-2016</t>
  </si>
  <si>
    <t>ARCTIC ANTARCTIC AND ALPINE RESEARCH</t>
  </si>
  <si>
    <t>Biographical-Item</t>
  </si>
  <si>
    <t>[Lehman, Scott J.; Andrews, John T.] Univ Colorado, Inst Arctic &amp; Alpine Res, UCB 450, Boulder, CO 80309 USA</t>
  </si>
  <si>
    <t>University of Colorado System; University of Colorado Boulder</t>
  </si>
  <si>
    <t>Lehman, SJ (corresponding author), Univ Colorado, Inst Arctic &amp; Alpine Res, UCB 450, Boulder, CO 80309 USA.</t>
  </si>
  <si>
    <t>INST ARCTIC ALPINE RES</t>
  </si>
  <si>
    <t>UNIV COLORADO, BOULDER, CO 80309 USA</t>
  </si>
  <si>
    <t>1523-0430</t>
  </si>
  <si>
    <t>1938-4246</t>
  </si>
  <si>
    <t>ARCT ANTARCT ALP RES</t>
  </si>
  <si>
    <t>Arct. Antarct. Alp. Res.</t>
  </si>
  <si>
    <t>10.1657/AAAR0049-2-Memoriam</t>
  </si>
  <si>
    <t>Environmental Sciences; Geography, Physical</t>
  </si>
  <si>
    <t>Environmental Sciences &amp; Ecology; Physical Geography</t>
  </si>
  <si>
    <t>EW1VI</t>
  </si>
  <si>
    <t>WOS:000402283000001</t>
  </si>
  <si>
    <t>Angers-Blondin, S; Boudreau, S</t>
  </si>
  <si>
    <t>Angers-Blondin, Sandra; Boudreau, Stephane</t>
  </si>
  <si>
    <t>Expansion dynamics and performance of the dwarf shrub Empetrum hermaphroditum (Ericaceae) on a subarctic sand dune system, Nunavik (Canada)</t>
  </si>
  <si>
    <t>CLONAL DIVERSITY; SEXUAL REPRODUCTION; TUNDRA; ALPINE; PLANTS; ESTABLISHMENT; SURVIVAL; CLIMATE; GROWTH; NIGRUM</t>
  </si>
  <si>
    <t>Many tundra plant species rely more heavily on clonal propagation than on sexual reproduction. However, if reproduction bottlenecks are alleviated, shifts in the balance between these strategies can occur. To better understand the colonization and expansion dynamics of clonal dwarf shrubs in a rapidly changing environment, we monitored a crowberry population (Empetrum hermaphroditum) on a sand dune system in subarctic Quebec. Our objectives were to quantify survival, recruitment, and growth and to determine whether performance varied across a topographic and successional gradient. In 2012, we resurveyed a 6-ha plot where all individuals had been counted in 2007. Along the successional gradient, we measured vegetation cover, soil characteristics, shoot elongation, and seed germination. Over the 2007-2012 period, the population continued to experience abundant recruitment, fast growth, and low mortality, resulting in a 40% increase in population size and a 244 m(2) increase in cover. Performance patterns did not match the dune successional gradient; instead, individuals at intermediate positions showed better growth and produced more viable seeds. The ability of crowberry to successfully establish from seed might have been enhanced by the regional warming observed since the 1990s and seems to be part of a dual strategy allowing crowberry to fill gaps while continuing to spread efficiently on the dune system via clonal growth.</t>
  </si>
  <si>
    <t>[Angers-Blondin, Sandra] Univ Edinburgh, Sch Geosci, Crew Bldg Room 401,Kings Bldg, Edinburgh EH9 3FF, Midlothian, Scotland; [Angers-Blondin, Sandra; Boudreau, Stephane] Univ Laval, Ctr Etud Nord, Pavillon Abitibi Price,2405 Rue Terrasse, Quebec City, PQ G1V 0A6, Canada; [Boudreau, Stephane] Univ Laval, Dept Biol, Pavillon Alexandre Vachon,1045 Ave Med, Quebec City, PQ G1V 0A6, Canada</t>
  </si>
  <si>
    <t>University of Edinburgh; Laval University; Laval University</t>
  </si>
  <si>
    <t>Boudreau, S (corresponding author), Univ Laval, Ctr Etud Nord, Pavillon Abitibi Price,2405 Rue Terrasse, Quebec City, PQ G1V 0A6, Canada.;Boudreau, S (corresponding author), Univ Laval, Dept Biol, Pavillon Alexandre Vachon,1045 Ave Med, Quebec City, PQ G1V 0A6, Canada.</t>
  </si>
  <si>
    <t>stephane.boudreau@bio.ulaval.ca</t>
  </si>
  <si>
    <t>Boudreau, Stephane/I-7838-2012</t>
  </si>
  <si>
    <t>Boudreau, Stephane/0000-0002-1035-6452</t>
  </si>
  <si>
    <t>Natural Science and Engineering Council of Canada (NSERC); Fonds de recherche du Quebec - Nature et Technologies (FRQNT); Northern Scientific Training Program (NSTP)</t>
  </si>
  <si>
    <t>Natural Science and Engineering Council of Canada (NSERC)(Natural Sciences and Engineering Research Council of Canada (NSERC)); Fonds de recherche du Quebec - Nature et Technologies (FRQNT)(Fonds de recherche du Quebec (FRQ)Fonds de recherche du Quebec - Nature et technologies (FRQNT)); Northern Scientific Training Program (NSTP)</t>
  </si>
  <si>
    <t>The authors thank S. Bedard, C. Morrissette-Boileau, and M. Paradis for help in the field. M. Simard, E. Levesque, N. Hill, and two anonymous reviewers provided thoughtful comments on earlier versions of the manuscript. The Centre d'etudes nordiques provided logistical support. This project was funded by the Natural Science and Engineering Council of Canada (NSERC), the Fonds de recherche du Quebec - Nature et Technologies (FRQNT) and the Northern Scientific Training Program (NSTP).</t>
  </si>
  <si>
    <t>10.1657/AAAR0016-020</t>
  </si>
  <si>
    <t>Green Published, Green Submitted, Bronze</t>
  </si>
  <si>
    <t>WOS:000402283000002</t>
  </si>
  <si>
    <t>Huai, BJ; Sun, WJ; Wang, YT; Li, ZQ</t>
  </si>
  <si>
    <t>Huai Baojuan; Sun Weijun; Wang Yetang; Li Zhongqin</t>
  </si>
  <si>
    <t>Glacier shrinkage in the Chinese Tien Shan Mountains from 1959/ 1972 to 2010/2012</t>
  </si>
  <si>
    <t>CLIMATE-CHANGE; CENTRAL-ASIA; INVENTORY; PRECIPITATION; SCALE</t>
  </si>
  <si>
    <t>This paper employs remote sensing methods to address a large number of glaciers and their change in the Chinese Tien Shan Mountains for the period from 1959/ 1972 to 2010/ 2012. Our results show that the total area of the 1428 glaciers studied decreased from 1299 +/- 4 km(2) in 1959/ 1972 to 1013 +/- 4 km(2) in 2010/ 2012. This 22% reduction in glacier surface area represents a total loss of 287 km(2). The rate of glacier shrinkage throughout the nine regions varied from 0.3% a(-1) to 0.8% a(-1), and approximate individual glacier area loss varied from 0.002 km(2) a(-1) to 0.008 km(2) a(-1). The greatest decrease in glacier extent occurred in the Ili River valley, followed by the Toutun River valley and Urumqi River valley. In contrast, relatively minor decreases occurred in the Miaoergou Gully and Aksu River valley regions.</t>
  </si>
  <si>
    <t>[Huai Baojuan; Sun Weijun; Wang Yetang] Shandong Normal Univ, Coll Geog &amp; Environm, Jinan 250014, Peoples R China; [Li Zhongqin] Chinese Acad Sci, Northwest Inst Ecoenvironm &amp; Resources, State Key Lab Cryosphere Sci, Tianshan Glaciol Stn, Lanzhou 730000, Peoples R China</t>
  </si>
  <si>
    <t>Shandong Normal University; Chinese Academy of Sciences</t>
  </si>
  <si>
    <t>Sun, WJ (corresponding author), Shandong Normal Univ, Coll Geog &amp; Environm, Jinan 250014, Peoples R China.</t>
  </si>
  <si>
    <t>sun1982wj@163.com</t>
  </si>
  <si>
    <t>sun, weijun/GZB-2595-2022</t>
  </si>
  <si>
    <t>Natural Science Foundation of China [41401074, 41330526, 41171052, 41321062]; Chinese Academy of Sciences [XDB03030101-4]</t>
  </si>
  <si>
    <t>Natural Science Foundation of China(National Natural Science Foundation of China (NSFC)); Chinese Academy of Sciences(Chinese Academy of Sciences)</t>
  </si>
  <si>
    <t>This work was supported by the Natural Science Foundation of China (41401074, 41330526, 41171052, and 41321062) and the Chinese Academy of Sciences (XDB03030101-4). The authors are very grateful to the USGS (http://www.usgs.gov) for the Landsat data.</t>
  </si>
  <si>
    <t>TAYLOR &amp; FRANCIS LTD</t>
  </si>
  <si>
    <t>ABINGDON</t>
  </si>
  <si>
    <t>2-4 PARK SQUARE, MILTON PARK, ABINGDON OR14 4RN, OXON, ENGLAND</t>
  </si>
  <si>
    <t>10.1657/AAAR0015-032</t>
  </si>
  <si>
    <t>Bronze, Green Published</t>
  </si>
  <si>
    <t>WOS:000402283000003</t>
  </si>
  <si>
    <t>Magnani, A; Viglietti, D; Godone, D; Williams, MW; Balestrini, R; Freppaz, M</t>
  </si>
  <si>
    <t>Magnani, Andrea; Viglietti, Davide; Godone, Danilo; Williams, Mark W.; Balestrini, Raffaella; Freppaz, Michele</t>
  </si>
  <si>
    <t>Interannual variability of soil N and C forms in response to snow-cover duration and pedoclimatic conditions in alpine tundra, northwest Italy</t>
  </si>
  <si>
    <t>MICROBIAL BIOMASS; MINERALIZATION RESPONSES; INORGANIC NITROGEN; CLIMATE-CHANGE; DYNAMICS; CARBON; TEMPERATURE; ECOSYSTEM; CO2; VEGETATION</t>
  </si>
  <si>
    <t>In alpine tundra the influence of snow-cover duration (SCD) and pedoclimatic conditions on soil nutrient forms during the growing season has received little attention. The hypothesis that SCD influences the soil temperature, which in turn can affect the annual changes in topsoil nitrogen (N) and carbon (C) forms, was tested for five growing seasons at three study sites in the alpine tundra of the NW Italian Alps. Among the pedoclimatic conditions studied (soil temperature, soil moisture, and number of freeze/thaw cycles), the mean soil temperature of the growing season was inversely correlated with the SCD (p &lt; 0.01), which ranged from 216 to 272 days. Independently from the soil characteristics (e.g., degree of evolution), the microbial carbon (C-micr) of the growing season was inversely correlated with the SCD and the mean soil temperature of the snow-covered season, suggesting the consumption of soil resources made by the C-micr under the snowpack. During the growing season ammonium (N-NH4+), dissolved organic carbon (DOC), and Cmicr were positively correlated with soil temperature and moisture. Path analysis shows that the interannual variability of topsoil N and C forms was significantly controlled by the pedoclimatic conditions recorded in both the snow-covered and the subsequent growing seasons, which in turn were influenced by SCD. Therefore, SCD played a fundamental role in terms of pedoclimatic conditions during the growing season, contributing to explaining the interannual variability of soil N and C forms, and may be a key factor for predicting the nutrient cycling in alpine tundra in the context of a changing climate.</t>
  </si>
  <si>
    <t>[Magnani, Andrea; Viglietti, Davide; Freppaz, Michele] Univ Turin, Dept Agr Forest &amp; Food Sci, Largo Paolo Braccini 2, I-10095 Grugliasco, TO, Italy; [Viglietti, Davide; Godone, Danilo; Freppaz, Michele] Univ Turin, Res Ctr Nat Risk Mt &amp; Hilly Environm, NatRisk, Largo Paolo Braccini 2, I-10095 Grugliasco, TO, Italy; [Godone, Danilo] CNR IRPI, Geohazard Monitoring Grp, Str Cacce 73, I-10135 Turin, Italy; [Williams, Mark W.] Univ Colorado, Dept Geog, Boulder, CO 80309 USA; [Williams, Mark W.] Univ Colorado, Inst Arctic &amp; Alpine Res, Boulder, CO 80309 USA; [Balestrini, Raffaella] Water Res Inst IRSA CNR, Via Mulino 19, I-20861 Brugherio, MB, Italy</t>
  </si>
  <si>
    <t>University of Turin; University of Turin; Consiglio Nazionale delle Ricerche (CNR); Istituto di Ricerca per la Protezione Idrogeologica (IRPI-CNR); University of Colorado System; University of Colorado Boulder; University of Colorado System; University of Colorado Boulder; Consiglio Nazionale delle Ricerche (CNR); Istituto di Ricerca sulle Acque (IRSA-CNR)</t>
  </si>
  <si>
    <t>Magnani, A (corresponding author), Univ Turin, Dept Agr Forest &amp; Food Sci, Largo Paolo Braccini 2, I-10095 Grugliasco, TO, Italy.</t>
  </si>
  <si>
    <t>magnani.uni@gmail.com</t>
  </si>
  <si>
    <t>Balestrini, Raffaella/AAW-1961-2020; Godone, Danilo/P-2349-2016</t>
  </si>
  <si>
    <t>Godone, Danilo/0000-0003-1455-6862; Magnani, Andrea/0000-0002-3282-4851</t>
  </si>
  <si>
    <t>Next Data-LTER-Mountain Project; Niwot Ridge LTER program; National Science Foundation</t>
  </si>
  <si>
    <t>Next Data-LTER-Mountain Project; Niwot Ridge LTER program; National Science Foundation(National Science Foundation (NSF))</t>
  </si>
  <si>
    <t>This study was supported by Next Data-LTER-Mountain Project. Thanks to the Comando Truppe Alpine-Servizio Meteomont for the data from the AWS at Col d'Olen and to Monterosa 2000 and Monterosa s.p.a. (MonterosaSki) for the logistic support. The contribution of M. Williams was supported by the Niwot Ridge LTER program with funding from the National Science Foundation.</t>
  </si>
  <si>
    <t>10.1657/AAAR0016-037</t>
  </si>
  <si>
    <t>Green Published, Bronze, Green Submitted</t>
  </si>
  <si>
    <t>WOS:000402283000004</t>
  </si>
  <si>
    <t>Maguire, AJ; Rowe, RJ</t>
  </si>
  <si>
    <t>Maguire, Andrew J.; Rowe, Rebecca J.</t>
  </si>
  <si>
    <t>Home range and habitat affinity of the singing vole on the North Slope of Alaska</t>
  </si>
  <si>
    <t>POPULATION-CYCLES; SMALL MAMMALS; RESPONSES; RODENTS; SPACE; ORGANIZATION; NIVALIS; WINTER; AREAS; FOOD</t>
  </si>
  <si>
    <t>A species' use of space provides insight into fundamental resource requirements and population dynamics. Here we investigate how microhabitat features and intraspecific interaction contribute to space use by the singing vole (Microtus miurus) on arctic tundra. We used mark-recapture of singing voles to estimate home range using a kernel density estimator. To assess intraspecific interactions, regions within home ranges were classified as exclusive or shared based on overlap among individuals. The spatial distribution of singing vole encounters was analyzed in conjunction with multivariate hierarchical cluster analysis of vegetation cover to assess microhabitat affinity. Shared regions within home ranges were used more than expected based on proportional availability. We observed significant affinities for microhabitats at both the scale of individual home ranges and of the singing vole population. Our results suggest that heterogeneity in microhabitat features and social interactions are important factors in structuring singing vole space use. These results have implications for the impact of singing vole activity on tundra plant communities and for the resilience of the singing vole and other arctic microtine rodents to stochastic climatic conditions.</t>
  </si>
  <si>
    <t>[Maguire, Andrew J.; Rowe, Rebecca J.] Univ New Hampshire, Dept Nat Resources &amp; Environm, 114 James Hall,56 Coll Rd, Durham, NH 03824 USA; [Maguire, Andrew J.] Univ Idaho, Dept Nat Resources &amp; Soc, 875 Perimeter Dr,MS 1139, Moscow, ID 83844 USA</t>
  </si>
  <si>
    <t>University System Of New Hampshire; University of New Hampshire; Idaho; University of Idaho</t>
  </si>
  <si>
    <t>Maguire, AJ (corresponding author), Univ New Hampshire, Dept Nat Resources &amp; Environm, 114 James Hall,56 Coll Rd, Durham, NH 03824 USA.;Maguire, AJ (corresponding author), Univ Idaho, Dept Nat Resources &amp; Soc, 875 Perimeter Dr,MS 1139, Moscow, ID 83844 USA.</t>
  </si>
  <si>
    <t>magu7563@vandals.uidaho.edu</t>
  </si>
  <si>
    <t>Maguire, Andrew/0000-0002-6334-0497</t>
  </si>
  <si>
    <t>University of New Hampshire; Arctic Long-Term Ecological Research project</t>
  </si>
  <si>
    <t>We would like to thank Anthony Bell, James Black, Molly Heller, Jennifer Helm, Jennie McLaren, and Ryan Stephens for their assistance in the field and with data collection. We thank the University of New Hampshire and the Arctic Long-Term Ecological Research project for supporting this research. We also thank TFS (University of Alaska, Fairbanks) and the University of Alaska Museum for logistical support and equipment. Thea Kristensen assisted with the abundance models and program MARK. Ryan Stephens, Brooks Kohli, Richard Smith, and Erik Hobbie provided constructive comments on an earlier draft of this manuscript. Lastly, we thank three anonymous reviewers for their substantive comments that strengthened the quality and clarity of this manuscript. This work formed the basis of A. J. Maguire's MS thesis at the University of New Hampshire.</t>
  </si>
  <si>
    <t>10.1657/AAAR0016-035</t>
  </si>
  <si>
    <t>WOS:000402283000005</t>
  </si>
  <si>
    <t>Cameron, EA; Lantz, TC</t>
  </si>
  <si>
    <t>Cameron, Emily A.; Lantz, Trevor C.</t>
  </si>
  <si>
    <t>Persistent changes to ecosystems following winter road construction and abandonment in an area of discontinuous permafrost, Nahanni National Park Reserve, Northwest Territories, Canada</t>
  </si>
  <si>
    <t>NO 1 PIPELINE; CLIMATE-CHANGE; SHRUB TUNDRA; MACKENZIE MOUNTAINS; GLACIER FORELANDS; TREE RECRUITMENT; VEHICLE TRACKS; BOREAL FOREST; THERMAL STATE; WHITE SPRUCE</t>
  </si>
  <si>
    <t>Subarctic ecosystems are experiencing rapid changes as a result of climate warming and more frequent and severe disturbances. There is considerable uncertainty regarding ecological trajectories following disturbance in forested ecosystems underlain by permafrost because their structure and function is controlled by feedbacks among soil conditions, vegetation, and ground thermal regime. In this paper, we studied post-disturbance ecosystem recovery in an area of discontinuous permafrost 32 years after construction and abandonment of a winter access road in Nahanni National Park Reserve (NNPR). Ecosystem recovery was examined by comparing disturbed (road) and undisturbed (adjacent to the road) sites in the following terrain types: spruce peatland, black spruce parkland, deciduous forest, and alpine treeline terrain. Our field data show that disturbances to discontinuous permafrost terrain can lead to large and persistent changes to ecosystem composition and structure. Our findings indicate that the ecological response of discontinuous permafrost to disturbance and climate warming will depend on interactions between soil conditions and vegetation communities. In instances where disturbance to discontinuous permafrost fundamentally disrupts stabilizing interactions between soil conditions and vegetation communities, we should expect lasting changes to ecosystem structure and function.</t>
  </si>
  <si>
    <t>[Cameron, Emily A.; Lantz, Trevor C.] Univ Victoria, Sch Environm Studies, David Turpin Bldg,B Wing,POB 1700 STN CSC, Victoria, BC V8W 2Y2, Canada</t>
  </si>
  <si>
    <t>University of Victoria</t>
  </si>
  <si>
    <t>Lantz, TC (corresponding author), Univ Victoria, Sch Environm Studies, David Turpin Bldg,B Wing,POB 1700 STN CSC, Victoria, BC V8W 2Y2, Canada.</t>
  </si>
  <si>
    <t>tlantz@uvic.ca</t>
  </si>
  <si>
    <t>Parks Canada; Natural Sciences and Engineering Research Council of Canada; Canada Foundation for Innovation; Northern Scientific Training Program</t>
  </si>
  <si>
    <t>Parks Canada; Natural Sciences and Engineering Research Council of Canada(Natural Sciences and Engineering Research Council of Canada (NSERC)CGIAR); Canada Foundation for Innovation(Canada Foundation for InnovationCGIARSpanish Government); Northern Scientific Training Program</t>
  </si>
  <si>
    <t>This research was supported by Parks Canada, the Natural Sciences and Engineering Research Council of Canada, the Canada Foundation for Innovation, and the Northern Scientific Training Program. Logistical support was provided by Audrey Steedman, Mike Suitor, Aaron Donohue, Jon Tsetso, and Doug Tate (Parks Canada). For support in the field and lab, the authors thank Mat Whitelaw, Kaylah Lewis, Bruce Bennett, Harneet Gill, Chanda Turner, and Becky Segal. The authors also thank Karen Harper, Brian Starzomski, and two anonymous reviewers for thoughtful commentary on this manuscript.</t>
  </si>
  <si>
    <t>10.1657/AAAR0016-012</t>
  </si>
  <si>
    <t>WOS:000402283000006</t>
  </si>
  <si>
    <t>Magney, TS; Logan, BA; Reblin, JS; Boelman, NT; Eitel, JUH; Greaves, HE; Griffin, KL; Prager, CM; Vierling, LA</t>
  </si>
  <si>
    <t>Magney, Troy S.; Logan, Barry A.; Reblin, Jaret S.; Boelman, Natalie T.; Eitel, Jan U. H.; Greaves, Heather E.; Griffin, Kevin L.; Prager, Case M.; Vierling, Lee A.</t>
  </si>
  <si>
    <t>Xanthophyll cycle activity in two prominent arctic shrub species</t>
  </si>
  <si>
    <t>PHOTOCHEMICAL REFLECTANCE INDEX; DEPENDENT ENERGY-DISSIPATION; PIGMENT COMPOSITION; PHOTOSYSTEM-II; USE EFFICIENCY; SCOTS PINE; PHOTOPROTECTIVE MECHANISMS; DATA ASSIMILATION; DIURNAL CHANGES; ANTARCTIC MOSS</t>
  </si>
  <si>
    <t>When the capacity for photosynthesis is constrained by unfavorable growing conditions, excess absorbed light is safely lost from leaves via thermal energy dissipation-a photoprotective mechanism ubiquitous among higher plants. The relatively low irradiance conditions yet stressful growing environment of the arctic tundra suggest contrasting hypotheses regarding the necessity for plant investment in photoprotection. To examine these hypotheses, the photoprotective pigments of the xanthophyll cycle were investigated in conjunction with non-photochemical quenching (NPQ) of chlorophyll fluorescence emission in two dominant arctic shrub species, Salix pulchra and Betula nana. The xanthophyll cycle pool sizes of S. pulchra leaves were substantially higher than those reported in most other higher plant species, whereas B. nana leaves maintain modestly high xanthophyll cycle pool sizes. In addition, high retention of de-epoxidized xanthophyll cycle pigments in both species and saturation of xanthophyll cycle conversion at low-light intensities were observed and associated with high levels of NPQ. The xanthophyll cycle leaf pigment pools reported are among the first published for arctic plants and support the hypothesis that foliar xanthophyll cycle activity is greater in environments prone to harsher growing conditions.</t>
  </si>
  <si>
    <t>[Magney, Troy S.; Eitel, Jan U. H.; Greaves, Heather E.; Vierling, Lee A.] Univ Idaho, Geospatial Lab Environm Dynam, 875 Perimeter Dr,MS 1139, Moscow, ID 83844 USA; [Logan, Barry A.; Reblin, Jaret S.] Bowdoin Coll, Dept Biol, 220 Druckenmiller Hall, Brunswick, ME 04011 USA; [Boelman, Natalie T.; Griffin, Kevin L.] Columbia Univ, Dept Earth &amp; Environm Sci, 557 Schermerhorn Extens,1200 Amsterdam Ave, New York, NY 10027 USA; [Boelman, Natalie T.; Griffin, Kevin L.] Columbia Univ, Lamont Doherty Earth Observ, 61 Route 9W, Palisades, NY 10964 USA; [Griffin, Kevin L.; Prager, Case M.] Columbia Univ, Dept Ecol Evolut &amp; Environm Biol, 10th Floor Schermerhorn Extens,1200 Amsterdam Ave, New York, NY 10027 USA; [Eitel, Jan U. H.; Vierling, Lee A.] Univ Idaho, McCall Outdoor Sci Sch, POB 1025, McCall, ID 83638 USA; [Magney, Troy S.] CALTECH, Jet Prop Lab, 4800 Oak Grove Dr,MS 233-300, Pasadena, CA 91109 USA</t>
  </si>
  <si>
    <t>Idaho; University of Idaho; Bowdoin College; Columbia University; Columbia University; Columbia University; Idaho; University of Idaho; National Aeronautics &amp; Space Administration (NASA); NASA Jet Propulsion Laboratory (JPL); California Institute of Technology</t>
  </si>
  <si>
    <t>Magney, TS (corresponding author), Univ Idaho, Geospatial Lab Environm Dynam, 875 Perimeter Dr,MS 1139, Moscow, ID 83844 USA.;Magney, TS (corresponding author), CALTECH, Jet Prop Lab, 4800 Oak Grove Dr,MS 233-300, Pasadena, CA 91109 USA.</t>
  </si>
  <si>
    <t>Troy.S.Magney@jpl.nasa.gov</t>
  </si>
  <si>
    <t>Griffin, Kevin Lee/GWZ-4828-2022; boelman, natalie t/K-9789-2015; Griffin, Kevin L./B-2629-2013</t>
  </si>
  <si>
    <t>Griffin, Kevin L./0000-0003-4124-3757; Magney, Troy/0000-0002-9033-0024; Logan, Barry/0000-0003-3920-2139; Reblin, Jaret/0000-0001-5925-2083; Boelman, Natalie/0000-0003-3716-2372</t>
  </si>
  <si>
    <t>NASA Terrestrial Ecology [NNX12AK83G]; NASA Idaho Space Grant Fellowship [NNX10AM75H]; National Science Foundation [455541, 1048361]; Division Of Environmental Biology; Direct For Biological Sciences [1026843] Funding Source: National Science Foundation; NASA [NNX10AM75H, NNX12AK83G, 128922, 43728] Funding Source: Federal RePORTER</t>
  </si>
  <si>
    <t>NASA Terrestrial Ecology; NASA Idaho Space Grant Fellowship; National Science Foundation(National Science Foundation (NSF)); Division Of Environmental Biology; Direct For Biological Sciences(National Science Foundation (NSF)NSF - Directorate for Biological Sciences (BIO)); NASA(National Aeronautics &amp; Space Administration (NASA))</t>
  </si>
  <si>
    <t>This work was supported by NASA Terrestrial Ecology grant NNX12AK83G (PI: LAV) and a NASA Idaho Space Grant Fellowship NNX10AM75H awarded to T. S. Magney. Meteorological data sets were provided by the Toolik Field Station Environmental Data Center supported by the National Science Foundation under grants 455541 and 1048361. The authors are extremely grateful for field and lab assistance from Christa Shen, Tia Vierling, Jess Gersony, Dr. Shahid Naeem, Ruth Oliver, Elizabeth Fortin, and Spencer Eusden and for support from the staff and greater research community of Toolik Field Station, Institute of Arctic Biology, University of Alaska Fairbanks.</t>
  </si>
  <si>
    <t>10.1657/AAAR0016-044</t>
  </si>
  <si>
    <t>WOS:000402283000007</t>
  </si>
  <si>
    <t>Zhou, JK; Prugh, L; Tape, KD; Kofinas, G; Kielland, K</t>
  </si>
  <si>
    <t>Zhou, Jiake; Prugh, Laura; Tape, Ken D.; Kofinas, Gary; Kielland, Knut</t>
  </si>
  <si>
    <t>The role of vegetation structure in controlling distributions of vertebrate herbivores in Arctic Alaska</t>
  </si>
  <si>
    <t>HABITAT USE; SNOWSHOE HARES; LEPUS-AMERICANUS; WILLOW PTARMIGAN; BREEDING HABITAT; SHRUB EXPANSION; CLIMATE-CHANGE; TUNDRA; MOOSE; COMMUNITY</t>
  </si>
  <si>
    <t>Climate-driven shrub expansion is altering the distribution of animal communities in the Arctic. A better understanding of habitat requirements is needed to accurately predict the response of herbivore communities to shrub expansion. We examined patterns of browsing by moose (Alces alces), snowshoe hare (Lepus americanus), and ptarmigan (Lagopus lagopus, L. muta) across the tundra of northern Alaska to determine whether forage requirements explain the distribution of herbivores in this ecosystem. In addition, we examined the potential for competition among these three shrub-dependent species. We recorded shrub characteristics and browsing levels at 59 sites along a 568 km riparian transect spanning from the Brooks Range to the Arctic Coast. Mean shrub height was positively correlated with browsing intensity for all three species (r = 0.40-0.71). The minimum shrub height threshold for hare occurrence (&gt;= 87 cm, 95% CI: 67-94) was similar to that for moose (&gt;= 81 cm, 95% CI: 65-96), whereas ptarmigan were nearly ubiquitous (&gt;= 3 cm, lower 95% CI = 0). Diet overlap among herbivores was nearly complete, with all three species heavily browsing feltleaf willow (Salix alaxensis). Our findings indicate that unlike moose and ptarmigan, forage availability does not appear to control the distribution of snowshoe hares in the Arctic. Resource competition may further affect distribution patterns within this guild as shrub cover continues to expand.</t>
  </si>
  <si>
    <t>[Zhou, Jiake; Kielland, Knut] Univ Alaska Fairbanks, Dept Biol &amp; Wildlife, 101 Murie,982 North Koyukuk Dr, Fairbanks, AK 99775 USA; [Zhou, Jiake; Kofinas, Gary; Kielland, Knut] Univ Alaska Fairbanks, Inst Arctic Biol, 311 Irving 1 Bldg,902 North Koyukuk Dr, Fairbanks, AK 99775 USA; [Zhou, Jiake; Kofinas, Gary] Univ Alaska Fairbanks, Resilience &amp; Adaptat Program, POB 75700, Fairbanks, AK 99775 USA; [Prugh, Laura] Univ Washington, Sch Environm &amp; Forest Sci, Anderson Hall,3715 West Stevens Way NE, Seattle, WA 98195 USA; [Tape, Ken D.] Univ Alaska Fairbanks, Inst Northern Engn, Water &amp; Environm Res Ctr, 539 Duckering Bldg,306 Tanana Loop, Fairbanks, AK 99775 USA; [Kofinas, Gary] Univ Alaska Fairbanks, Dept Nat Resources &amp; Extens, POB 757200,ONeill 303, Fairbanks, AK 99775 USA</t>
  </si>
  <si>
    <t>University of Alaska System; University of Alaska Fairbanks; University of Alaska System; University of Alaska Fairbanks; University of Alaska System; University of Alaska Fairbanks; University of Washington; University of Washington Seattle; University of Alaska System; University of Alaska Fairbanks; University of Alaska System; University of Alaska Fairbanks</t>
  </si>
  <si>
    <t>Zhou, JK (corresponding author), Univ Alaska Fairbanks, Dept Biol &amp; Wildlife, 101 Murie,982 North Koyukuk Dr, Fairbanks, AK 99775 USA.;Zhou, JK (corresponding author), Univ Alaska Fairbanks, Inst Arctic Biol, 311 Irving 1 Bldg,902 North Koyukuk Dr, Fairbanks, AK 99775 USA.;Zhou, JK (corresponding author), Univ Alaska Fairbanks, Resilience &amp; Adaptat Program, POB 75700, Fairbanks, AK 99775 USA.</t>
  </si>
  <si>
    <t>jzhou2@alaska.edu</t>
  </si>
  <si>
    <t>Zhou, Jiake/HNR-5109-2023</t>
  </si>
  <si>
    <t>Liz Claiborne and Art Ortenberg Foundation through a George Schaller Fellowship; Alaska EPSCoR NSF [OIA-1208927]; Office of Polar Programs (OPP); Directorate For Geosciences [1263854] Funding Source: National Science Foundation; Office Of The Director; Office of Integrative Activities [1208927] Funding Source: National Science Foundation</t>
  </si>
  <si>
    <t>Liz Claiborne and Art Ortenberg Foundation through a George Schaller Fellowship; Alaska EPSCoR NSF(National Science Foundation (NSF)NSF - Office of the Director (OD)NSF - Office of Integrative Activities (OIA)); Office of Polar Programs (OPP); Directorate For Geosciences(National Science Foundation (NSF)NSF - Directorate for Geosciences (GEO)); Office Of The Director; Office of Integrative Activities(National Science Foundation (NSF)NSF - Office of the Director (OD)NSF - Office of Integrative Activities (OIA))</t>
  </si>
  <si>
    <t>We thank Katie Christie and Martha Raynolds for their help during the development of field sampling protocol; Naomi O'Neal and Adele Wieiaczka for essential assistance on field sampling; Geoff Carroll from Alaska Department of Fish and Game for providing the aerial survey data; Andy Baltensperger for helpful comments on models. Funding was provided by the Liz Claiborne and Art Ortenberg Foundation through a George Schaller Fellowship to J. Zhou and Alaska EPSCoR NSF award #OIA-1208927 to G. Kofinas.</t>
  </si>
  <si>
    <t>10.1657/AAAR0016-058</t>
  </si>
  <si>
    <t>WOS:000402283000008</t>
  </si>
  <si>
    <t>Wang, CH; Wu, D; Kong, Y; Li, RL; Shi, HX</t>
  </si>
  <si>
    <t>Wang, Chenghai; Wu, Di; Kong, Ying; Li, Ruolin; Shi, Hongxia</t>
  </si>
  <si>
    <t>Changes of soil thermal and hydraulic regimes in northern hemisphere permafrost regions over the 21st century</t>
  </si>
  <si>
    <t>ACTIVE-LAYER THICKNESS; KUPARUK RIVER-BASIN; DISCONTINUOUS PERMAFROST; TIBETAN PLATEAU; CLIMATE; ALASKA; DEGRADATION; VARIABILITY; STATE</t>
  </si>
  <si>
    <t>Soil moisture (SM), snow depth (SND), and air temperature are crucial factors for the soil thermal and hydraulic regimes in the permafrost regions. This paper analyzes the contribution of these factors to active layer thickness (ALT) under different climate change scenarios in northern hemisphere permafrost regions, using simulations from the Coupled Model Intercomparison Project Phase 5 (CMIP5) for the early (2016-2035, EP), middle (2046-2065, MP), and late (2080-2099, LP) periods of the 21st century. The results indicate that, with the temperature increasing, the relation between ALT and SM, SND, and mean annual air temperature (MAAT) will change in different permafrost regions. During 1986-2005 (reference period), ALT correlates significantly with SND in Europe only, the contribution of MAAT and SM to ALT are significant over the Tibetan Plateau (TP) and in North America (NA). MAAT is the only significant contribution factor to ALT deepening for all regions. In the 21st century, for the high Representative Concentration Pathways (RCP8.5), MAAT plays a dominant role in ALT over the TP and NA; however, snow effect is enhanced under RCP2.6 and RCP4.5 in Europe and NA. With temperature increasing, the importance of SM and SND alternates for low and middle emission, and gradually declines for high emission. In general, MAAT is the main contributor to ALT during the 21st century, while the impact of SM and SND declines with increasing temperature. Contribution of SM, SND, and MAAT to ALT varies, which illustrates the differences in regional thermal and hydraulic regimes from warming in permafrost regions.</t>
  </si>
  <si>
    <t>[Wang, Chenghai; Wu, Di; Kong, Ying; Li, Ruolin; Shi, Hongxia] Lanzhou Univ, Coll Atmospher Sci, Key Lab Arid Climat Change &amp; Disaster Reduct Gans, Lanzhou 730000, Peoples R China</t>
  </si>
  <si>
    <t>Lanzhou University</t>
  </si>
  <si>
    <t>Wang, CH (corresponding author), Lanzhou Univ, Coll Atmospher Sci, Key Lab Arid Climat Change &amp; Disaster Reduct Gans, Lanzhou 730000, Peoples R China.</t>
  </si>
  <si>
    <t>wch@lzu.edu.cn</t>
  </si>
  <si>
    <t>Wang, Chenghai/N-9050-2014</t>
  </si>
  <si>
    <t>Wang, Chenghai/0000-0002-7122-7160</t>
  </si>
  <si>
    <t>National Natural Science Foundation of China [91437217, 41471034, 41661144017]; National Basic Research Program [2013CBA01808]</t>
  </si>
  <si>
    <t>National Natural Science Foundation of China(National Natural Science Foundation of China (NSFC)); National Basic Research Program(National Basic Research Program of China)</t>
  </si>
  <si>
    <t>This work was supported by the National Natural Science Foundation of China (91437217, 41471034, and 41661144017) and the National Basic Research Program (2013CBA01808). The soil water content data were obtained from the Global Land Data Assimilation System (GLDAS), and the climate data from the Climatic Research Unit (CRU). We are grateful for the present and future data from the CMIP5 output.</t>
  </si>
  <si>
    <t>10.1657/AAAR0016-026</t>
  </si>
  <si>
    <t>WOS:000402283000009</t>
  </si>
  <si>
    <t>Moore, GWK; Cristofanelli, P; Bonasoni, P; Verza, GP; Semple, JL</t>
  </si>
  <si>
    <t>Moore, G. W. K.; Cristofanelli, Paolo; Bonasoni, Paolo; Verza, Gian Pietro; Semple, J. L.</t>
  </si>
  <si>
    <t>Automatic weather station observations of the April 2014 Mount Everest avalanche</t>
  </si>
  <si>
    <t>GLACIER CHANGES; NEPAL; HIMALAYA; TOURISM; REGION; SNOW</t>
  </si>
  <si>
    <t>Instrumental records indicate a warming of approximately 0.8 degrees C has occurred in the Mount Everest region since the 1980s, which has resulted in a 100-300 m rise in the height at which the ground is permanently frozen as well as a retreat and thinning of Everest's glaciers. For some time, there have been concerns that this warming and the resultant changes in the region's glaciers may be increasing the risks for travellers to Mount Everest as well as the indigenous populations who support them. On 18 April 2014, an avalanche caused by the collapse of a large serac swept down Mount Everest's Khumbu Ice Fall resulting in the deaths of 16 Sherpa. Although satellite imagery has been used to estimate the size of the serac, in situ data on the avalanche itself has not been available. Here we show that this event coincided with an approximate 15-min-long wind, thermal, and moisture anomaly, which was observed at the Nepal Climate Observatory-Pyramid situated 10 km from Mount Everest. We argue that this anomaly was associated with the avalanche and thereby provides some information on its scale and duration as well as a potential mechanism to monitor future events in this remote and data-sparse region.</t>
  </si>
  <si>
    <t>[Moore, G. W. K.] Univ Toronto, Dept Phys, 60 St George St, Toronto, ON M5S 1A7, Canada; [Cristofanelli, Paolo; Bonasoni, Paolo] Natl Res Council Italy, Inst Atmospher Sci &amp; Climate, Via Piero Gobetti 101, I-40129 Bologna, Italy; [Verza, Gian Pietro] Ev K2 CNR, Via San Bernardino 145, Bergamo, Italy; [Semple, J. L.] Univ Toronto, Dept Surg, 6 Grenville St, Toronto, ON M5S 1B2, Canada</t>
  </si>
  <si>
    <t>University of Toronto; Consiglio Nazionale delle Ricerche (CNR); Istituto di Scienze dell'Atmosfera e del Clima (ISAC-CNR); Consiglio Nazionale delle Ricerche (CNR); University of Toronto</t>
  </si>
  <si>
    <t>Moore, GWK (corresponding author), Univ Toronto, Dept Phys, 60 St George St, Toronto, ON M5S 1A7, Canada.</t>
  </si>
  <si>
    <t>gwk.moore@utoronto.ca</t>
  </si>
  <si>
    <t>Moore, George Kent/D-8518-2011; Cristofanelli, Paolo/AAA-5575-2021; Bonasoni, Paolo/C-6338-2015</t>
  </si>
  <si>
    <t>Moore, George Kent/0000-0002-3986-5605; Cristofanelli, Paolo/0000-0001-5666-9131; Bonasoni, Paolo/0000-0002-8812-5291</t>
  </si>
  <si>
    <t>National Project of Interest Nextdata; Natural Sciences and Engineering Research Council of Canada</t>
  </si>
  <si>
    <t>National Project of Interest Nextdata; Natural Sciences and Engineering Research Council of Canada(Natural Sciences and Engineering Research Council of Canada (NSERC)CGIAR)</t>
  </si>
  <si>
    <t>The authors acknowledge the Ev-K2-CNR Committee for the logistical and technical support at NCO-P and the National Project of Interest Nextdata for the support of NCO-P scientific programs. G. W. K. Moore acknowledges funding from the Natural Sciences and Engineering Research Council of Canada. The authors also thank Dr. S. Stokes for the photograph of the precursor avalanche, Mr. Mark Horrell for the photograph of the 2014 avalanche, and Dr. K. Zafren, associate medical director of the Himalayan Rescue Association, for discussions regarding mortality due to Mount Everest avalanches. We dedicate this work to the memory of those lost in the 2014 and 2015 Mount Everest avalanches and in general to the Sherpa and porter communities whose expertise and hard work make it possible for others to travel to the Mount Everest region.</t>
  </si>
  <si>
    <t>10.1657/AAAR0016-059</t>
  </si>
  <si>
    <t>WOS:000402283000010</t>
  </si>
  <si>
    <t>Reisinger, RR; Beukes, C; Hoelzel, AR; de Bruyn, PJN</t>
  </si>
  <si>
    <t>Reisinger, Ryan R.; Beukes (nee Janse van Rensburge), Charlene; Hoelzel, A. Rus; de Bruyn, P. J. Nico</t>
  </si>
  <si>
    <t>Kinship and association in a highly social apex predator population, killer whales at Marion Island</t>
  </si>
  <si>
    <t>BEHAVIORAL ECOLOGY</t>
  </si>
  <si>
    <t>delphinids; group; network; predators; relatedness; sociality; social structure; socio-ecology</t>
  </si>
  <si>
    <t>FISSION-FUSION DYNAMICS; PRINCE-EDWARD-ISLANDS; OPTIMAL GROUP-SIZE; ORCINUS-ORCA; ECOLOGICAL DETERMINANTS; EVOLUTION; BEHAVIOR; PATTERNS; PROGRAM; RECONSTRUCTION</t>
  </si>
  <si>
    <t>Social structure is a core element of population biology, influenced by intrinsic and environmental factors. Intra-taxon comparisons of social organization are useful in elucidating the role of such ecological determinants of sociality. Killer whales Orcinus orca are widely distributed, social delphinids with diverse morphology, diet, behaviour, and genetics, but few studies have quantitatively examined social structure in this species. We used 7 years of individual identification data on killer whales at Marion Island, Southern Ocean, to calculate the half-weight association index among 39 individuals, creating a weighted association network. There were long-term associations between individuals, though associations were dynamic over time. We defined 8 social modules using a community detection algorithm and these typically contained 3 individuals of various ages and sexes. Pairwise genetic relatedness among 20 individuals was not significantly correlated with association index. Individuals were on average more related within than between social modules, but social modules contained related as well as unrelated individuals. Likely parent pairs of 6 individuals indicated mating between social modules.</t>
  </si>
  <si>
    <t>[Reisinger, Ryan R.; Beukes (nee Janse van Rensburge), Charlene; de Bruyn, P. J. Nico] Univ Pretoria, Mammal Res Inst, Dept Zool &amp; Entomol, Private Bag X20, ZA-0028 Pretoria, South Africa; [Reisinger, Ryan R.] Nelson Mandela Metropolitan Univ, Dept Zool, POB 77000, ZA-6031 Port Elizabeth, South Africa; [Hoelzel, A. Rus] Univ Durham, Sch Biol &amp; Biomed Sci, South Rd, Durham DH1 3LE, England</t>
  </si>
  <si>
    <t>University of Pretoria; Nelson Mandela University; Durham University</t>
  </si>
  <si>
    <t>Reisinger, RR (corresponding author), Univ Pretoria, Mammal Res Inst, Dept Zool &amp; Entomol, Private Bag X20, ZA-0028 Pretoria, South Africa.</t>
  </si>
  <si>
    <t>ryan.r.reisinger@gmail.com</t>
  </si>
  <si>
    <t>de Bruyn, P. J. Nico/E-4176-2010; Reisinger, Ryan/D-6151-2014</t>
  </si>
  <si>
    <t>de Bruyn, P. J. Nico/0000-0002-9114-9569; Reisinger, Ryan/0000-0002-8933-6875</t>
  </si>
  <si>
    <t>South African National Research Foundation (NRF) Thuthuka programme [76230]; NRF South African National Antarctic Programme [80271, 93071]; Mohamed bin Zayed Species Conservation Fund [10251290]; International Whaling Commission's Southern Ocean Research Partnership; NRF South African Network for Coastal and Oceanic Research post-doctoral fellowship [94916]</t>
  </si>
  <si>
    <t>South African National Research Foundation (NRF) Thuthuka programme; NRF South African National Antarctic Programme; Mohamed bin Zayed Species Conservation Fund; International Whaling Commission's Southern Ocean Research Partnership; NRF South African Network for Coastal and Oceanic Research post-doctoral fellowship</t>
  </si>
  <si>
    <t>This work was supported by the South African National Research Foundation (NRF) Thuthuka programme (grant number 76230), the NRF South African National Antarctic Programme (grant numbers 80271, 93071), the Mohamed bin Zayed Species Conservation Fund (project number 10251290), the International Whaling Commission's Southern Ocean Research Partnership and an NRF South African Network for Coastal and Oceanic Research post-doctoral fellowship to RRR (grant number 94916).</t>
  </si>
  <si>
    <t>OXFORD UNIV PRESS INC</t>
  </si>
  <si>
    <t>CARY</t>
  </si>
  <si>
    <t>JOURNALS DEPT, 2001 EVANS RD, CARY, NC 27513 USA</t>
  </si>
  <si>
    <t>1045-2249</t>
  </si>
  <si>
    <t>1465-7279</t>
  </si>
  <si>
    <t>BEHAV ECOL</t>
  </si>
  <si>
    <t>Behav. Ecol.</t>
  </si>
  <si>
    <t>10.1093/beheco/arx034</t>
  </si>
  <si>
    <t>Behavioral Sciences; Biology; Ecology; Zoology</t>
  </si>
  <si>
    <t>Behavioral Sciences; Life Sciences &amp; Biomedicine - Other Topics; Environmental Sciences &amp; Ecology; Zoology</t>
  </si>
  <si>
    <t>EV7GC</t>
  </si>
  <si>
    <t>Bronze, Green Submitted</t>
  </si>
  <si>
    <t>WOS:000401942800022</t>
  </si>
  <si>
    <t>El Goresy, A; Lin, Y; Miyahara, M; Gannoun, A; Boyet, M; Ohtani, E; Gillet, P; Trieloff, M; Simionovici, A; Feng, L; Lemelle, L</t>
  </si>
  <si>
    <t>El Goresy, A.; Lin, Y.; Miyahara, M.; Gannoun, A.; Boyet, M.; Ohtani, E.; Gillet, P.; Trieloff, M.; Simionovici, A.; Feng, L.; Lemelle, L.</t>
  </si>
  <si>
    <t>Origin of EL3 chondrites: Evidence for variable C/O ratios during their course of formationA state of the art scrutiny</t>
  </si>
  <si>
    <t>ENSTATITE CHONDRITES; OLDHAMITE; SITTA; EH3; NININGERITE; CHONDRULES; CHEMISTRY; MATRIX; CARBON; METAL</t>
  </si>
  <si>
    <t>Mineral inventories of enstatite chondrites; (EH and EL) are strictly dictated by combined parameters mainly very low dual oxygen (fO(2)) and sulfur (fS(2)) fugacities. They are best preserved in the Almahata Sitta MS-17, MS-177 fragments, and the ALHA 77295 and MAC 88136 Antarctic meteorites. These conditions induce a stark change of the geochemical behavior of nominally lithophile elements to chalcophile or even siderophile and changes in the elemental partitioning thus leading to formation of unusual mineral assemblages with high abundance of exotic sulfide species and enrichment in the metallic alloys, for example, silicides and phosphides. Origin and mode of formation of these exotic chondrites, and their parental source regions could be best scrutinized by multitask research experiments of the most primitive members covering mineralogical, petrological, cosmochemical, and indispensably short-lived isotopic chronology. The magnitude of temperature and pressure prevailed during their formation in their source regions could eventually be reasonably estimated: pre- and postaccretionary could eventually be deduced. The dual low fugacities are regulated by the carbon to oxygen ratios estimated to be &gt;0.83 and &lt;1.03. These parameters not only induce unusual geochemical behavior of the elements inverting many nominally lithophile elements to chalcophile or even siderophile or anthracophile. Structure and mineral inventories in EL3 and EH3 chondrites are fundamentally different. Yet EH3 and EL3 members store crucial information relevant to eventual source regions and importantly possible variation in C/O ratio in the course of their evolution. EL3 and EH3 chondrites contain trichotomous lithologies (1) chondrules and their fragments, (2) polygonal enstatite-dominated objects, and (3) multiphase metal-rich nodules. Mineralogical and cosmochemical inventories of lithologies in the same EL3 indicate not only similarities (REE inventory and anomalies in oldhamite) but also distinct differences (sinoite-enstatite-graphite relationship). Oldhamite in chondrules and polygonal fragments in EL3 depict negative Eu anomaly attesting a common cosmochemical source. Metal-dominated nodules in both EL3 and EH3 are conglomerates of metal clasts and sulfide fragments in EH3 and concentrically zoned C-bearing metal micropebbles (25m 50m) in EL3 thus manifesting a frozen in unique primordial accretionary metal texture and composition. Sinoite-enstatite-diopside-graphite textures reveal a nucleation and growth strongly suggestive of fluctuating C/O ratio during their nucleation and growth in the source regions. Mineral inventories, sulfide phase relations, sinoite-enstatite-graphite intergrowth, carbon and nitrogen isotopic compositions of graphite, spatial nitrogen abundance in graphite in metal nodules, and last but not least I-129/Xe-129 and Mn-53/Cr-53 systematics negate any previously suggested melting episode, pre-accretionary or dynamic, in parental asteroids.</t>
  </si>
  <si>
    <t>[El Goresy, A.] Univ Bayreuth, Bayer Geoinst, D-95447 Bayreuth, Germany; [Lin, Y.; Feng, L.] Chinese Acad Sci, Key Lab Earth &amp; Planetary Phys, Inst Geol &amp; Geophys, Beijing, Peoples R China; [Miyahara, M.] Hiroshima Univ, Dept Earth &amp; Planetary Syst Sci, Grad Sch Sci, Higashihiroshima 7398526, Japan; [Gannoun, A.; Boyet, M.] CNRS, UMR 6524, LMV, F-63038 Clermont Ferrand, France; [Ohtani, E.] Tohoku Univ, Dept Earth Sci, Grad Sch Sci, Sendai, Miyagi 9808578, Japan; [Gillet, P.] Ecole Polytech Fed Lausanne, CH-1015 Lausanne, Switzerland; [Trieloff, M.] Heidelberg Univ, Klaus Tschira Lab Kosmochem, Inst Geowissensch, D-69126 Heidelberg, Germany; [Simionovici, A.] Univ Grenoble, UGA CNRS, ISTerre, Observ Sci, CS 40700, F-38058 Grenoble 9, France; [Lemelle, L.] Ecole Normale Super Lyon, LGL TPE, CNRS, UMR 5570, F-69364 Lyon, France</t>
  </si>
  <si>
    <t>University of Bayreuth; Chinese Academy of Sciences; Institute of Geology &amp; Geophysics, CAS; Hiroshima University; Centre National de la Recherche Scientifique (CNRS); CNRS - National Institute for Earth Sciences &amp; Astronomy (INSU); Institut de Recherche pour le Developpement (IRD); Universite Clermont Auvergne (UCA); Universite Jean Monnet; Tohoku University; Swiss Federal Institutes of Technology Domain; Ecole Polytechnique Federale de Lausanne; Ruprecht Karls University Heidelberg; Communaute Universite Grenoble Alpes; Universite Grenoble Alpes (UGA); Centre National de la Recherche Scientifique (CNRS); Institut de Recherche pour le Developpement (IRD); Universite Gustave-Eiffel; Universite Savoie Mont Blanc; Universite Claude Bernard Lyon 1; Ecole Normale Superieure de Lyon (ENS de LYON); Centre National de la Recherche Scientifique (CNRS)</t>
  </si>
  <si>
    <t>El Goresy, A (corresponding author), Univ Bayreuth, Bayer Geoinst, D-95447 Bayreuth, Germany.</t>
  </si>
  <si>
    <t>ahmed.elgoresy@uni-bayreuth.de</t>
  </si>
  <si>
    <t>Miyahara, Masaaki/AAQ-6557-2020; Ohtani, Eiji/AAD-8011-2019; Miyahara, Masaaki/AAP-9679-2020; Simionovici, Alexandre S/E-5867-2018</t>
  </si>
  <si>
    <t>Miyahara, Masaaki/0000-0002-4404-9813; Miyahara, Masaaki/0000-0002-4404-9813;</t>
  </si>
  <si>
    <t>Natural Science Foundation of China [41273077, 41521062]; Ecole Polytechnique Federale de Lausanne, Switzerland; Klaus Tschira Stiftung; Grants-in-Aid for Scientific Research [15H05748] Funding Source: KAKEN</t>
  </si>
  <si>
    <t>Natural Science Foundation of China(National Natural Science Foundation of China (NSFC)); Ecole Polytechnique Federale de Lausanne, Switzerland; Klaus Tschira Stiftung; Grants-in-Aid for Scientific Research(Ministry of Education, Culture, Sports, Science and Technology, Japan (MEXT)Japan Society for the Promotion of ScienceGrants-in-Aid for Scientific Research (KAKENHI))</t>
  </si>
  <si>
    <t>We acknowledge the support of Profs. Tomoo Katsura and Hans Keppler, directors of the Bayerische Geoinstitut in Bayreuth, Germany for hosting the senior author and allowance to use of diverse scientific instruments. AE is deeply indebted to the Chinese Academy of Sciences in Beijing, for inviting him to conduct NanoSIMS 50L investigation at the Key Laboratory of Earth and Planetary Physics of CAS, covering his flight, lodging, and living costs. YL was financially supported by Natural Science Foundation of China (41273077, 41521062). We are also indebted to Ecole Polytechnique Federale de Lausanne, Switzerland for the generous financial support in purchasing Almahata Sitta enstatite chondrite fragments without which this research would not have been completed. We thank Klaus Tschira Stiftung for the support. We are grateful for Prof. Makoto Kimura, Ibaraki University, Mito, Japan for his constructive review that considerably improved the quality of the manuscript. Last but not least, we heartily thank Prof. Timothy Jull, chief Editor of MAPS for his constructive advice and nonbureaucratic handling of our submission.</t>
  </si>
  <si>
    <t>10.1111/maps.12832</t>
  </si>
  <si>
    <t>EV4HQ</t>
  </si>
  <si>
    <t>Green Submitted, Bronze</t>
  </si>
  <si>
    <t>WOS:000401720000001</t>
  </si>
  <si>
    <t>Goodrich, CA; Kita, NT; Sutton, SR; Wirick, S; Gross, J</t>
  </si>
  <si>
    <t>Goodrich, Cyrena Anne; Kita, Noriko T.; Sutton, Stephen R.; Wirick, Sue; Gross, Juliane</t>
  </si>
  <si>
    <t>The Miller Range 090340 and 090206 meteorites: Identification of new brachinite-like achondrites with implications for the diversity and petrogenesis of the brachinite clan</t>
  </si>
  <si>
    <t>PARTIAL MELT RESIDUES; OXYGEN-ISOTOPE; PARENT BODY; FEO-RICH; UREILITE PETROGENESIS; ORDINARY CHONDRITES; SOLAR-SYSTEM; OLIVINE; PETROLOGY; ORIGIN</t>
  </si>
  <si>
    <t>Miller Range (MIL) 090340 and MIL 090206 are olivine-rich achondrites originally classified as ureilites. We investigate their petrography, mineral compositions, olivine Cr valences, equilibration temperatures, and (for MIL 090340) oxygen isotope compositions, and compare them with ureilites and other olivine-rich achondrites. We conclude that they are brachinite-like achondrites that provide new insights into the petrogenesis of brachinite clan meteorites. MIL 090340,6 has a granoblastic texture and consists of 97 modal % by area olivine (Fo=molar Mg/[Mg+Fe]=71.3 +/- 0.6). It also contains minor to trace augite, chromite, chlorapatite, orthopyroxene, metal, troilite, and terrestrial Fe-oxides. Approximately 80% by area of MIL 090206,5 has a granoblastic texture of olivine (Fo 72.3 +/- 0.1) plus minor augite and chromite, similar to MIL 090340 but also containing minor plagioclase. The rest of the section consists of a single crystal of orthopyroxene (11x3mm), poikilitically enclosing rounded grains of olivine (Fo=76.1 +/- 0.6), augite, chromite, metal, and sulfide. Equilibration temperatures for MIL 090340 and MIL 090206, calculated from olivine-spinel, olivine-augite, and two-pyroxene thermometry range from 800 to 930 degrees C. In both samples, symplectic intergrowths of Ca-poor orthopyroxene + opaque phases (Fe-oxides, sulfide, metal) occur as rims on and veins/patches within olivine. Before terrestrial weathering, the opaques were probably mostly sulfide, with minor metal. All petrologic properties of MIL 090340 and MIL 090206 are consistent with those of brachinite clan meteorites, and largely distinct from those of ureilites. Oxygen isotope compositions of olivine in MIL 090340 (O-18=5.08 +/- 0.30 parts per thousand, O-17=2.44 +/- 0.21 parts per thousand, and O-17=-0.20 +/- 0.12 parts per thousand) are also within the range of brachinite clan meteorites, and well distinguished from ureilites. Olivine Cr valences in MIL 090340 and the granoblastic area of MIL 090206 are 2.57 +/- 0.06 and 2.59 +/- 0.07, respectively, similar to those of three brachinites also analyzed here (Brachina, Hughes 026, Nova 003). They are higher than those of olivine in ureilites, even those containing chromite. The valence systematics of MIL 090340, MIL 090206, and the three analyzed brachinites (lower Fo = more oxidized Cr) are consistent with previous evidence that brachinite-like parent bodies were inherently more oxidized than the ureilite parent body. The symplectic orthopyroxene + sulfide/metal assemblages in MIL 090340, MIL 090206, and many brachinite clan meteorites have superficial similarities to characteristic reduction rims in ureilites. However, they differ significantly in detail. They likely formed by reaction of olivine with S-rich fluids, with only minor reduction. MIL 090340 and the granoblastic area of MIL 090206 are similar in modal mineralogy and texture to most brachinites, but have higher Fo values typical of brachinite-like achondrites. The poikilitic pyroxene area of MIL 090206 is more typical of brachinite-like achondrites. The majority of their properties suggest that MIL 090340 and MIL 090206 are residues of low-degree partial melting. The poikilitic area of MIL 090206 could be a result of limited melt migration, with trapping and recrystallization of a small volume of melt in the residual matrix. These two samples are so similar in mineral compositions, Cr valence, and cosmic ray exposure ages that they could be derived from the same lithologic unit on a common parent body.</t>
  </si>
  <si>
    <t>[Goodrich, Cyrena Anne] Lunar &amp; Planetary Inst, 3600 Bay Area Blvd, Houston, TX 77058 USA; [Goodrich, Cyrena Anne] Planetary Sci Inst, 1700 E Ft Lowell Dr, Tucson, AZ 85719 USA; [Kita, Noriko T.] Univ Wisconsin, Wisc SIMS, Madison, WI 53706 USA; [Sutton, Stephen R.] Univ Chicago, Dept Geophys Sci, 5734 S Ellis Ave, Chicago, IL 60637 USA; [Sutton, Stephen R.; Wirick, Sue] Univ Chicago, Ctr Adv Radiat Sources, Chicago, IL 60637 USA; [Gross, Juliane] Rutgers State Univ, Dept Earth &amp; Planetary Sci, 610 Taylor Rd, Piscataway, NJ 08854 USA; [Gross, Juliane] Amer Museum Nat Hist, Dept Earth &amp; Planetary Sci, New York, NY 10024 USA</t>
  </si>
  <si>
    <t>University of Wisconsin System; University of Wisconsin Madison; University of Chicago; University of Chicago; Rutgers University System; Rutgers University New Brunswick; American Museum of Natural History (AMNH)</t>
  </si>
  <si>
    <t>Goodrich, CA (corresponding author), Lunar &amp; Planetary Inst, 3600 Bay Area Blvd, Houston, TX 77058 USA.;Goodrich, CA (corresponding author), Planetary Sci Inst, 1700 E Ft Lowell Dr, Tucson, AZ 85719 USA.</t>
  </si>
  <si>
    <t>goodrich@lpi.usra.edu</t>
  </si>
  <si>
    <t>Kita, Noriko T./H-8035-2016</t>
  </si>
  <si>
    <t>Kita, Noriko T./0000-0002-0204-0765</t>
  </si>
  <si>
    <t>NASA [NNX12AH74G]; Lunar and Planetary Institute; National Science Foundation-Earth Sciences [EAR-1128799]; Department of Energy-GeoSciences [DE-FG02-94ER14466]; DOE Office of Science [DE-AC02-06CH11357]; NASA RIS4E Virtual Institute [SSERVI-2016-002]; NASA [19756, NNX12AH74G] Funding Source: Federal RePORTER</t>
  </si>
  <si>
    <t>NASA(National Aeronautics &amp; Space Administration (NASA)); Lunar and Planetary Institute; National Science Foundation-Earth Sciences(National Science Foundation (NSF)); Department of Energy-GeoSciences(United States Department of Energy (DOE)); DOE Office of Science(United States Department of Energy (DOE)); NASA RIS4E Virtual Institute; NASA(National Aeronautics &amp; Space Administration (NASA))</t>
  </si>
  <si>
    <t>We thank Addi Bischoff, Joseph Boesenberg, Shawn Wallace, Rainer Bartoschewitz, and the Antarctic Meteorite Working Group for the loan of samples. We thank Michael Jercinovic at the University of Massachusetts, Amherst, for assistance with SEM and EMPA work. Discussions with Paul Warren and Alan Rubin are greatly appreciated. We thank Kathryn Gardner-Vandy and James Day for helpful reviews, and Gretchen Benedix for editorial handling. This work was supported by NASA grant NNX12AH74G to Cyrena Goodrich, and by the Lunar and Planetary Institute. Portions of this work were performed at GeoSoilEnviroCARS (Sector 13), Advanced Photon Source (APS), Argonne National Laboratory. GeoSoilEnviroCARS is supported by the National Science Foundation-Earth Sciences (EAR-1128799) and Department of Energy-GeoSciences (DE-FG02-94ER14466). This research used resources of the Advanced Photon Source, a U.S. Department of Energy (DOE) Office of Science User Facility operated for the DOE Office of Science by Argonne National Laboratory under Contract No. DE-AC02-06CH11357. XANES data analysis by Andrea Bryant was supported by the NASA RIS4E Virtual Institute (publication #SSERVI-2016-002). This paper is PSI contribution No. #634 and LPI contribution #1988.</t>
  </si>
  <si>
    <t>10.1111/maps.12846</t>
  </si>
  <si>
    <t>Green Accepted, Bronze, Green Submitted</t>
  </si>
  <si>
    <t>WOS:000401720000011</t>
  </si>
  <si>
    <t>Genge, MJ</t>
  </si>
  <si>
    <t>Genge, Matthew J.</t>
  </si>
  <si>
    <t>The entry heating and abundances of basaltic micrometeorites</t>
  </si>
  <si>
    <t>COSMIC SPHERULES; ANTARCTIC MICROMETEORITES; COLLECTION; DUST; METEORITES; CRUSTS; BODIES; MODEL; MELTS; ICE</t>
  </si>
  <si>
    <t>Basaltic micrometeorites (MMs) derived from HED-like parent bodies have been found among particles collected from the Antarctic and from Arctic glaciers and are to date the only achondritic particles reported among cosmic dust. The majority of Antarctic basaltic particles are completely melted cosmic spherules with only one unmelted particle recognized from the region. This paper investigates the entry heating of basaltic MMs in order to predict the relative abundances of unmelted to melted basaltic particles and to evaluate how mineralogical differences in precursor materials influence the final products of atmospheric entry collected on the Earth's surface. Thermodynamic modeling is used to simulate the melting behavior of particles with compositions corresponding to eucrites, diogenites, and ordinary chondrites in order to evaluate degree of partial melting and to make a comparison between the behavior of chondritic particles that dominate the terrestrial dust flux and basaltic micrometeroids. The results of 120,000 simulations were compiled to predict relative abundances and indicate that the phase relations of precursor materials are crucial in determining the relative abundances of particle types. Diogenite and ordinary chondrite materials exhibit similar behavior, although diogenite precursors are more likely to form cosmic spherules under similar entry parameters. Eucrite particles, however, are much more likely to melt due to their lower liquidus temperatures and small temperature interval of partial melting. Eucrite MMs, therefore, usually form completely molten cosmic spherules except at particle diameters &lt;100m. The low abundance of unmelted basaltic MMs compared with spherules, if statistically valid, is also shown to be inconsistent with a low velocity population (12km s(-1)) and is more compatible with higher velocities which may suggest a near-Earth asteroid source dominates the current dust production of basaltic MMs.</t>
  </si>
  <si>
    <t>[Genge, Matthew J.] Imperial Coll London, IARC, Dept Earth Sci &amp; Engn, Exhibit Rd, London SW7 2AZ, England; [Genge, Matthew J.] Nat Hist Museum, Dept Earth Sci, Cromwell Rd, London SW7 2BT, England</t>
  </si>
  <si>
    <t>Imperial College London; Natural History Museum London; Natural History Museum London</t>
  </si>
  <si>
    <t>Genge, MJ (corresponding author), Imperial Coll London, IARC, Dept Earth Sci &amp; Engn, Exhibit Rd, London SW7 2AZ, England.;Genge, MJ (corresponding author), Nat Hist Museum, Dept Earth Sci, Cromwell Rd, London SW7 2BT, England.</t>
  </si>
  <si>
    <t>m.genge@imperial.ac.uk</t>
  </si>
  <si>
    <t>Suttle, Martin/0000-0001-7165-2215; Genge, Matthew/0000-0002-9528-5971</t>
  </si>
  <si>
    <t>Science and Technology Council (STFC) [ST/J001260/1]; Science and Technology Facilities Council [ST/N000803/1, ST/J001260/1] Funding Source: researchfish; UK Space Agency [ST/M003167/1] Funding Source: researchfish; STFC [ST/N000803/1, ST/J001260/1] Funding Source: UKRI</t>
  </si>
  <si>
    <t>Science and Technology Council (STFC); Science and Technology Facilities Council(UK Research &amp; Innovation (UKRI)Science &amp; Technology Facilities Council (STFC)); UK Space Agency; STFC(UK Research &amp; Innovation (UKRI)Science &amp; Technology Facilities Council (STFC))</t>
  </si>
  <si>
    <t>Carole Cordier is thanked for useful discussions on this paper. This research was funded on Science and Technology Council (STFC) [grant number ST/J001260/1].</t>
  </si>
  <si>
    <t>10.1111/maps.12830</t>
  </si>
  <si>
    <t>WOS:000401720000013</t>
  </si>
  <si>
    <t>Li, F; Xiao, F; Zhang, SK; E, DC; Cheng, X; Hao, WF; Yuan, LX; Zuo, YW</t>
  </si>
  <si>
    <t>Li Fei; Xiao Feng; Zhang Sheng-Kai; E Dong-Chen; Cheng Xiao; Hao Wei-Feng; Yuan Le-Xian; Zuo Yao-Wen</t>
  </si>
  <si>
    <t>DEM development and precision analysis for Antarctic ice sheet using CryoSat-2 altimetry data</t>
  </si>
  <si>
    <t>CHINESE JOURNAL OF GEOPHYSICS-CHINESE EDITION</t>
  </si>
  <si>
    <t>Chinese</t>
  </si>
  <si>
    <t>Antarctic; Ice sheet; Digital elevation model; CryoSat-2</t>
  </si>
  <si>
    <t>DIGITAL ELEVATION MODEL; RADAR ALTIMETRY; SATELLITE RADAR; MASS CHANGE; DOME-A; TOPOGRAPHY; GREENLAND; ACCURACY; CLIMATE; GPS</t>
  </si>
  <si>
    <t>Digital elevation models are of fundamental importance to many geoscientific and environmental studies in Antarctic, and due to relatively poor coverage by ground based surveys, the main data source for constructing an Antarctic DEM is satellite altimetry. The newest operating satellite-borne altimeter with ice applications is the ESA satellite CryoSat-2, which was launched in April 2010. CryoSat-2 provides altimetry data up to a latitude of 88 degrees S/N, which is a significant improvement to previous satellite borne altimeters. Based on two full cycles of CryoSat-2 observations acquired between December 2012 and January 2015 we derived a new DEM for the Antarctic Ice Sheet. The accuracy of generated DEM depends largely on the interpolation method adopted and five commonly used interpolation methods were compared using the Cross Validation method. The Kriging method yielded better estimates for the Antarctic Ice Sheet and was adopted when constructing the final DEM. For the CryoSat-2 LRM data we followed an iterative approach to correct for the surface slope, and the slope correction was applied to each data point using the relocation method. Data gap beyond the latitudinal limit of the CryoSat-2 mission (88 degrees S) was filled by contour data from ADD. Finally, we present a new Antarctic DEM with a pixel size of 1 km X 1 km. The accuracy of the final DEM was assessed by using ICESat data, IceBridge data and GPS data and compared with four common used Antarctic DEMs namely Bamber 1 km DEM, ICESat DEM, RAMPv2 DEM and JLB97 DEM. The results show that the CryoSat-2 DEM has an uncertainty of 0.73 +/- 8.398 m. The vertical accuracy of the DEM is better than 1 m at domes, better than 4 m for the ice shelves, better than 10 m for the interior ice sheet and over 150 m for the rugged mountainous and coastal areas.</t>
  </si>
  <si>
    <t>[Li Fei; Xiao Feng; Zhang Sheng-Kai; E Dong-Chen; Hao Wei-Feng; Yuan Le-Xian; Zuo Yao-Wen] Wuhan Univ, Chinese Antarctic Ctr Surveying &amp; Mapping, Wuhan 430079, Peoples R China; [Cheng Xiao] Beijing Normal Univ, Coll Global Change &amp; Earth Syst Sci, Beijing 100875, Peoples R China</t>
  </si>
  <si>
    <t>Wuhan University; Beijing Normal University</t>
  </si>
  <si>
    <t>Zhang, SK (corresponding author), Wuhan Univ, Chinese Antarctic Ctr Surveying &amp; Mapping, Wuhan 430079, Peoples R China.</t>
  </si>
  <si>
    <t>fli@whu.edu.cn; zskai@whu.edu.cn</t>
  </si>
  <si>
    <t>SCIENCE PRESS</t>
  </si>
  <si>
    <t>BEIJING</t>
  </si>
  <si>
    <t>16 DONGHUANGCHENGGEN NORTH ST, BEIJING 100717, PEOPLES R CHINA</t>
  </si>
  <si>
    <t>0001-5733</t>
  </si>
  <si>
    <t>CHINESE J GEOPHYS-CH</t>
  </si>
  <si>
    <t>Chinese J. Geophys.-Chinese Ed.</t>
  </si>
  <si>
    <t>10.6038/cjg20170501</t>
  </si>
  <si>
    <t>EU1TB</t>
  </si>
  <si>
    <t>WOS:000400803000001</t>
  </si>
  <si>
    <t>Kessel, A; Kolodny, R; Ben-Tal, N</t>
  </si>
  <si>
    <t>Kessel, Amit; Kolodny, Rachel; Ben-Tal, Nir</t>
  </si>
  <si>
    <t>Similarity between the Usher Plug and the Repeating Domain of an Ice-adhesin: Evolution via Surface Reshaping</t>
  </si>
  <si>
    <t>ISRAEL JOURNAL OF CHEMISTRY</t>
  </si>
  <si>
    <t>evolution; electrostatics; unstructure; ConSurf; Ig-like domain</t>
  </si>
  <si>
    <t>BACTERIAL OUTER-MEMBRANE; GRAM-NEGATIVE BACTERIA; GIANT PROTEIN TITIN; ANTARCTIC BACTERIUM; ANTIFREEZE PROTEIN; SECRETION; INSIGHTS</t>
  </si>
  <si>
    <t>The PapC usher and MpAFP ice-adhesin feature Ig-like domains, which are similar in shape and sequence but are engaged in very different functions. We explore how evolution reshaped the surfaces of these two domains to fit to their respective functions. In PapC, the Ig-like domain forms a rigid plug that seals the translocation channel in the inactive state. Upon activation, it undergoes a hinge motion, as an intact domain, to allow passage and assembly of the pili that goes through the pore. In accordance with this function, our calculations show that its surface is, in essence, electrostatically neutral, to facilitate the interaction with the PapC pore, and that this feature is evolutionarily conserved among its close homologues. On the other hand, within the context of MpAFP, the Ig-like domain is the main repeating unit, and our calculations show that its surface features a negative electrostatic potential of unusually high magnitude. The potential is balanced by bound Ca2+ ions. This is consistent with Ca2+-dependent secretion of unfolded MpAFP across the double membrane of the bacterium, and folding outside, where Ca2+ concentration is high.</t>
  </si>
  <si>
    <t>[Kessel, Amit; Ben-Tal, Nir] Tel Aviv Univ, George S Wise Fac Life Sci, Dept Biochem &amp; Mol Biol, IL-69978 Ramat Aviv, Israel; [Kolodny, Rachel] Univ Haifa, Dept Comp Sci, IL-31905 Har Hakarmel, Israel</t>
  </si>
  <si>
    <t>Tel Aviv University; University of Haifa</t>
  </si>
  <si>
    <t>Kessel, A (corresponding author), Tel Aviv Univ, George S Wise Fac Life Sci, Dept Biochem &amp; Mol Biol, IL-69978 Ramat Aviv, Israel.</t>
  </si>
  <si>
    <t>Ben-Tal, Nir/0000-0001-6901-832X; Kessel, Amit/0000-0003-0227-0226</t>
  </si>
  <si>
    <t>Israel Science Foundation [450/16]</t>
  </si>
  <si>
    <t>Israel Science Foundation(Israel Science Foundation)</t>
  </si>
  <si>
    <t>This research is supported by grant No. 450/16 of The Israel Science Foundation to R. K. and N. B.-T.</t>
  </si>
  <si>
    <t>WILEY-V C H VERLAG GMBH</t>
  </si>
  <si>
    <t>WEINHEIM</t>
  </si>
  <si>
    <t>POSTFACH 101161, 69451 WEINHEIM, GERMANY</t>
  </si>
  <si>
    <t>0021-2148</t>
  </si>
  <si>
    <t>1869-5868</t>
  </si>
  <si>
    <t>ISR J CHEM</t>
  </si>
  <si>
    <t>Isr. J. Chem.</t>
  </si>
  <si>
    <t>10.1002/ijch.201600133</t>
  </si>
  <si>
    <t>Chemistry, Multidisciplinary</t>
  </si>
  <si>
    <t>Chemistry</t>
  </si>
  <si>
    <t>EU9AG</t>
  </si>
  <si>
    <t>WOS:000401329000004</t>
  </si>
  <si>
    <t>Stewart, KD; Hogg, AM; Griffies, SM; Heerdegen, AP; Ward, ML; Spence, P; England, MH</t>
  </si>
  <si>
    <t>Stewart, K. D.; Hogg, A. McC.; Griffies, S. M.; Heerdegen, A. P.; Ward, M. L.; Spence, P.; England, M. H.</t>
  </si>
  <si>
    <t>Vertical resolution of baroclinic modes in global ocean models</t>
  </si>
  <si>
    <t>OCEAN MODELLING</t>
  </si>
  <si>
    <t>Vertical resolution; Baroclinic modal structure; High-resolution global ocean model</t>
  </si>
  <si>
    <t>ANTARCTIC CIRCUMPOLAR CURRENT; SOUTHERN-OCEAN; SIMULATED CLIMATE; CIRCULATION; MESOSCALE; TOPOGRAPHY; VARIABILITY; SENSITIVITY; EDDIES; SUITE</t>
  </si>
  <si>
    <t>Improvements in the horizontal resolution of global ocean models, motivated by the horizontal resolution requirements for specific flow features, has advanced modelling capabilities into the dynamical regime dominated by mesoscale variability. In contrast, the choice of the vertical grid remains a subjective choice, and it is not clear that efforts to improve vertical resolution adequately support their horizontal counterparts. Indeed, considering that the bulk of the vertical ocean dynamics (including convection) are parameterized, it is not immediately obvious what the vertical grid is supposed to resolve. Here, we propose that the primary purpose of the vertical grid in a hydrostatic ocean model is to resolve the vertical structure of horizontal flows, rather than to resolve vertical motion. With this principle we construct vertical grids based on their abilities to represent baroclinic modal structures commensurate with the theoretical capabilities of a given horizontal grid. This approach is designed to ensure that the vertical grids of global ocean models complement (and, importantly, to not undermine) the resolution capabilities of the horizontal grid. We find that for z-coordinate global ocean models, at least 50 well positioned vertical levels are required to resolve the first baroclinic mode, with an additional 25 levels per subsequent mode. High-resolution ocean-sea ice simulations are used to illustrate some of the dynamical enhancements gained by improving the vertical resolution of a 1/10(circle) global ocean model. These enhancements include substantial increases in the sea surface height variance (similar to 30% increase south of 40(circle)S), the barotropic and baroclinic eddy kinetic energies (up to 200% increase on and surrounding the Antarctic continental shelf and slopes), and the overturning streamfunction in potential density space (near-tripling of the Antarctic Bottom Water cell at 65(circle)S). (C) 2017 Elsevier Ltd. All rights reserved.</t>
  </si>
  <si>
    <t>[Stewart, K. D.; Hogg, A. McC.; Heerdegen, A. P.] Australian Natl Univ, Res Sch Earth Sci, Canberra, ACT, Australia; [Stewart, K. D.; Hogg, A. McC.; Heerdegen, A. P.; Spence, P.; England, M. H.] Australian Res Council, Ctr Excellence Climate Syst Sci, Canberra, ACT, Australia; [Griffies, S. M.] NOAA, Geophys Fluid Dynam Lab, Princeton, NJ USA; [Ward, M. L.] Australian Natl Univ, Natl Computat Infrastruct, Canberra, ACT, Australia; [Spence, P.; England, M. H.] Univ New South Wales, Climate Change Res Ctr, Sydney, NSW, Australia</t>
  </si>
  <si>
    <t>Australian National University; National Oceanic Atmospheric Admin (NOAA) - USA; Australian National University; University of New South Wales Sydney</t>
  </si>
  <si>
    <t>Stewart, KD (corresponding author), Australian Natl Univ, Res Sch Earth Sci, Canberra, ACT, Australia.</t>
  </si>
  <si>
    <t>kial.stewart@anu.edu.au</t>
  </si>
  <si>
    <t>Spence, Paul/IZE-7366-2023; Hogg, Andy/AAZ-8733-2021; England, Matthew/A-7539-2011; Griffies, Stephen Matthew/N-9144-2019; Hogg, Andy McC./A-7553-2011; Stewart, Kial/P-6684-2016</t>
  </si>
  <si>
    <t>Spence, Paul/0000-0001-5156-2204; Hogg, Andy/0000-0001-5898-7635; England, Matthew/0000-0001-9696-2930; Griffies, Stephen Matthew/0000-0002-3711-236X; Hogg, Andy McC./0000-0001-5898-7635; Stewart, Kial/0000-0002-9947-1958; Heerdegen, Aidan/0000-0002-4481-4896</t>
  </si>
  <si>
    <t>ARC [FT120100842, DE150100223, FL100100214]; Australian Research Council [DE150100223] Funding Source: Australian Research Council</t>
  </si>
  <si>
    <t>ARC(Australian Research Council); Australian Research Council(Australian Research Council)</t>
  </si>
  <si>
    <t>The WOCE observational data were obtained from the Electronic Atlas of WOCE Data website, www.ewoce.org. The WOA13 climatology data were obtained from the NOAA website, www.nodc.noaa.gov. Many thanks to A. Adcroft, S. Downes, A. Gibson, R. Holmes, C. Shakespeare and A. Stewart for very helpful discussions, and to the COSIMA consortium (www.cosima.org.au) for making available the 1/10 degrees global model output. A.M.H., P.S. and M.H.E were supported by ARC Fellowships FT120100842, DE150100223 and FL100100214, respectively. The numerical simulations and analysis were performed with the resources of the National Computational Infrastructure (Canberra, Australia). The code for building the vertical grid is available at www.github.com/kialstewart. The authors would like to thank the anonymous reviewers for their valuable comments and suggestions to improve the quality of the paper.</t>
  </si>
  <si>
    <t>1463-5003</t>
  </si>
  <si>
    <t>1463-5011</t>
  </si>
  <si>
    <t>OCEAN MODEL</t>
  </si>
  <si>
    <t>Ocean Model.</t>
  </si>
  <si>
    <t>10.1016/j.ocemod.2017.03.012</t>
  </si>
  <si>
    <t>Meteorology &amp; Atmospheric Sciences; Oceanography</t>
  </si>
  <si>
    <t>EU6IT</t>
  </si>
  <si>
    <t>WOS:000401138400005</t>
  </si>
  <si>
    <t>Cipro, CVZ; Bustamante, P; Montone, RC</t>
  </si>
  <si>
    <t>Cipro, Caio V. Z.; Bustamante, Paco; Montone, Rosalinda C.</t>
  </si>
  <si>
    <t>Influence of Delipidation on Hg Analyses in Biological Tissues: A Case Study for an Antarctic Ecosystem</t>
  </si>
  <si>
    <t>WATER AIR AND SOIL POLLUTION</t>
  </si>
  <si>
    <t>Delipidation; Mercury; Antarctica; Food web</t>
  </si>
  <si>
    <t>KING-GEORGE ISLAND; ORGANIC POLLUTANTS; MERCURY EXPOSURE; LIPID EXTRACTION; STABLE-ISOTOPES; CARBON ISOTOPES; METHYL MERCURY; FRACTIONATION; WATER; FISH</t>
  </si>
  <si>
    <t>The use of low-polarity organic solvents is widespread in cleanup/extraction processes in order to carry compounds of interest, remove interferences and separate phases, among other uses. A large number of studies have used delipidation to remove excess of lipids to analyse carbon stable isotopes in biological tissues for trophic and behavioural ecology investigations. In this context, the primary aim of this study is to assess the influence of one delipidation process on the results of total mercury (Hg) analyses and the possible use of delipidated samples from previous analyses, such as for stable isotopes, in Hg level determination. Samples of vegetation (angiosperm, lichens and mosses), invertebrates (krill and limpets), fish (marbled and black rockcod), bird liver and eggs (Antarctic, Gentoo and Adelie penguins, kelp gull, Antarctic tern, cape petrel and giant southern petrel) and pinniped tissues (Weddell seal, crabeater seal, southern elephant seal and Antarctic fur seal) were analysed for Hg before and after delipidation by cyclohexane. The difference between the two measurements ranged individually from -63 to 136% (in the moss Sanionia uncinata) and the averages ranged from -60 to 66% (in pinniped tissues). The proportion of organic Hg, which presents considerable lipophilicity, but also high affinity for sulfhydryl groups in proteins, might be responsible for such variability. Given the limitations of our study, we think it is safe to say that delipidated samples could not be used to infer total Hg values in non-delipidated ones.</t>
  </si>
  <si>
    <t>[Cipro, Caio V. Z.; Montone, Rosalinda C.] Univ Sao Paulo, Inst Oceanog, Lab Quim Organ Marinha, BR-05508120 Sao Paulo, SP, Brazil; [Cipro, Caio V. Z.; Bustamante, Paco] Univ La Rochelle, CNRS, Littoral Environm &amp; Soc LIENSs, UMR 7266, 2 Rue Olympe de Gouges, F-17042 Nantes 01, France</t>
  </si>
  <si>
    <t>Universidade de Sao Paulo; La Rochelle Universite; Centre National de la Recherche Scientifique (CNRS)</t>
  </si>
  <si>
    <t>Cipro, CVZ (corresponding author), Univ Sao Paulo, Inst Oceanog, Lab Quim Organ Marinha, BR-05508120 Sao Paulo, SP, Brazil.</t>
  </si>
  <si>
    <t>caiovzc@usp.br</t>
  </si>
  <si>
    <t>Bustamante, Paco/G-5833-2011; Zecchin Cipro, Caio Vinicius/C-6338-2014; Montone, Rosalinda/J-9110-2012</t>
  </si>
  <si>
    <t>Bustamante, Paco/0000-0003-3877-9390; Zecchin Cipro, Caio Vinicius/0000-0002-7028-6353; Montone, Rosalinda/0000-0002-9586-1000</t>
  </si>
  <si>
    <t>CPER 13 (Contrat de Plan Etat-Region); CAPES (Coordination for the Improvement of Higher Education Personnel via Science without Borders programme, Brazil [11490-13-6]; CNPq [55.0348/2002-6, 550018/ 2007-7]; Brazilian Antarctic Program (PROANTAR), Ministry of the Environment (MMA); Conselho Nacional de Desenvolvimento Cientifico e Tecnologico (CNPq)</t>
  </si>
  <si>
    <t>CPER 13 (Contrat de Plan Etat-Region); CAPES (Coordination for the Improvement of Higher Education Personnel via Science without Borders programme, Brazil(Coordenacao de Aperfeicoamento de Pessoal de Nivel Superior (CAPES)); CNPq(Conselho Nacional de Desenvolvimento Cientifico e Tecnologico (CNPQ)); Brazilian Antarctic Program (PROANTAR), Ministry of the Environment (MMA); Conselho Nacional de Desenvolvimento Cientifico e Tecnologico (CNPq)(Conselho Nacional de Desenvolvimento Cientifico e Tecnologico (CNPQ))</t>
  </si>
  <si>
    <t>The authors acknowledge CPER 13 (Contrat de Plan Etat-Region) for funding the AMA. C.V.Z.C. received scholarships from CAPES (Coordination for the Improvement of Higher Education Personnel via the Science without Borders programme, Brazil; grant no. 11490-13-6). C. Churlaud and M. Brault-Favrou of the 'Plateforme Analyses Elementaires' of LIENSs are to be thanked for their assistance during Hg analyses and G. Guillou and B. Lebreton of the 'Plateforme Analyses Isotopiques' of LIENSs are also thanked for their assistance during SIA analyses. The present work is a result of the projects 'Environmental management of Admiralty Bay, King George Island, Antarctica: persistent organic pollutants and sewage' (CNPq No. 55.0348/2002-6), and 'Modeling the bioaccumulation of organic pollutants throughout an Antarctic food web' (CNPq 550018/ 2007-7) and also contributes to the Brazilian National Science and Technology Institute on Antarctic Environmental Research (INCT-APA). Financial support was obtained from the Brazilian Antarctic Program (PROANTAR), Ministry of the Environment (MMA) and Conselho Nacional de Desenvolvimento Cientifico e Tecnologico (CNPq). Antarctic logistics was provided by Secretaria da Comissao Interministerial para os Recursos do Mar (SECIRM). Finally, authors wish many thanks to everyone involved in the fieldwork.</t>
  </si>
  <si>
    <t>SPRINGER INTERNATIONAL PUBLISHING AG</t>
  </si>
  <si>
    <t>CHAM</t>
  </si>
  <si>
    <t>GEWERBESTRASSE 11, CHAM, CH-6330, SWITZERLAND</t>
  </si>
  <si>
    <t>0049-6979</t>
  </si>
  <si>
    <t>1573-2932</t>
  </si>
  <si>
    <t>WATER AIR SOIL POLL</t>
  </si>
  <si>
    <t>Water Air Soil Pollut.</t>
  </si>
  <si>
    <t>10.1007/s11270-017-3367-8</t>
  </si>
  <si>
    <t>Environmental Sciences; Meteorology &amp; Atmospheric Sciences; Water Resources</t>
  </si>
  <si>
    <t>Environmental Sciences &amp; Ecology; Meteorology &amp; Atmospheric Sciences; Water Resources</t>
  </si>
  <si>
    <t>EU5KM</t>
  </si>
  <si>
    <t>WOS:000401070100018</t>
  </si>
  <si>
    <t>Rastrick, SPS; Whiteley, NM</t>
  </si>
  <si>
    <t>Rastrick, S. P. S.; Whiteley, N. M.</t>
  </si>
  <si>
    <t>Comparison of whole animal costs of protein synthesis among polar and temperate populations of the same species of gammarid amphipod</t>
  </si>
  <si>
    <t>COMPARATIVE BIOCHEMISTRY AND PHYSIOLOGY A-MOLECULAR &amp; INTEGRATIVE PHYSIOLOGY</t>
  </si>
  <si>
    <t>Marine; Crustaceans; Metabolic rate; Energetic costs; Latitude; Temperature</t>
  </si>
  <si>
    <t>NACELLA-CONCINNA STREBEL; SEA-URCHIN EMBRYOS; ANTARCTIC LIMPET; METABOLIC COST; OXYGEN-CONSUMPTION; ENERGETIC COST; GROWTH; LARVAE; FISH; CYCLOHEXIMIDE</t>
  </si>
  <si>
    <t>Protein synthesis can account for a substantial proportion of metabolic rate. Energetic costs of protein synthesis, should in theory, be the same in marine invertebrates from a range of thermal habitats, and yet direct measurements using inhibitors produce widely differing values, especially in the cold. The present study aimed to remove any potential confounding interspecific effects by determining costs of protein synthesis in two latitudinally separated populations of the same species (amphipod, Gammarus oceanicus) living in two different thermal regimes; polar vs cold-temperate. Costs of protein synthesis were determined in summer acclimatised G. oceanicus from Svalbard (79 N) at 5 degrees C and from Scotland (58 degrees N) at 13 degrees C. Amphipods were injected with the protein synthesis inhibitor, cycloheximide (CHX), at 9 mmoll-1 in crab saline to give a tissue concentration of 0.05 mg CHX g(-1) FW and left for 60 min before the injection of [H-3] phenylalanine. After incubation for 120 min (180 min in total from initial injection), both whole-animal rates of oxygen uptake and absolute rates of protein synthesis were significantly reduced in CHX-treated amphipods vs controls injected with saline. Both populations exhibited similar costs of protein synthesis of similar to 7 mu mol O-2 mg(-1) protein which is close to the estimated theoretical minimum for peptide bond formation, and similar to the values obtained in cell-free systems. The study demonstrates that in G. oceanicus, costs of protein synthesis rates were not elevated in the cold but were fixed among polar and cold-temperate populations. (C) 2017 Elsevier Inc. All rights reserved.</t>
  </si>
  <si>
    <t>[Rastrick, S. P. S.; Whiteley, N. M.] Bangor Univ, Coll Nat Sci, Sch of Biol Sci, Bangor LL57 2UW, Gwynedd, Wales; [Rastrick, S. P. S.] Inst Marine Res, POB 1870, N-5870 Bergen, Norway</t>
  </si>
  <si>
    <t>Bangor University; Institute of Marine Research - Norway</t>
  </si>
  <si>
    <t>Rastrick, SPS (corresponding author), Inst Marine Res, POB 1870, N-5870 Bergen, Norway.</t>
  </si>
  <si>
    <t>samuel.rastrick@imr.no</t>
  </si>
  <si>
    <t>Rastrick, Sam P.S./C-3027-2013</t>
  </si>
  <si>
    <t>European Centre for Arctic Environmental Research (ARFAC V European Commission) [ARCFAC-026129-2008-21]; NERC studentship [NER/S/A/2005/13424]</t>
  </si>
  <si>
    <t>European Centre for Arctic Environmental Research (ARFAC V European Commission); NERC studentship(UK Research &amp; Innovation (UKRI)Natural Environment Research Council (NERC))</t>
  </si>
  <si>
    <t>The authors wish to thank Prof. Deri Tomos for providing lab space and use of his micro-droplet manipulation system. We are also grateful to the staff at the Kings Bay Marine Laboratory, Ny-Alesund for the use of facilities. The collection of amphipods from Svalbard was funded by the European Centre for Arctic Environmental Research (ARFAC V European Commission ARCFAC-026129-2008-21). SPSR was supported by a NERC studentship (NER/S/A/2005/13424).</t>
  </si>
  <si>
    <t>ELSEVIER SCIENCE INC</t>
  </si>
  <si>
    <t>360 PARK AVE SOUTH, NEW YORK, NY 10010-1710 USA</t>
  </si>
  <si>
    <t>1095-6433</t>
  </si>
  <si>
    <t>1531-4332</t>
  </si>
  <si>
    <t>COMP BIOCHEM PHYS A</t>
  </si>
  <si>
    <t>Comp. Biochem. Physiol. A-Mol. Integr. Physiol.</t>
  </si>
  <si>
    <t>10.1016/j.cbpa.2017.02.026</t>
  </si>
  <si>
    <t>Biochemistry &amp; Molecular Biology; Physiology; Zoology</t>
  </si>
  <si>
    <t>ET8FZ</t>
  </si>
  <si>
    <t>WOS:000400535700013</t>
  </si>
  <si>
    <t>Shetye, S; Jena, B; Mohan, R</t>
  </si>
  <si>
    <t>Shetye, Suhas; Jena, Babula; Mohan, Rahul</t>
  </si>
  <si>
    <t>Dynamics of sea-ice biogeochemistry in the coastal Antarctica during transition from summer to winter</t>
  </si>
  <si>
    <t>GEOSCIENCE FRONTIERS</t>
  </si>
  <si>
    <t>pCO(2); fluxes; Upwelling; Antarctica; Sea-ice</t>
  </si>
  <si>
    <t>SOUTHERN-OCEAN; CARBON-DIOXIDE; AUSTRAL SUMMER; SURFACE WATERS; CLIMATE-CHANGE; WEDDELL SEA; BOTTOM ICE; CO2; PHYTOPLANKTON; SEAWATER</t>
  </si>
  <si>
    <t>The seasonality of carbon dioxide partial pressure (pCO(2)), air-sea CO2 fluxes and associated environmental parameters were investigated in the Antarctic coastal waters. The in-situ survey was carried out from the austral summer till the onset of winter (january 2012, February 2010 and March 2009) in the Enderby Basin. Rapid decrease in pCO(2) was evident under the sea-ice cover in January, when both water column and sea-ice algal activity resulted in the removal of nutrients and dissolved inorganic carbon (DIC) and increase in pH. The major highlight of this study is the shift in the dominant biogeochemical factors from summer to early winter. Nutrient limitation (low Si/N), sea-ice cover, low photosynthetically active radiation (PAR), deep mixed layer and high upwelling velocity contributed towards higher pCO(2) during March ( early winter). CO2 fluxes suggest that the Enderby Basin acts as a strong CO2 sink during January (-81 mmol m(-2) d(-1)), however it acts as a weak sink of CO2 with -2.4 and -1.7 mmol m(-2) d(-1) during February and March, respectively. The present work, concludes that sea ice plays a dual role towards climate change, by decreasing sea surface pCO(2) in summer and enhancing in early winter. Our observations emphasize the need to address seasonal sea-ice driven CO2 flux dynamics in assessing Antarctic contributions to the global oceanic CO2 budget. (C) 2016, China University of Geosciences (Beijing) and Peking University. Production and hosting by Elsevier B. V.</t>
  </si>
  <si>
    <t>[Shetye, Suhas] Natl Inst Oceanog, Donapaula 403004, Goa, India; [Jena, Babula; Mohan, Rahul] Natl Ctr Antarctic &amp; Ocean Res, Headland Sada 403804, Goa, India</t>
  </si>
  <si>
    <t>Council of Scientific &amp; Industrial Research (CSIR) - India; CSIR - National Institute of Oceanography (NIO); Ministry of Earth Sciences (MoES) - India; National Centre for Polar and Ocean Research (NCPOR)</t>
  </si>
  <si>
    <t>Shetye, S (corresponding author), Natl Inst Oceanog, Donapaula 403004, Goa, India.</t>
  </si>
  <si>
    <t>suhassht@gmail.com</t>
  </si>
  <si>
    <t>The authors acknowledge the Ministry of Earth Sciences for funding the Southern Ocean and Antarctic Expeditions and the Director, National Centre for Antarctic and Ocean Research for the support to this work. The authors thank the Director, National Institute of Oceanography for encouraging this work. The authors also acknowledge numerous personnel aboard the R/V Academic Boris Petrov, ORV Sagar Nidhi and Ivan Papanin who assisted in collection of samples. This is NCAOR Contribution no. 27/2016.</t>
  </si>
  <si>
    <t>CHINA UNIV GEOSCIENCES, BEIJING</t>
  </si>
  <si>
    <t>HAIDIAN DISTRICT</t>
  </si>
  <si>
    <t>29 XUEYUAN RD, HAIDIAN DISTRICT, 100083, PEOPLES R CHINA</t>
  </si>
  <si>
    <t>1674-9871</t>
  </si>
  <si>
    <t>GEOSCI FRONT</t>
  </si>
  <si>
    <t>Geosci. Front.</t>
  </si>
  <si>
    <t>10.1016/j.gsf.2016.05.002</t>
  </si>
  <si>
    <t>ET9AO</t>
  </si>
  <si>
    <t>WOS:000400597400009</t>
  </si>
  <si>
    <t>Fernández, PM; Martorell, MM; Blaser, MG; Ruberto, LAM; de Figueroa, LIC; Mac Cormack, W</t>
  </si>
  <si>
    <t>Marcelo Fernandez, Pablo; Martha Martorell, Maria; Blaser, Mariana G.; Mauro Ruberto, Lucas Adolfo; Ines Castellanos de Figueroa, Lucia; Patricio Mac Cormack, Walter</t>
  </si>
  <si>
    <t>Phenol degradation and heavy metal tolerance of Antarctic yeasts</t>
  </si>
  <si>
    <t>EXTREMOPHILES</t>
  </si>
  <si>
    <t>Phenol; Heavy metals; Bioremediation; Tolerance; Yeasts; Antarctica</t>
  </si>
  <si>
    <t>POLYCYCLIC AROMATIC-HYDROCARBONS; PSYCHROPHILIC MICROORGANISMS; BASIDIOMYCETOUS YEAST; INDUSTRIAL EFFLUENTS; COLD ENVIRONMENTS; SP NOV.; DIVERSITY; SOIL; ADAPTATION; STRATEGIES</t>
  </si>
  <si>
    <t>In cold environments, biodegradation of organic pollutants and heavy metal bio-conversion requires the activity of cold-adapted or cold-tolerant microorganisms. In this work, the ability to utilize phenol, methanol and n-hexadecane as C source, the tolerance to different heavy metals and growth from 5 to 30 degrees C were evaluated in cold-adapted yeasts isolated from Antarctica. Fifty-nine percent of the yeasts were classified as psychrotolerant as they could grow in all the range of temperature tested, while the other 41% were classified as psychrophilic as they only grew below 25 degrees C. In the assimilation tests, 32, 78, and 13% of the yeasts could utilize phenol, n-hexadecane, and methanol as C source, respectively, but only 6% could assimilate the three C sources evaluated. In relation to heavy metals ions, 55, 68, and 80% were tolerant to 1 mM of Cr(VI), Cd(II), and Cu(II), respectively. Approximately a half of the isolates tolerated all of them. Most of the selected yeasts belong to genera previously reported as common for Antarctic soils, but several other genera were also isolated, which contribute to the knowledge of this cold environment mycodiversity. The tolerance to heavy metals of the phenol-degrading cold-adapted yeasts illustrated that the strains could be valuable as inoculant for cold wastewater treatment in extremely cold environments.</t>
  </si>
  <si>
    <t>[Marcelo Fernandez, Pablo; Blaser, Mariana G.; Ines Castellanos de Figueroa, Lucia] Planta Piloto Proc Ind Microbiol PROIMI CONICET, San Miguel De Tucuman, Tucuman, Argentina; [Martha Martorell, Maria; Mauro Ruberto, Lucas Adolfo; Patricio Mac Cormack, Walter] IAA, Buenos Aires, DF, Argentina; [Mauro Ruberto, Lucas Adolfo; Patricio Mac Cormack, Walter] Univ Buenos Aires, Buenos Aires, DF, Argentina; [Mauro Ruberto, Lucas Adolfo; Patricio Mac Cormack, Walter] NANOBIOTEC CONICET, Buenos Aires, DF, Argentina; [Ines Castellanos de Figueroa, Lucia] UNT, San Miguel De Tucuman, Tucuman, Argentina</t>
  </si>
  <si>
    <t>Consejo Nacional de Investigaciones Cientificas y Tecnicas (CONICET); University of Buenos Aires; Universidad Nacional de Tucuman</t>
  </si>
  <si>
    <t>Martorell, MM (corresponding author), IAA, Buenos Aires, DF, Argentina.</t>
  </si>
  <si>
    <t>marmartorellsaez@gmail.com</t>
  </si>
  <si>
    <t>Ruberto, Lucas Adolfo Mauro/0000-0001-5604-772X; Fernandez, Pablo Marcelo/0000-0003-0094-5058; Mac Cormack, Walter/0000-0002-5280-5463</t>
  </si>
  <si>
    <t>Instituto Antartico Argentino/Direccion Nacional del Antartico (IAA/DNA); Consejo Nacional de Investigaciones Cientificas y Tecnicas (CONICET); Agencia Nacional de Promocion Cientifica y Tecnologica (ANPCyT); Universidad de Buenos Aires (UBA); Universidad Nacional de Tucuman (UNT)</t>
  </si>
  <si>
    <t>Instituto Antartico Argentino/Direccion Nacional del Antartico (IAA/DNA); Consejo Nacional de Investigaciones Cientificas y Tecnicas (CONICET)(Consejo Nacional de Investigaciones Cientificas y Tecnicas (CONICET)); Agencia Nacional de Promocion Cientifica y Tecnologica (ANPCyT)(ANPCyTSpanish Government); Universidad de Buenos Aires (UBA)(University of Buenos Aires); Universidad Nacional de Tucuman (UNT)</t>
  </si>
  <si>
    <t>This work was supported by Instituto Antartico Argentino/Direccion Nacional del Antartico (IAA/DNA), Consejo Nacional de Investigaciones Cientificas y Tecnicas (CONICET), Agencia Nacional de Promocion Cientifica y Tecnologica (ANPCyT), Universidad de Buenos Aires (UBA), and Universidad Nacional de Tucuman (UNT).</t>
  </si>
  <si>
    <t>SPRINGER JAPAN KK</t>
  </si>
  <si>
    <t>TOKYO</t>
  </si>
  <si>
    <t>CHIYODA FIRST BLDG EAST, 3-8-1 NISHI-KANDA, CHIYODA-KU, TOKYO, 101-0065, JAPAN</t>
  </si>
  <si>
    <t>1431-0651</t>
  </si>
  <si>
    <t>1433-4909</t>
  </si>
  <si>
    <t>Extremophiles</t>
  </si>
  <si>
    <t>10.1007/s00792-017-0915-5</t>
  </si>
  <si>
    <t>Biochemistry &amp; Molecular Biology; Microbiology</t>
  </si>
  <si>
    <t>ET4FC</t>
  </si>
  <si>
    <t>WOS:000400233700002</t>
  </si>
  <si>
    <t>Zhang, S; Song, WZ; Yu, M; Lin, XZ</t>
  </si>
  <si>
    <t>Zhang, Shan; Song, Weizhi; Yu, Min; Lin, Xuezheng</t>
  </si>
  <si>
    <t>Comparative genomics analysis of five Psychrobacter strains isolated from world-wide habitats reveal high intra-genus variations</t>
  </si>
  <si>
    <t>Psychrobacter; Comparative genomics; Intra-genus variation</t>
  </si>
  <si>
    <t>LOW-TEMPERATURE; SP-NOV.; ARCTICUS 273-4; BACTERIUM; HALOTOLERANT; ADAPTATION; SEQUENCE; STRESS</t>
  </si>
  <si>
    <t>Psychrobacter has been regarded as an important genus for bacterial cold adaptation studies. However, members of this genus are highly varied in terms of both cold adaptability and genome content. To get an understanding of the diversity of members of this genus, five Psychrobacter strains (G, K5, 273-4, PAMC21119 and PRwf-1), with publicly available complete/draft genome, were selected and comprehensive comparative genomics analyses were performed among them. The closest phylogenetic relationship, highest average nucleotide identity (96.78%) and best sequence synteny were identified between strains G and K5. These findings suggest they belong to the same species, despite the long geographic distance between them (Antarctic and Siberia). 4542 gene clusters in total were identified from the five genomes, and of which 1424 were shared by all of them. The number of genes unique to strains G, K5, 273-4, PAMC21119 and PRwf-1 are 183, 188, 300, 637 and 665, respectively. COG assignment revealed their differences in gene content related to stress response. The extensive sequence rearrangements and the large number of genes unique to strain PAMC21119 and PRwf-1 suggest they may have experienced a high level of gene exchanges in the permafrost soil and the surface of fish skin.</t>
  </si>
  <si>
    <t>[Zhang, Shan; Song, Weizhi] Univ New South Wales, Sch Biotechnol &amp; Biomol Sci, Sydney, NSW 2052, Australia; [Zhang, Shan; Song, Weizhi] Univ New South Wales, Ctr Marine Bioinnovat, Sydney, NSW 2052, Australia; [Yu, Min] Ocean Univ China, Coll Marine Life Sci, Qingdao 266003, Peoples R China; [Lin, Xuezheng] State Ocean Adm, Inst Oceanog 1, Qingdao 266061, Peoples R China</t>
  </si>
  <si>
    <t>University of New South Wales Sydney; University of New South Wales Sydney; Ocean University of China; First Institute of Oceanography, Ministry of Natural Resources</t>
  </si>
  <si>
    <t>Lin, XZ (corresponding author), State Ocean Adm, Inst Oceanog 1, Qingdao 266061, Peoples R China.</t>
  </si>
  <si>
    <t>linxz@fio.org.cn</t>
  </si>
  <si>
    <t>Song, Weizhi/0000-0001-5890-5361</t>
  </si>
  <si>
    <t>National Natural Science Foundation of China [41176174]; China Scholarship Council [201508200019]</t>
  </si>
  <si>
    <t>National Natural Science Foundation of China(National Natural Science Foundation of China (NSFC)); China Scholarship Council(China Scholarship Council)</t>
  </si>
  <si>
    <t>This research was funded by the National Natural Science Foundation of China (41176174), awarded to Xuezheng Lin. Weizhi Song was funded by the China Scholarship Council (201508200019).</t>
  </si>
  <si>
    <t>10.1007/s00792-017-0927-1</t>
  </si>
  <si>
    <t>WOS:000400233700014</t>
  </si>
  <si>
    <t>Bell, JD; Watson, RA; Ye, YM</t>
  </si>
  <si>
    <t>Bell, Justin D.; Watson, Reg A.; Ye, Yimin</t>
  </si>
  <si>
    <t>Global fishing capacity and fishing effort from 1950 to 2012</t>
  </si>
  <si>
    <t>FISH AND FISHERIES</t>
  </si>
  <si>
    <t>Fisheries management; fishing efficiency; fishing energy use; fishing power</t>
  </si>
  <si>
    <t>ATLANTIC SHELF SEAS; COMMUNITY STRUCTURE; BAY SCALLOP; NORTH-SEA; FISHERIES; CATCH; DIVERSITY; PATTERNS</t>
  </si>
  <si>
    <t>Global marine wild-capture landings have remained relatively stable for &gt;20years; however, there is a lack of credible fishing capacity and effort information required to assess the sustainability and efficiency of the global fleet. As such, we estimated global fishing capacity and effort from 1950 to 2012 using a relatively comprehensive database developed by the FAO, supplemented by other data sources. Using random sampling techniques, we estimated the uncertainty surrounding many of our estimates enabling the identification of deficiencies and limitations. Global fishing capacity and effort increased rapidly from the late 1970s through to around 2010 before stabilizing. The Asian fleet is more than an order of magnitude larger than any other region in both capacity and effort, and continues to increase. Most other regions have stabilized, and there have been considerable declines in Europe and, to a lesser extent, in North America. Developed nations, as a whole, have decreased in both measures in the recent years and are responsible for the stabilization of the global trend. Developing and undeveloped countries are still increasing with the former having the largest fleet and showing the greatest relative increase with the socioeconomic impacts of reversing these trends likely to be high. The efficiency of the global fleet, in terms of watt days of fishing effort per tonnage of wild marine catch, is now less than in 1950 despite the considerable technological advances, and expansion throughout the world's oceans, that has occurred during this period of time.</t>
  </si>
  <si>
    <t>[Bell, Justin D.; Watson, Reg A.] Univ Tasmania, Inst Marine &amp; Antarctic Studies, GPO Box 252-49, Hobart, Tas 7001, Australia; [Ye, Yimin] UN, FAO, Marine &amp; Inland Fisheries Branch, Vialle Terme di Caracalla, I-00153 Rome, Italy</t>
  </si>
  <si>
    <t>University of Tasmania; Food &amp; Agriculture Organization of the United Nations (FAO)</t>
  </si>
  <si>
    <t>Bell, JD (corresponding author), Univ Tasmania, Inst Marine &amp; Antarctic Studies, Private Bag 49, Hobart, Tas 7001, Australia.</t>
  </si>
  <si>
    <t>Justin.Bell@utas.edu.au</t>
  </si>
  <si>
    <t>Watson, Reg A/F-4850-2012</t>
  </si>
  <si>
    <t>Watson, Reg A/0000-0001-7201-8865</t>
  </si>
  <si>
    <t>FAO; Australian Research Council [DP140101377]</t>
  </si>
  <si>
    <t>FAO; Australian Research Council(Australian Research Council)</t>
  </si>
  <si>
    <t>This study was funded by the FAO. The authors wish to thank Sachiko Tsuji and Fernando Jara of the FIPS division of FAO for extracting the FAO database and Jonathan Anticamara for his assistance with previously accessed FAO data sets. We would also like to thank David Moreno and Klaas Hartmann of IMAS, University of Tasmania, for assistance with multicore computing, along with Ray Hilborn and an anonymous reviewer for their constructive comments that helped to improve this manuscript. RW acknowledges the support of the Australian Research Council (DP140101377).</t>
  </si>
  <si>
    <t>1467-2960</t>
  </si>
  <si>
    <t>1467-2979</t>
  </si>
  <si>
    <t>FISH FISH</t>
  </si>
  <si>
    <t>Fish. Fish.</t>
  </si>
  <si>
    <t>10.1111/faf.12187</t>
  </si>
  <si>
    <t>ET5MI</t>
  </si>
  <si>
    <t>WOS:000400327400005</t>
  </si>
  <si>
    <t>Li, RX; Ye, WK; Qiao, G; Tong, XH; Liu, SJ; Kong, FS; Ma, XW</t>
  </si>
  <si>
    <t>Li, Rongxing; Ye, Wenkai; Qiao, Gang; Tong, Xiaohua; Liu, Shijie; Kong, Fansi; Ma, Xuwen</t>
  </si>
  <si>
    <t>A New Analytical Method for Estimating Antarctic Ice Flow in the 1960s From Historical Optical Satellite Imagery</t>
  </si>
  <si>
    <t>IEEE TRANSACTIONS ON GEOSCIENCE AND REMOTE SENSING</t>
  </si>
  <si>
    <t>ARGON; ice; photography; remote sensing</t>
  </si>
  <si>
    <t>MASS-BALANCE; GLACIER VELOCITY; SURFACE VELOCITY; EAST ANTARCTICA; SHEET; SHELF; VELOCIMETRY; PHOTOGRAPHY; SYSTEM; DOME</t>
  </si>
  <si>
    <t>Ice flow velocity is used to estimate ice mass changes in glaciers and is a significant indicator of the stability of the Antarctica ice sheet in global change studies. The existing regional Antarctica ice flow speed maps are usually derived from radar or optical satellite observations of modern satellites since the 1970s. This paper presents a new analytical photogrammetric method for estimating Antarctica ice flow velocity fields by using film-based stereo ARGON photographs collected in the 1960s. The key of the proposed innovative method is a parallax decomposition that separates the effect of the terrain relief from the ice flow motion. An innovative implementation strategy is developed by using a framework that involves key techniques of hierarchical stereo image matching, ice flow direction determination, parallax decomposition, and ice flow speed estimation. This method is applied in the Rayner glacier in eastern Antarctica by using two sets of ARGON images with a two-month interval in 1963. The produced digital terrain model and speed map achieved a ground position accuracy of 61 m and a speed accuracy of 70 m a(-1). A comparison with recent products from 2000 to 2010 shows no significant topographic changes in the study area. Furthermore, the speed around the grounding line remained at the same level, while the speed in the ice shelf front decreased by 73 m a(-1.) The ice shelf front advanced by approximately 7 km over more than 40 years. Overall, the observation results indicate favorable conditions for the stability of the Rayner glacier-ice shelf system.</t>
  </si>
  <si>
    <t>[Li, Rongxing; Ye, Wenkai; Qiao, Gang; Tong, Xiaohua; Liu, Shijie; Kong, Fansi; Ma, Xuwen] Tongji Univ, Coll Surveying &amp; Geoinformat, Ctr Spatial Informat Sci &amp; Sustainable Dev, Shanghai 200092, Peoples R China</t>
  </si>
  <si>
    <t>Tongji University</t>
  </si>
  <si>
    <t>Li, RX; Qiao, G (corresponding author), Tongji Univ, Coll Surveying &amp; Geoinformat, Ctr Spatial Informat Sci &amp; Sustainable Dev, Shanghai 200092, Peoples R China.</t>
  </si>
  <si>
    <t>rli@tongji.edu.cn; yewenkai.1990@gmail.com; qiaogang@tongji.edu.cn; xhtong@tongji.edu.cn; liusjtj@tongji.edu.cn; 4kongfansi@tongji.edu.cn; 386552563@qq.com</t>
  </si>
  <si>
    <t>Qiao, Gang/AAU-5717-2020</t>
  </si>
  <si>
    <t>Li, Rongxing/0000-0001-9837-5115; Qiao, Gang/0000-0002-2010-6238</t>
  </si>
  <si>
    <t>National Basic Research Program of China (973 Program) [2012CB957701]; National Science Foundation of China [91547210, 41201425]; Fundamental Research Funds for the Central Universities</t>
  </si>
  <si>
    <t>National Basic Research Program of China (973 Program)(National Basic Research Program of China); National Science Foundation of China(National Natural Science Foundation of China (NSFC)); Fundamental Research Funds for the Central Universities(Fundamental Research Funds for the Central Universities)</t>
  </si>
  <si>
    <t>This work was supported in part by the National Basic Research Program of China (973 Program) under Grant 2012CB957701, in part by the National Science Foundation of China under Project 91547210 and Project 41201425, and in part by the Fundamental Research Funds for the Central Universities.</t>
  </si>
  <si>
    <t>0196-2892</t>
  </si>
  <si>
    <t>1558-0644</t>
  </si>
  <si>
    <t>IEEE T GEOSCI REMOTE</t>
  </si>
  <si>
    <t>IEEE Trans. Geosci. Remote Sensing</t>
  </si>
  <si>
    <t>10.1109/TGRS.2017.2654484</t>
  </si>
  <si>
    <t>Geochemistry &amp; Geophysics; Engineering, Electrical &amp; Electronic; Remote Sensing; Imaging Science &amp; Photographic Technology</t>
  </si>
  <si>
    <t>Geochemistry &amp; Geophysics; Engineering; Remote Sensing; Imaging Science &amp; Photographic Technology</t>
  </si>
  <si>
    <t>ET0HT</t>
  </si>
  <si>
    <t>WOS:000399943400026</t>
  </si>
  <si>
    <t>Misra, S; Brown, ST</t>
  </si>
  <si>
    <t>Misra, Sidharth; Brown, Shannon T.</t>
  </si>
  <si>
    <t>Enabling the Extraction of Climate-Scale Temporal Salinity Variations from Aquarius: An Instrument Based Long-Term Radiometer Drift Correction</t>
  </si>
  <si>
    <t>Calibration; microwave radiometry; vicarious reference</t>
  </si>
  <si>
    <t>VICARIOUS COLD REFERENCE; SEA-SURFACE SALINITY; MICROWAVE RADIOMETERS; CALIBRATION; MISSION; ORBIT</t>
  </si>
  <si>
    <t>All channels of the Aquarius radiometer were observed to have calibration instability consisting of a drift in the antenna temperature during the first couple of months of the mission and pseudo-periodic oscillations of the antenna temperature over the mission life. For the version 4 Aquarius processing, both of these anomalies were corrected by removing a time variable bias in the Aquarius measurements relative to a seven-day global average from a salinity model. In order to accurately track long-term variation of salinity on climate scales it is necessary to decouple Aquarius radiometric calibration from ocean salinity models. In this paper, a new technique is used to investigate the nature of anomalies using nonocean vicarious external sources such as Antarctic ice or Amazonian rain forests. Two completely different solutions are developed to correct the pseudo-periodic oscillations as well as the drift of the Aquarius radiometers, decoupling the Aquarius measurements from salinity model.</t>
  </si>
  <si>
    <t>[Misra, Sidharth; Brown, Shannon T.] CALTECH, Jet Prop Lab, 4800 Oak Grove Dr, Pasadena, CA 91109 USA</t>
  </si>
  <si>
    <t>California Institute of Technology; National Aeronautics &amp; Space Administration (NASA); NASA Jet Propulsion Laboratory (JPL)</t>
  </si>
  <si>
    <t>Misra, S (corresponding author), CALTECH, Jet Prop Lab, 4800 Oak Grove Dr, Pasadena, CA 91109 USA.</t>
  </si>
  <si>
    <t>sidharth.misra@jpl.nasa.gov</t>
  </si>
  <si>
    <t>10.1109/TGRS.2017.2656081</t>
  </si>
  <si>
    <t>WOS:000399943400036</t>
  </si>
  <si>
    <t>Angelliaume, S; Minchew, B; Chataing, S; Martineau, P; Miegebielle, V</t>
  </si>
  <si>
    <t>Angelliaume, Sebastien; Minchew, Brent; Chataing, Sophie; Martineau, Philippe; Miegebielle, Veronique</t>
  </si>
  <si>
    <t>Multifrequency Radar Imagery and Characterization of Hazardous and Noxious Substances at Sea</t>
  </si>
  <si>
    <t>Chemical; hazardous and noxious substance (HNS); ocean; oil; oil and water mixing index; multifrequency; normalized polarization difference (NPD); polarimetry; pollution; sea surface; slick; spill; synthetic aperture radar (SAR)</t>
  </si>
  <si>
    <t>OIL-SPILL DETECTION; SYNTHETIC-APERTURE RADAR; SURFACE-FILMS; OCEAN SURFACE; SAR; POLARIZATION; SLICKS; SCATTERING; MODEL</t>
  </si>
  <si>
    <t>The increase in maritime traffic, particularly the transport of hazardous and noxious substances (HNSs), requires advanced methods of identification and characterization in environmental chemical spills. Knowledge about HNS monitoring using radar remote sensing is not as extensive as for oil spills; however, any progress on this issue would likely advance the monitoring of both chemical and oil-related incidents. To address the need for HNS monitoring, an experiment was conducted in May 2015 over the Mediterranean Sea during which controlled releases of HNS were imaged by a multifrequency radar system. The aim of this experiment was to establish a procedure for collecting evidence of illegal maritime pollution by noxious liquid substances using airborne radar sensors. In this paper, we demonstrate the ability of radar imagery to detect and characterize chemicals at sea. A normalized polarization difference parameter is introduced to quantify both the impacts of released product on the ocean surface and the relative concentration of the substance within the spill. We show that radar imagery can provide knowledge of the involved HNS. In particular, one can distinguish a product that forms a film on the top of the sea surface from another that mixes with seawater, the information that is critical for efficient cleanup operations.</t>
  </si>
  <si>
    <t>[Angelliaume, Sebastien; Martineau, Philippe] Off Natl Etud &amp; Rech Aerosp, Electromagnetism &amp; Radar Dept, F-13661 Salon De Provence, France; [Minchew, Brent] British Antarctic Survey, Cambridge, England; [Chataing, Sophie] CEDRE, Res &amp; Dev Dept, F-29200 Brest, France; [Miegebielle, Veronique] TOTAL, Res &amp; Dev Dept, F-64018 Pau, France</t>
  </si>
  <si>
    <t>UK Research &amp; Innovation (UKRI); Natural Environment Research Council (NERC); NERC British Antarctic Survey; Total SA</t>
  </si>
  <si>
    <t>Angelliaume, S (corresponding author), Off Natl Etud &amp; Rech Aerosp, Electromagnetism &amp; Radar Dept, F-13661 Salon De Provence, France.</t>
  </si>
  <si>
    <t>sebastien.angelliaume@onera.fr; bremin15@bas.ac.uk; sophie.chataing.pariaud@cedre.fr; philippe.martineau@onera.fr; veronique.miegebielle@total.com</t>
  </si>
  <si>
    <t>Angelliaume, Sebastien/0000-0001-9088-3545</t>
  </si>
  <si>
    <t>French National Research Agency through the POLLUPROOF research program [ANR-13-ECOT-007]; Natural Environment Research Council [bas0100034] Funding Source: researchfish; Division Of Earth Sciences; Directorate For Geosciences [1452587] Funding Source: National Science Foundation; NERC [bas0100034] Funding Source: UKRI</t>
  </si>
  <si>
    <t>French National Research Agency through the POLLUPROOF research program(Agence Nationale de la Recherche (ANR)); Natural Environment Research Council(UK Research &amp; Innovation (UKRI)Natural Environment Research Council (NERC)); Division Of Earth Sciences; Directorate For Geosciences(National Science Foundation (NSF)NSF - Directorate for Geosciences (GEO)); NERC(UK Research &amp; Innovation (UKRI)Natural Environment Research Council (NERC))</t>
  </si>
  <si>
    <t>This work was supported by the French National Research Agency through the POLLUPROOF research program under Grant ANR-13-ECOT-007.</t>
  </si>
  <si>
    <t>10.1109/TGRS.2017.2661325</t>
  </si>
  <si>
    <t>WOS:000399943400047</t>
  </si>
  <si>
    <t>Liu, JB; Hernandez-Pajares, M; Liang, XL; An, JC; Wang, ZM; Chen, RZ; Sun, W; Hyyppa, J</t>
  </si>
  <si>
    <t>Liu, Jingbin; Hernandez-Pajares, Manuel; Liang, Xinlian; An, Jiachun; Wang, Zemin; Chen, Ruizhi; Sun, Wei; Hyyppa, Juha</t>
  </si>
  <si>
    <t>Temporal and spatial variations of global ionospheric total electron content under various solar conditions</t>
  </si>
  <si>
    <t>JOURNAL OF GEODESY</t>
  </si>
  <si>
    <t>Global ionosphere; GNSS; Principal component analysis; Total electron content; Atmosphere monitoring with geodetic techniques; Ionospheric variability; Ionospheric dynamics; Numerical methods</t>
  </si>
  <si>
    <t>SEMIANNUAL VARIATIONS; NORTH-AMERICA; F2-LAYER; MAPS; ATMOSPHERE; SYSTEMS; TEC</t>
  </si>
  <si>
    <t>By utilizing the numerical technique of principal component analysis (PCA), this work analyses temporal and spatial variations of the ionosphere under various solar conditions during the period 1999-2013. Applying the PCA technique to the time series of the global ionospheric total electron content (TEC) maps provides an efficient method for analyzing the main ionospheric variability on a global scale that is able to decompose periodic variations (e.g., annual and semiannual oscillations) while retaining the asymmetry in the temporal and spatial domains (e.g., seasonal and equator anomalies). The TEC series of different local times are processed separately at two time scales: (1) the whole 15 years of the period of study and (2) the individual years. In contrast with previous studies, the analysis of the dataset of the 15 years shows that dawn (e.g., LT4-6) and late morning (LT10-12) are the more remarkable characteristic times for ionospheric variability. This study also reveals a cyclic trend of the variability with respect to local times. The first two modes, which contain 80-90% of the total variance, represent spatial distributions and temporal variations with respect to the different stages of the solar cycle and local times. Annual and semiannual variations are demodulated from the first two modes, and the results show that these variations evidently have distinct trends for daytime and nighttime. An exception is that, under active solar conditions, extremely strong solar irradiance during the daytime has a residual effect on the variability of the nighttime.</t>
  </si>
  <si>
    <t>[Liu, Jingbin; Chen, Ruizhi] Wuhan Univ, State Key Lab Informat Engn Surveying Mapping &amp; R, Wuhan 430079, Peoples R China; [Liu, Jingbin; Liang, Xinlian; Hyyppa, Juha] Finnish Geospatial Res Inst, Dept Remote Sensing &amp; Photogrammetry, Ctr Excellence Laser Scanning Res, Masala, Finland; [Hernandez-Pajares, Manuel] Tech Univ Catalonia, Dept Appl Math 4, UPC IonSAT, Barcelona, Spain; [An, Jiachun; Wang, Zemin] Wuhan Univ, Chinese Antarctic Ctr Surveying &amp; Mapping, Wuhan 430079, Peoples R China; [Sun, Wei] Wuhan Geomat Inst, Wuhan, Peoples R China</t>
  </si>
  <si>
    <t>Wuhan University; The National Land Survey of Finland; Finnish Geospatial Research Institute (FGI); Universitat Politecnica de Catalunya; Wuhan University</t>
  </si>
  <si>
    <t>An, JC (corresponding author), Wuhan Univ, Chinese Antarctic Ctr Surveying &amp; Mapping, Wuhan 430079, Peoples R China.</t>
  </si>
  <si>
    <t>jcan@whu.edu.cn</t>
  </si>
  <si>
    <t>ZeMin, Wang/AAU-3422-2020; An, Jiachun/ABG-4275-2020; Liu, Jingbin/AAE-8803-2020; Liang, Xinlian/S-7209-2019; Chen, Ruizhi/JWA-0977-2024; Hyyppä, Juha M./ABH-1852-2021; Hernandez-Pajares, Manuel/O-5338-2017</t>
  </si>
  <si>
    <t>Liang, Xinlian/0000-0002-1585-2340; Hyyppa, Juha/0000-0001-5360-4017; Hernandez-Pajares, Manuel/0000-0002-9687-5850; Liu, Jingbin/0000-0001-6216-0956</t>
  </si>
  <si>
    <t>Finnish Centre of Excellence in Laser Scanning Research of the Academy of Finland [272195]; National Key Research Development Program of China [2016YFB0502204]; National Natural Science Foundation of China [41231064, 41174029]</t>
  </si>
  <si>
    <t>Finnish Centre of Excellence in Laser Scanning Research of the Academy of Finland; National Key Research Development Program of China; National Natural Science Foundation of China(National Natural Science Foundation of China (NSFC))</t>
  </si>
  <si>
    <t>The CODE GIM dataset used in this study was downloaded from CODE's data archive server (ftp://ftp.unibe.ch/aiub/CODE), and the solar and geomagnetic indices were downloaded from the National Geophysical Data Center (ftp://ftp.ngdc.noaa.gov/STP/). The Mg II index was downloaded from the data archive of the Institute of Environmental Physics at the University of Bremen in Germany (http://www.iup.uni-bremen.de/gome/gomemgii.html). This work was supported in part by the Finnish Centre of Excellence in Laser Scanning Research (Grant Number 272195) of the Academy of Finland, by the National Key Research Development Program of China with project No. 2016YFB0502204, and by the National Natural Science Foundation of China (Grant Nos. 41231064 and 41174029).</t>
  </si>
  <si>
    <t>0949-7714</t>
  </si>
  <si>
    <t>1432-1394</t>
  </si>
  <si>
    <t>J GEODESY</t>
  </si>
  <si>
    <t>J. Geodesy</t>
  </si>
  <si>
    <t>10.1007/s00190-016-0977-7</t>
  </si>
  <si>
    <t>Geochemistry &amp; Geophysics; Remote Sensing</t>
  </si>
  <si>
    <t>ES8SN</t>
  </si>
  <si>
    <t>WOS:000399827300002</t>
  </si>
  <si>
    <t>Cullen-Knox, C; Haward, M; Jabour, J; Ogier, E; Tracey, SR</t>
  </si>
  <si>
    <t>Cullen-Knox, Coco; Haward, Marcus; Jabour, Julia; Ogier, Emily; Tracey, Sean R.</t>
  </si>
  <si>
    <t>The social licence to operate and its role in marine governance: Insights from Australia</t>
  </si>
  <si>
    <t>MARINE POLICY</t>
  </si>
  <si>
    <t>Social licence; Science; Communication; Governance; Marine resources</t>
  </si>
  <si>
    <t>WHALING ISSUE; SCIENCE; SUSTAINABILITY; RESILIENCE; MANAGEMENT; POLICY; ETHICS; OCEAN</t>
  </si>
  <si>
    <t>Traditionally, the 'social licence to operate' (SLO) refers to the societal expectations imposed on corporate and commercial activities, often displayed by the willingness for corporations to go beyond the requirements of formal regulations. Alternatively, this paper investigates the emerging influence of the SLO in shaping government decisions regarding the use and impact of the marine environment and its resources. Using expert interviews, text analysis and case study analysis, this research delineated the contemporary SLO as it has manifested in Australian marine governance, with the results indicating that this is potentially occurring at a pace faster than can be systematically reacted to within the current political decision-making processes. Under these emerging conditions, the risk has been identified that traditional government decision-making and stakeholder consultation processes are lagging in their capacity to adapt to ensure that public policy processes can support and engage in this shifting dialogue and ensure the influence of information is appropriately weighted. This research highlights an emerging adjustment of community presence in marine governance and the immediate complexities and challenges this creates for government decision-making. In particular, it begins to explore the interaction of differing information, how this information is carried through communication channels, stakeholder behaviour, approaches to withholding or granting a SLO and the responsibility this carries.</t>
  </si>
  <si>
    <t>[Cullen-Knox, Coco; Haward, Marcus; Jabour, Julia; Ogier, Emily; Tracey, Sean R.] Univ Tasmania, Inst Marine &amp; Antarctic Studies, Private Bag 49, Hobart, Tas 7001, Australia</t>
  </si>
  <si>
    <t>Cullen-Knox, C (corresponding author), Univ Tasmania, Inst Marine &amp; Antarctic Studies, Private Bag 49, Hobart, Tas 7001, Australia.</t>
  </si>
  <si>
    <t>cullenc@utas.edu.au</t>
  </si>
  <si>
    <t>Jabour, Julia A/J-7882-2014; Tracey, Sean/J-7446-2014; Haward, Marcus/G-3369-2014</t>
  </si>
  <si>
    <t>Tracey, Sean/0000-0002-6735-5899; Ogier, Emily/0000-0001-6157-5279; Haward, Marcus/0000-0003-4775-0864</t>
  </si>
  <si>
    <t>0308-597X</t>
  </si>
  <si>
    <t>1872-9460</t>
  </si>
  <si>
    <t>MAR POLICY</t>
  </si>
  <si>
    <t>Mar. Pol.</t>
  </si>
  <si>
    <t>10.1016/j.marpol.2017.02.013</t>
  </si>
  <si>
    <t>Environmental Studies; International Relations</t>
  </si>
  <si>
    <t>Environmental Sciences &amp; Ecology; International Relations</t>
  </si>
  <si>
    <t>ES9BB</t>
  </si>
  <si>
    <t>WOS:000399849800010</t>
  </si>
  <si>
    <t>Hsu, HC; Martin, CJ</t>
  </si>
  <si>
    <t>Hsu, Hung-Chu; Martin, Cahn Julian</t>
  </si>
  <si>
    <t>On the existence of solutions and the pressure function related to the Antarctic Circumpolar Current</t>
  </si>
  <si>
    <t>NONLINEAR ANALYSIS-THEORY METHODS &amp; APPLICATIONS</t>
  </si>
  <si>
    <t>Azimuthal flows; Antarctic Circumpolar Current; Spherical coordinates; Coriolis force; Implicit function theorem</t>
  </si>
  <si>
    <t>EQUATORIAL WATER-WAVES; F-PLANE; FLOWS; UNDERCURRENT; INSTABILITY; SURFACE; FLUID; MODEL</t>
  </si>
  <si>
    <t>This paper is concerned with the analysis of an incompressible, inviscid fluid moving only in the azimuthal direction (with no variations in this direction) but allowing for a depth dependent variation. As such, this permits the consideration of the Antarctic Circumpolar Current the most significant current in Earth's oceans and the only current that encircles the polar axis. More precisely, working in spherical coordinates (accounting thus for the geometry of the Earth), we derive an implicit equation for the function describing the free surface which is related to the pressure function. We use this equation to prove, by means of the implicit function theorem, that any small deviation from the pressure required to maintain the free surface undisturbed gives rise to a unique veritable wave solution. Our approach comprises also a body force which is shown to have significant influence on the monotonicity properties of the pressure function and the height function describing the free surface. (C) 2017 Elsevier Ltd. All rights reserved.</t>
  </si>
  <si>
    <t>[Hsu, Hung-Chu] Natl Cheng Kung Univ, Tainan Hydraul Lab, 5th F,500,Sec 3,Anming Rd, Tainan 70995, Taiwan; [Martin, Cahn Julian] Univ Vienna, Fac Math, Oskar Morgenstern Pl 1, A-1090 Vienna, Austria</t>
  </si>
  <si>
    <t>National Cheng Kung University; University of Vienna</t>
  </si>
  <si>
    <t>Martin, CJ (corresponding author), Univ Vienna, Fac Math, Oskar Morgenstern Pl 1, A-1090 Vienna, Austria.</t>
  </si>
  <si>
    <t>hchsu@thl.ncku.edu.tw; calin.martin@univie.ac.at</t>
  </si>
  <si>
    <t>Martin, Calin/D-3284-2013</t>
  </si>
  <si>
    <t>Martin, Calin/0000-0002-5800-9265</t>
  </si>
  <si>
    <t>0362-546X</t>
  </si>
  <si>
    <t>1873-5215</t>
  </si>
  <si>
    <t>NONLINEAR ANAL-THEOR</t>
  </si>
  <si>
    <t>Nonlinear Anal.-Theory Methods Appl.</t>
  </si>
  <si>
    <t>10.1016/j.na.2017.02.021</t>
  </si>
  <si>
    <t>Mathematics, Applied; Mathematics</t>
  </si>
  <si>
    <t>Mathematics</t>
  </si>
  <si>
    <t>ET4ED</t>
  </si>
  <si>
    <t>WOS:000400231200016</t>
  </si>
  <si>
    <t>Morrissey, LJ; Payne, JL; Hand, M; Clark, C; Taylor, R; Kirkland, CL; Kylander-Clark, A</t>
  </si>
  <si>
    <t>Morrissey, Laura J.; Payne, Justin L.; Hand, Martin; Clark, Chris; Taylor, Richard; Kirkland, Christopher L.; Kylander-Clark, Andrew</t>
  </si>
  <si>
    <t>Linking the Windmill Islands, east Antarctica and the Albany-Fraser Orogen: Insights from U-Pb zircon geochronology and Hf isotopes</t>
  </si>
  <si>
    <t>Wilkes Land; Antarctica; Detrital zircon; Provenance; Lu-Hf</t>
  </si>
  <si>
    <t>PLASMA-MASS SPECTROMETRY; NORTH AUSTRALIAN CRATON; LU-HF; CRUSTAL EVOLUTION; MUSGRAVE PROVINCE; IRON-FORMATIONS; AGED REWORKING; YILGARN CRATON; GAWLER CRATON; RICH ROCKS</t>
  </si>
  <si>
    <t>U-Pb and Hf isotopic data from metasedimentary and magmatic rocks from the Windmill Islands in Wilkes Land, East Antarctica, confirm age and crustal evolution links between the Albany-Fraser Orogen and this part of East Antarctica. Detrital zircon age data indicate that the protoliths to the metasedimentary rocks of the Windmill Islands have maximum depositional ages of c. 1350 Ma. Metamorphic zircon growth at c. 1300 Ma and a crystallisation age of c. 1315 Ma for the protoliths to an orthogneiss that intrudes the metasedimentary rocks provide a minimum depositional age. Significant detrital zircon age components are identified at 1790 Ma, 1595 Ma and 1390 Ma. The 1350-1300 Ma depositional interval and the detrital age components suggest that the Windmill Islands metasedimentary rocks can be linked to metasedimentary rocks of the Arid Basin in the Albany-Fraser Orogen. The sediment sources were likely to be the West Australian Craton as well as a significant component from the c. 1410 Ma Loongana Arc in the Madura Province. This combination of sources suggests a back-arc setting for the Arid Basin, consistent with the short interval between deposition and high thermal gradient metamorphism. The magmatic rocks in the Windmill Islands have intrusive ages of c. 1315 Ma, 1250-1210 Ma and 1200-1160 Ma. The first phase of magmatism was likely to be derived from melting of Arid Basin metasedimentary rocks, based on abundant inherited zircon with similar ages to the surrounding metasedimentary rocks. The final two phases of magmatism have juvenile epsilon(Hf) (t) values consistent with a greater proportion of mantle melt sources. (C) 2017 Elsevier B.V. All rights reserved.</t>
  </si>
  <si>
    <t>[Morrissey, Laura J.; Hand, Martin] Univ Adelaide, Dept Earth Sci, Adelaide, SA, Australia; [Payne, Justin L.] Univ South Australia, Sch Nat &amp; Built Environm, Adelaide, SA, Australia; [Clark, Chris; Taylor, Richard; Kirkland, Christopher L.] Curtin Univ, Dept Appl Geol, Perth, WA, Australia; [Kylander-Clark, Andrew] Univ Calif Santa Barbara, Dept Earth Sci, Santa Barbara, CA 93106 USA</t>
  </si>
  <si>
    <t>University of Adelaide; University of South Australia; Curtin University; University of California System; University of California Santa Barbara</t>
  </si>
  <si>
    <t>Morrissey, LJ (corresponding author), Univ Adelaide, Dept Earth Sci, Adelaide, SA, Australia.</t>
  </si>
  <si>
    <t>laura.morrissey@adelaide.edu.au</t>
  </si>
  <si>
    <t>Clark, Chris/B-6471-2008; Taylor, Rich/K-4119-2017; Payne, Justin/B-8260-2013; Kirkland, Christopher/S-3305-2016</t>
  </si>
  <si>
    <t>Clark, Chris/0000-0001-9982-7849; Taylor, Rich/0000-0003-3013-9372; Morrissey, Laura/0000-0001-7506-6117; Payne, Justin/0000-0002-3953-7783; hand, martin/0000-0003-3743-9706; Kirkland, Christopher/0000-0003-3367-8961; Kylander-Clark, Andrew/0000-0002-4034-644X</t>
  </si>
  <si>
    <t>Australian Antarctic Science Program Project [4191, DE120103067]; Australian Postgraduate Award</t>
  </si>
  <si>
    <t>Australian Antarctic Science Program Project; Australian Postgraduate Award(Australian Government)</t>
  </si>
  <si>
    <t>This project was completed with funding from Australian Antarctic Science Program Project 4191 and DE120103067 to CC. Jacqui Halpin is thanked for comments on an earlier version of the manuscript. An anonymous reviewer and Balz Kamber are thanked for constructive reviews that improved the manuscript. The authors would like to thank the Australian Antarctic Division and personnel of Casey Station for assistance with logistics and fieldwork. LJM is supported by an Australian Postgraduate Award. This manuscript forms TRaX no. 369.</t>
  </si>
  <si>
    <t>10.1016/j.precamres.2017.03.005</t>
  </si>
  <si>
    <t>ET3XQ</t>
  </si>
  <si>
    <t>WOS:000400213500008</t>
  </si>
  <si>
    <t>Liu, YH; Wang, YT; Ding, MH; Sun, WJ; Zhang, T; Xu, YT</t>
  </si>
  <si>
    <t>Liu, Yihui; Wang, Yetang; Ding, Minghu; Sun, Weijun; Zhang, Tong; Xu, Yuetong</t>
  </si>
  <si>
    <t>Evaluation of the Antarctic Mesoscale Prediction System Based on Snow Accumulation Observations over the Ross Ice Shelf</t>
  </si>
  <si>
    <t>ADVANCES IN ATMOSPHERIC SCIENCES</t>
  </si>
  <si>
    <t>snow accumulation measurements; precipitation evaluation; Ross Ice Shelf</t>
  </si>
  <si>
    <t>SURFACE MASS-BALANCE; AUTOMATIC WEATHER STATIONS; DRONNING MAUD LAND; EAST ANTARCTICA; SPATIAL VARIABILITY; POLAR MM5; SHEET; PRECIPITATION; SUBLIMATION; REANALYSES</t>
  </si>
  <si>
    <t>Recent snow height measurements (2008-15) from nine automatic weather stations (AWSs) on the Ross Ice Shelf are used to examine the synoptic and seasonal variability in snow accumulation, and also to evaluate the performance of the Antarctic Mesoscale Prediction System (AMPS) for precipitation. The number of snow accumulation events varies from one station to another between 2008 and 2015, thus demonstrating geographic dependence. The interannual variability in snow accumulation is too high to determine its seasonality based on the current AWS observations with limited time coverage. Comparison between the AMPS and AWS snow height measurements show that approximately 28% of the AWS events are reproduced by AMPS. Furthermore, there are significant correlations between AMPS and AWS coincident event sizes at five stations (p &lt; 0.05). This finding suggests that AMPS has a certain ability to represent actual precipitation events.</t>
  </si>
  <si>
    <t>[Liu, Yihui; Wang, Yetang; Sun, Weijun; Xu, Yuetong] Shandong Normal Univ, Coll Geog &amp; Environm, Jinan 250014, Peoples R China; [Ding, Minghu; Zhang, Tong] Chinese Acad Meteorol Sci, Inst Climate Syst, Beijing 100081, Peoples R China</t>
  </si>
  <si>
    <t>Shandong Normal University; China Meteorological Administration; Chinese Academy of Meteorological Sciences (CAMS)</t>
  </si>
  <si>
    <t>Wang, YT (corresponding author), Shandong Normal Univ, Coll Geog &amp; Environm, Jinan 250014, Peoples R China.</t>
  </si>
  <si>
    <t>wangyetang@163.com</t>
  </si>
  <si>
    <t>sun, weijun/GZB-2595-2022; Ding, Minghu/AFU-3600-2022</t>
  </si>
  <si>
    <t>Ding, Minghu/0000-0002-1142-6598</t>
  </si>
  <si>
    <t>National Key Basic Research Program of China [2013CBA01804]; Natural Science Foundation of China [41206175, 41576182]; Scientific Research Foundation for the Introduction of Talent by Shandong Normal University; National Key Basic Research Program of China [2013CBA01804]; Natural Science Foundation of China [41206175, 41576182]; Scientific Research Foundation for the Introduction of Talent by Shandong Normal University</t>
  </si>
  <si>
    <t>National Key Basic Research Program of China(National Basic Research Program of China); Natural Science Foundation of China(National Natural Science Foundation of China (NSFC)); Scientific Research Foundation for the Introduction of Talent by Shandong Normal University; National Key Basic Research Program of China(National Basic Research Program of China); Natural Science Foundation of China(National Natural Science Foundation of China (NSFC)); Scientific Research Foundation for the Introduction of Talent by Shandong Normal University</t>
  </si>
  <si>
    <t>This work was funded by the National Key Basic Research Program of China (Grant No. 2013CBA01804), the Natural Science Foundation of China (Grant Nos. 41206175 and 41576182), and the Scientific Research Foundation for the Introduction of Talent by Shandong Normal University.</t>
  </si>
  <si>
    <t>0256-1530</t>
  </si>
  <si>
    <t>1861-9533</t>
  </si>
  <si>
    <t>ADV ATMOS SCI</t>
  </si>
  <si>
    <t>Adv. Atmos. Sci.</t>
  </si>
  <si>
    <t>10.1007/s00376-016-6088-9</t>
  </si>
  <si>
    <t>ES0QJ</t>
  </si>
  <si>
    <t>WOS:000399231100003</t>
  </si>
  <si>
    <t>Varsani, A; Frankfurter, G; Stainton, D; Male, MF; Kraberger, S; Burns, JM</t>
  </si>
  <si>
    <t>Varsani, Arvind; Frankfurter, Greg; Stainton, Daisy; Male, Maketalena F.; Kraberger, Simona; Burns, Jennifer M.</t>
  </si>
  <si>
    <t>Identification of a polyomavirus in Weddell seal (Leptonychotes weddellii) from the Ross Sea (Antarctica)</t>
  </si>
  <si>
    <t>PYGOSCELIS-ADELIAE; PENGUINS; HERPESVIRUS; ANTIBODIES; ADENOVIRUS; INFECTION</t>
  </si>
  <si>
    <t>Viruses are ubiquitous in nature, however, very few have been identified that are associated with Antarctic animals. Here we report the identification of a polyomavirus in the kidney tissue of a deceased Weddell seal from the Ross Sea, Antarctica. The circular genome (5186 nt) has typical features of polyomaviruses with a small and larger T-antigen open reading frames (ORFs) and three ORFs encoding VP1, VP2 and VP3 capsid proteins. The genome of the Weddell seal polyomavirus (WsPyV) shares 85.4% genome-wide pairwise identity with a polyomavirus identified in a California sea lion. To our knowledge WsPyV is the first viral genome identified in Antarctic pinnipeds and the third polyomavirus to be identified from an Antarctic animal, the other two being from Ad,lie penguin (Pygoscelis adeliae) and a sharp-spined notothen (Trematomus pennellii), both sampled in the Ross sea.</t>
  </si>
  <si>
    <t>[Varsani, Arvind] Arizona State Univ, Biodesign Ctr Fundamental &amp; Appl Microbi, Ctr Evolut &amp; Med, Sch Life Sci, Tempe, AZ 85287 USA; [Varsani, Arvind; Stainton, Daisy; Male, Maketalena F.; Kraberger, Simona] Univ Canterbury, Sch Biol Sci, Christchurch 8140, New Zealand; [Varsani, Arvind] Univ Cape Town, Dept Clin Lab Sci, Struct Biol Res Unit, ZA-7001 Cape Town, South Africa; [Frankfurter, Greg] Univ Calif Davis, Wildlife Hlth Ctr, Sch Vet Med, Davis, CA 95616 USA; [Stainton, Daisy] Univ Queensland, Sch Biol Sci, Brisbane, Qld 4072, Australia; [Kraberger, Simona] Colorado State Univ, Dept Microbiol, Ft Collins, CO 80523 USA; [Burns, Jennifer M.] Univ Alaska Anchorage, Dept Biol Sci, 3211 Providence Dr, Anchorage, AK 99508 USA</t>
  </si>
  <si>
    <t>Arizona State University; Arizona State University-Tempe; University of Canterbury; University of Cape Town; University of California System; University of California Davis; University of Queensland; Colorado State University; University of Alaska System; University of Alaska Anchorage</t>
  </si>
  <si>
    <t>Varsani, A (corresponding author), Arizona State Univ, Biodesign Ctr Fundamental &amp; Appl Microbi, Ctr Evolut &amp; Med, Sch Life Sci, Tempe, AZ 85287 USA.;Varsani, A (corresponding author), Univ Canterbury, Sch Biol Sci, Christchurch 8140, New Zealand.;Varsani, A (corresponding author), Univ Cape Town, Dept Clin Lab Sci, Struct Biol Res Unit, ZA-7001 Cape Town, South Africa.;Burns, JM (corresponding author), Univ Alaska Anchorage, Dept Biol Sci, 3211 Providence Dr, Anchorage, AK 99508 USA.</t>
  </si>
  <si>
    <t>arvind.varsani@asu.edu; jmburns@uaa.alaska.edu</t>
  </si>
  <si>
    <t>Burns, Jennifer M/C-4159-2013; Varsani, Arvind/JOZ-5299-2023; Burns, Jennifer/AAC-8243-2019</t>
  </si>
  <si>
    <t>Varsani, Arvind/0000-0003-4111-2415; Burns, Jennifer/0000-0001-9652-2943; Stainton, Daisy/0000-0002-7472-6029; Kraberger, Simona/0000-0002-7037-9242</t>
  </si>
  <si>
    <t>National Science Foundation [ANT-1246463]; Division Of Ocean Sciences; Directorate For Geosciences [1246463] Funding Source: National Science Foundation</t>
  </si>
  <si>
    <t>Tissue samples were collected under National Marine Fisheries Service Marine Mammal permit #17411, Antarctic Conservation Act permit #2014-003, and University of Alaska Anchorage's Institutional Animal Care and Use Committee approval #419971, with funding from the National Science Foundation grant ANT-1246463 to JMB. We thank Amy Kirkham, Michelle Shero, and Roxanne Beltran for assistance in the field, and Drs. Robert Garrott and Jay Rotella for demographic information about the animal from which samples were received. This project was made possible by logistical support from the National Science Foundation United States Antarctic Program, Lockheed Martin Antarctic Support Contract, and support staff in Christchurch, New Zealand and McMurdo Station. We would like to thank Padraig Duignan for reading over the pathology section of this manuscript. The molecular work described in this MS was supported by personal fund of AV. We thank Chris Buck at NIH for reviewing the WsPyV sequence annotation.</t>
  </si>
  <si>
    <t>10.1007/s00705-017-3239-y</t>
  </si>
  <si>
    <t>ES0EV</t>
  </si>
  <si>
    <t>WOS:000399200000028</t>
  </si>
  <si>
    <t>Wang, ZM; Wu, Y; Lin, X; Liu, CY; Xie, ZL</t>
  </si>
  <si>
    <t>Wang, Zhaomin; Wu, Yang; Lin, Xia; Liu, Chengyan; Xie, Zelin</t>
  </si>
  <si>
    <t>Impacts of open-ocean deep convection in the Weddell Sea on coastal and bottom water temperature</t>
  </si>
  <si>
    <t>CLIMATE DYNAMICS</t>
  </si>
  <si>
    <t>Deep convection; Weddell polynya; Antarctic coastal water; Antarctic bottom water; Antarctic slope current; MITgcm ECCO2</t>
  </si>
  <si>
    <t>SOUTHERN-OCEAN; ICE-SHELF; POLYNYA; TRANSPORT; VARIABILITY; CIRCULATION; ANTARCTICA; DRIVEN; MODEL; GYRE</t>
  </si>
  <si>
    <t>A high resolution global ocean-sea ice model is employed to investigate the impacts of open-ocean deep convection on coastal and bottom water temperature in the Weddell Sea. The imposed strong and persistent cyclonic wind forcing and the large loss of bottom water weaken the stratification and eventually trigger the occurrence of openocean deep convection in the southern limb of the Weddell Gyre in this model. The production rate of the bottom water induced by the deep convection is estimated to be about 5 Sv (1 Sv = 10(6) m(3)/s) for a polynya with a similar size to that of the observed Weddell Polynya in the mid-1970s. The cooling induced by deep convection at mid-depth is transported towards the shelf regions by standing meanders or eddies to affect the basal melting of ice shelves, and is transported westward by an intensified slope current; interior coastal temperature in regions with a broader continental shelf is less affected by the deep convection, as the intensified slope current acts to suppress heat exchanges across the shelf break. Also, the deep convection causes warming in the Weddell bottom water around the convection site, when the simulated polynya size is similar to that of the observed Weddell Polynya in the mid-1970s. This finding sheds light on the observed non-monotonic decadal change (cooling between 1984-1992 and warming between 1998-2008) in the Weddell bottom water temperature.When the simulated polynya further develops into a large size across the Weddell Sea, the sustained broad deep convection causes large cooling in the bottom water in the western Weddell Sea and warming in the eastern Weddell Sea, with the bottom water temperature also being strongly modulated by a greatly intensified Weddell Gyre.</t>
  </si>
  <si>
    <t>[Wang, Zhaomin; Wu, Yang; Lin, Xia; Liu, Chengyan; Xie, Zelin] Nanjing Univ Informat Sci &amp; Technol, Polar Climate Syst &amp; Global Change Lab, 219 Ningliu Rd, Nanjing 210044, Jiangsu, Peoples R China; [Wang, Zhaomin; Wu, Yang; Lin, Xia; Liu, Chengyan; Xie, Zelin] Nanjing Univ Informat Sci &amp; Technol, NIAMS, ESMC, Nanjing 210044, Jiangsu, Peoples R China</t>
  </si>
  <si>
    <t>Nanjing University of Information Science &amp; Technology; Nanjing University of Information Science &amp; Technology</t>
  </si>
  <si>
    <t>Wang, ZM (corresponding author), Nanjing Univ Informat Sci &amp; Technol, Polar Climate Syst &amp; Global Change Lab, 219 Ningliu Rd, Nanjing 210044, Jiangsu, Peoples R China.;Wang, ZM (corresponding author), Nanjing Univ Informat Sci &amp; Technol, NIAMS, ESMC, Nanjing 210044, Jiangsu, Peoples R China.</t>
  </si>
  <si>
    <t>wzm@nuist.edu.cn</t>
  </si>
  <si>
    <t>Lin, Xia/HTM-0814-2023; Wu, Yang/IVH-6563-2023</t>
  </si>
  <si>
    <t>Lin, Xia/0000-0002-8058-7766; Wu, Yang/0000-0003-2165-9704; Wu, Yang/0000-0001-7842-9796</t>
  </si>
  <si>
    <t>China National Natural Science Foundation (NSFC) [41276200]; Global Change Research Program of China [2015CB953904]; Special Program for China Meteorology Trade [GYHY201306020]; Program for Innovation Research and Entrepreneurship team in Jiangsu Province; Priority Academic Program Development of Jiangsu Higher Education Institutions (PAPD); NSFC project [41306208]</t>
  </si>
  <si>
    <t>China National Natural Science Foundation (NSFC)(National Natural Science Foundation of China (NSFC)); Global Change Research Program of China; Special Program for China Meteorology Trade; Program for Innovation Research and Entrepreneurship team in Jiangsu Province; Priority Academic Program Development of Jiangsu Higher Education Institutions (PAPD); NSFC project(National Natural Science Foundation of China (NSFC))</t>
  </si>
  <si>
    <t>Z. Wang was supported by the China National Natural Science Foundation (NSFC) Project (41276200), by the Global Change Research Program of China (2015CB953904), by the Special Program for China Meteorology Trade (Grant No. GYHY201306020), by the Program for Innovation Research and Entrepreneurship team in Jiangsu Province, and by a project funded by the Priority Academic Program Development of Jiangsu Higher Education Institutions (PAPD). C. Liu is supported by the NSFC project (41306208). This paper is ESMC contribution No. 112.</t>
  </si>
  <si>
    <t>0930-7575</t>
  </si>
  <si>
    <t>1432-0894</t>
  </si>
  <si>
    <t>CLIM DYNAM</t>
  </si>
  <si>
    <t>Clim. Dyn.</t>
  </si>
  <si>
    <t>9-10</t>
  </si>
  <si>
    <t>10.1007/s00382-016-3244-y</t>
  </si>
  <si>
    <t>ES3LU</t>
  </si>
  <si>
    <t>WOS:000399431900010</t>
  </si>
  <si>
    <t>Brose, U; Blanchard, JL; Eklöf, A; Galiana, N; Hartvig, M; Hirt, MR; Kalinkat, G; Nordström, MC; O'Gorman, EJ; Rall, BC; Schneider, FD; Thébault, E; Jacob, U</t>
  </si>
  <si>
    <t>Brose, Ulrich; Blanchard, Julia L.; Eklof, Anna; Galiana, Nuria; Hartvig, Martin; Hirt, Myriam R.; Kalinkat, Gregor; Nordstrom, Marie C.; O'Gorman, Eoin J.; Rall, Bjoern C.; Schneider, Florian D.; Thebault, Elisa; Jacob, Ute</t>
  </si>
  <si>
    <t>Predicting the consequences of species loss using size-structured biodiversity approaches</t>
  </si>
  <si>
    <t>BIOLOGICAL REVIEWS</t>
  </si>
  <si>
    <t>biodiversity; extinctions; complexity; food webs; stability; ecosystem functioning; global change; allometric scaling; size spectrum</t>
  </si>
  <si>
    <t>ALLOMETRIC DEGREE DISTRIBUTIONS; BODY-MASS CONSTRAINTS; FOOD-WEB; EXTINCTION RISK; FRESH-WATER; INTERACTION STRENGTHS; ECOSYSTEM-FUNCTION; ECOLOGICAL NETWORKS; GLOBAL PATTERNS; STABILITY</t>
  </si>
  <si>
    <t>Understanding the consequences of species loss in complex ecological communities is one of the great challenges in current biodiversity research. For a long time, this topic has been addressed by traditional biodiversity experiments. Most of these approaches treat species as trait-free, taxonomic units characterizing communities only by species number without accounting for species traits. However, extinctions do not occur at random as there is a clear correlation between extinction risk and species traits. In this review, we assume that large species will be most threatened by extinction and use novel allometric and size-spectrum concepts that include body mass as a primary species trait at the levels of populations and individuals, respectively, to re-assess three classic debates on the relationships between biodiversity and (i) food-web structural complexity, (ii) community dynamic stability, and (iii) ecosystem functioning. Contrasting current expectations, size-structured approaches suggest that the loss of large species, that typically exploit most resource species, may lead to future food webs that are less interwoven and more structured by chains of interactions and compartments. The disruption of natural body-mass distributions maintaining food-web stability may trigger avalanches of secondary extinctions and strong trophic cascades with expected knock-on effects on the functionality of the ecosystems. Therefore, we argue that it is crucial to take into account body size as a species trait when analysing the consequences of biodiversity loss for natural ecosystems. Applying size-structured approaches provides an integrative ecological concept that enables a better understanding of each species' unique role across communities and the causes and consequences of biodiversity loss.</t>
  </si>
  <si>
    <t>[Brose, Ulrich; Hirt, Myriam R.; Rall, Bjoern C.] German Ctr Integrat Biodivers Res iDiv, D-04103 Leipzig, Germany; [Brose, Ulrich; Hirt, Myriam R.; Rall, Bjoern C.] Friedrich Schiller Univ Jena, Fac Biol &amp; Pharm, Inst Ecol, D-07743 Jena, Germany; [Blanchard, Julia L.] Univ Tasmania, Inst Marine &amp; Antarctic Studies, 20 Castray Esplanade, Battery Point, Tas 7004, Australia; [Blanchard, Julia L.] Univ Tasmania, Ctr Marine Socioecol, 20 Castray Esplanade, Battery Point, Tas 7004, Australia; [Eklof, Anna] Linkoping Univ, Theoret Biol, Dept Phys Chem &amp; Biol, SE-58183 Linkoping, Sweden; [Galiana, Nuria] CNRS, Ecol Networks &amp; Global Change Grp, Expt Ecol Stn, F-09200 Moulis, France; [Hartvig, Martin] Univ Copenhagen, Nat Hist Museum Denmark, Ctr Macroecol Evolut &amp; Climate, DK-2100 Copenhagen, Denmark; [Hartvig, Martin] Tech Univ Denmark, Natl Inst Aquat Resources, DK-2920 Charlottenlund, Denmark; [Hartvig, Martin] Georg August Univ Gottingen, Syst Conservat Biol Grp, JF Blumenbach Inst Zool &amp; Anthropol, D-37073 Gottingen, Germany; [Kalinkat, Gregor] Leibniz Inst Freshwater Ecol &amp; Inland Fisheries, Dept Biol &amp; Ecol Fishes, D-12587 Berlin, Germany; [Kalinkat, Gregor] Eawag, Dept Fish Ecol &amp; Evolut, CH-6047 Kastanienbaum, Switzerland; [Nordstrom, Marie C.] Abo Akad Univ, Environm &amp; Marine Biol, FI-20520 Turku, Finland; [O'Gorman, Eoin J.] Imperial Coll London, Silwood Pk Campus,Buckhurst Rd, Ascot SL5 7PY, Berks, England; [Schneider, Florian D.] Univ Montpellier, CNRS, IRD, Inst Sci Evolut,EPHE,CC065, F-34095 Montpellier 05, France; [Thebault, Elisa] Univ Paris 06, Inst Ecol &amp; Environm Sci Paris, UMR 7618, UPMC,CNRS,IRD,INRA,UPEC,Paris Diderot, F-75005 Paris, France; [Jacob, Ute] Univ Hamburg, Dept Biol, Inst Hydrobiol &amp; Fisheries Sci, Ctr Earth Syst Res &amp; Sustainabil CEN, KlimaCampus, D-22767 Hamburg, Germany</t>
  </si>
  <si>
    <t>Friedrich Schiller University of Jena; University of Tasmania; University of Tasmania; Linkoping University; Centre National de la Recherche Scientifique (CNRS); University of Copenhagen; Technical University of Denmark; University of Gottingen; Leibniz Institut fur Gewasserokologie und Binnenfischerei (IGB); Swiss Federal Institutes of Technology Domain; Swiss Federal Institute of Aquatic Science &amp; Technology (EAWAG); Abo Akademi University; Imperial College London; Universite PSL; Ecole Pratique des Hautes Etudes (EPHE); Centre National de la Recherche Scientifique (CNRS); Institut de Recherche pour le Developpement (IRD); Universite de Montpellier; AgroParisTech; Centre National de la Recherche Scientifique (CNRS); Institut de Recherche pour le Developpement (IRD); Sorbonne Universite; Universite Paris-Est-Creteil-Val-de-Marne (UPEC); INRAE; Universite Paris Cite; University of Hamburg</t>
  </si>
  <si>
    <t>Brose, U (corresponding author), German Ctr Integrat Biodivers Res iDiv, D-04103 Leipzig, Germany.;Brose, U (corresponding author), Friedrich Schiller Univ Jena, Fac Biol &amp; Pharm, Inst Ecol, D-07743 Jena, Germany.</t>
  </si>
  <si>
    <t>ulrich.brose@idiv.de</t>
  </si>
  <si>
    <t>O'Gorman, Eoin J/I-6744-2012; Nordström, Marie C./JBJ-6226-2023; Nordström, Marie C./C-8956-2012; Rall, Björn C./G-1508-2013; Blanchard, Julia L/E-4919-2010; Brose, Ulrich/AAT-7547-2020; Kalinkat, Gregor/H-5401-2013; Hartvig, Martin/C-4303-2011; Jacob, Ute/H-3089-2018</t>
  </si>
  <si>
    <t>O'Gorman, Eoin J/0000-0003-4507-5690; Nordström, Marie C./0000-0001-5763-1813; Rall, Björn C./0000-0002-3191-8389; Brose, Ulrich/0000-0001-9156-583X; Kalinkat, Gregor/0000-0003-3529-5681; Thebault, Elisa/0000-0002-9669-5227; Schneider, Florian/0000-0002-1494-5684; Blanchard, Julia/0000-0003-0532-4824; Galiana, Nuria/0000-0001-7720-0615; Hirt, Myriam/0000-0002-8112-2020</t>
  </si>
  <si>
    <t>Research Network Programme of the European Science Foundation on body size and ecosystem dynamics (SIZEMIC); German Centre for integrative Biodiversity Research (iDiv) Halle-Jena-Leipzig - German Research Foundation [FZT 118]; Leibniz Competition [SAW-2013-IGB-2]; Villum Foundation; Danish National Research Foundation; NERC [NE/M020843/1, NE/L011840/1, NE/I009280/2, NE/I009280/1, NE/N005996/1] Funding Source: UKRI; Natural Environment Research Council [NE/M020843/1, NE/L011840/1, NE/I009280/2, NE/I009280/1, NE/N005996/1] Funding Source: researchfish</t>
  </si>
  <si>
    <t>Research Network Programme of the European Science Foundation on body size and ecosystem dynamics (SIZEMIC); German Centre for integrative Biodiversity Research (iDiv) Halle-Jena-Leipzig - German Research Foundation; Leibniz Competition; Villum Foundation(Villum Fonden); Danish National Research Foundation(Danmarks Grundforskningsfond); NERC(UK Research &amp; Innovation (UKRI)Natural Environment Research Council (NERC)); Natural Environment Research Council(UK Research &amp; Innovation (UKRI)Natural Environment Research Council (NERC))</t>
  </si>
  <si>
    <t>This research was supported by a Research Network Programme of the European Science Foundation on body size and ecosystem dynamics (SIZEMIC). Funding has been provided to M.R.H., B.C.R. and U.B by the German Centre for integrative Biodiversity Research (iDiv) Halle-Jena-Leipzig funded by the German Research Foundation (FZT 118), to G.K. by the B-Types project funded through the Leibniz Competition (SAW-2013-IGB-2). M.H. acknowledges the Villum Foundation for postdoctoral support and the Danish National Research Foundation for support to the Center for Macroecology, Evolution and Climate.</t>
  </si>
  <si>
    <t>1464-7931</t>
  </si>
  <si>
    <t>1469-185X</t>
  </si>
  <si>
    <t>BIOL REV</t>
  </si>
  <si>
    <t>Biol. Rev.</t>
  </si>
  <si>
    <t>10.1111/brv.12250</t>
  </si>
  <si>
    <t>ER1QJ</t>
  </si>
  <si>
    <t>WOS:000398567200005</t>
  </si>
  <si>
    <t>Pizzini, S; Sbicego, C; Corami, F; Grotti, M; Magi, E; Bonato, T; Cozzi, G; Barbante, C; Piazza, R</t>
  </si>
  <si>
    <t>Pizzini, Sarah; Sbicego, Chiara; Corami, Fabiana; Grotti, Marco; Magi, Emanuele; Bonato, Tiziano; Cozzi, Giulio; Barbante, Carlo; Piazza, Rossano</t>
  </si>
  <si>
    <t>3,3′-dichlorobiphenyl (non-Aroclor PCB-11) as a marker of non-legacy PCB contamination in marine species: comparison between Antarctic and Mediterranean bivalves</t>
  </si>
  <si>
    <t>PCB-11 (3,3 '-dichlorobiphenyl); Gas chromatography -mass spectrometry; Biota; Antarctic environmental specimen bank; Terra Nova Bay; Adriatic Sea</t>
  </si>
  <si>
    <t>MUSSELS MYTILUS-GALLOPROVINCIALIS; POLYCYCLIC AROMATIC-HYDROCARBONS; BAY ROSS SEA; POLYCHLORINATED-BIPHENYLS PCBS; SCALLOP ADAMUSSIUM-COLBECKI; DIPHENYL ETHERS PBDES; MANILA CLAM; RUDITAPES-PHILIPPINARUM; GAS-CHROMATOGRAPHY; SARONIKOS GULF</t>
  </si>
  <si>
    <t>In this study the accumulation of the 3,3'-dichlorobiphenyl (PCB-11) in monitoring organisms from the Antarctic and Mediterranean coastal environments has been investigated. This lesser-known PCB congener, unrelated to the industrial use of commercial mixtures, continues to be generated and released into the environment mainly as an unintentional by-product of pigment manufacturing. Specimens of the filter-feeders Adamussium colbecki from Terra Nova Bay and of Mytilus galloprovincialis and Ruditapes philippinarum from the north-western Adriatic coasts were collected and analyzed for PCB-11 by Gas Chromatography coupled both to Low-Resolution and High-Resolution Mass Spectrometry (LRMS, HRMS). In order to assess the influence of PCB-11 with respect to the legacy contamination, 126 PCB congeners related to the Aroclor commercial mixtures were simultaneously analyzed. PCB-11 was detected in all the samples, regardless of the species and of the geographical area, representing on average 17.6% and 15.6% of the total PCBs (n 127) in Antarctic and Mediterranean samples, respectively. In the Adriatic area the highest concentrations were related to the influence of industrial activities or ship traffic, while the highest value found in Antarctic specimens, namely those collected in the austral summer 1997-1998, was ascribed to a local anthropogenic source. The occurrence of PCB-11 in the other samples from Terra Nova Bay may be related to Long-Range Atmospheric Transport (LRAT), facilitated by the higher volatility of the analyte compared to the heavier PCB congeners. Nevertheless, more in-depth studies are needed in order to evaluate the relative contribution of local and distant sources.(C) 2017 Elsevier Ltd. All rights reserved.</t>
  </si>
  <si>
    <t>[Pizzini, Sarah; Corami, Fabiana; Cozzi, Giulio; Barbante, Carlo; Piazza, Rossano] Natl Res Council CNR IDPA, Inst Dynam Environm Proc, Via Torino 155, I-30172 Venice Mestre, VE, Italy; [Sbicego, Chiara; Barbante, Carlo; Piazza, Rossano] CaFoscari Univ Venice, Dept Environm Sci Informat &amp; Stat, Via Torino 155, I-30172 Venice Mestre, VE, Italy; [Grotti, Marco; Magi, Emanuele] Univ Genoa, Dept Chem &amp; Ind Chem, Via Dodecaneso 31, I-16146 Genoa, Italy; [Bonato, Tiziano] SESA SpA Soc Estense Serv Ambientali, Via Principe Amedeo 43-A, I-35042 Este, PD, Italy</t>
  </si>
  <si>
    <t>Consiglio Nazionale delle Ricerche (CNR); Istituto per la Dinamica dei Processi Ambientali (IDPA-CNR); Universita Ca Foscari Venezia; University of Genoa</t>
  </si>
  <si>
    <t>Pizzini, S (corresponding author), Natl Res Council CNR IDPA, Inst Dynam Environm Proc, Via Torino 155, I-30172 Venice Mestre, VE, Italy.</t>
  </si>
  <si>
    <t>sarah.pizzini@idpa.cnr.it</t>
  </si>
  <si>
    <t>Cozzi, Giulio/R-4554-2019; Corami, Fabiana/ABC-8571-2020; Grotti, Marco/HGU-3949-2022; Magi, Emanuele/C-9564-2011; Corami, Fabiana/ACG-8770-2022; Barbante, Carlo/B-3195-2011; Pizzini, Sarah/N-5093-2015</t>
  </si>
  <si>
    <t>Cozzi, Giulio/0000-0001-8796-4176; Corami, Fabiana/0000-0002-7484-9600; Grotti, Marco/0000-0001-6956-5761; Magi, Emanuele/0000-0002-8183-5020; Corami, Fabiana/0000-0002-7484-9600; Pizzini, Sarah/0000-0001-6330-152X; Barbante, Carlo/0000-0003-4177-2288; Piazza, Rossano/0000-0002-1897-4124; Tiziano, Bonato/0000-0001-7273-5725</t>
  </si>
  <si>
    <t>Italian Ministry of Education, Universities and Research (MIUR) through the project PRIN [2010AXENJ8]; Italian National Antarctic Research Programme (PNRA) [9.2]; Veneto region [436/1/6/1686/2012]</t>
  </si>
  <si>
    <t>Italian Ministry of Education, Universities and Research (MIUR) through the project PRIN(Ministry of Education, Universities and Research (MIUR)); Italian National Antarctic Research Programme (PNRA); Veneto region(Regione Veneto)</t>
  </si>
  <si>
    <t>This work was funded by the Italian Ministry of Education, Universities and Research (MIUR) through the project PRIN (Prot. 2010AXENJ8) and by the Italian National Antarctic Research Programme (PNRA; project number: 9.2). Sampling of mussels and clams was funded by the Veneto region (project code: 436/1/6/1686/2012). The authors want to thank Daniela Almansi for her accurate revision of the manuscript.</t>
  </si>
  <si>
    <t>10.1016/j.chemosphere.2017.02.023</t>
  </si>
  <si>
    <t>EP9JZ</t>
  </si>
  <si>
    <t>WOS:000397691200004</t>
  </si>
  <si>
    <t>Calace, N; Nardi, E; Pietroletti, M; Bartolucci, E; Pietrantonio, M; Cremisini, C</t>
  </si>
  <si>
    <t>Calace, Nicoletta; Nardi, Elisa; Pietroletti, Marco; Bartolucci, Eugenia; Pietrantonio, Massimiliana; Cremisini, Carlo</t>
  </si>
  <si>
    <t>Antarctic snow: metals bound to high molecular weight dissolved organic matter</t>
  </si>
  <si>
    <t>High molecular weight organic substances; Heavy metals; Antarctic snow; Ultrafiltration</t>
  </si>
  <si>
    <t>HUMIC-LIKE SUBSTANCES; RARE-EARTH-ELEMENTS; TRACE-ELEMENTS; HEAVY-METALS; ENHANCED ULTRAFILTRATION; SURFACE SNOW; BLACK CARBON; ICE-CORE; WATER; RECORD</t>
  </si>
  <si>
    <t>In this paper we studied some heavy metals (Cu, Zn, Cd, Pb, As, U) probably associated to high molecular weight organic compounds present in the Antarctic snow. Snow-pit samples were collected and analysed for high molecular weight fraction and heavy metals bound to them by means of ultrafiltration treatment. High molecular weight dissolved organic matter (HMW-DOM) recovered by ultrafiltration showed a dissolved organic carbon concentration (HMW-DOC) of about 18-83% of the total dissolved organic carbon measured in Antarctic snow. The characterisation of HMW-DOM fraction evidenced an ageing of organic compounds going from surface layers to the deepest ones with a shift from aliphatic compounds and proteins/amino sugars to more high unsaturated character and less nitrogen content. The heavy metals associated to HMW-DOM fraction follows the order: Zn &gt; Cu &gt; Pb Cd As U. The percentage fraction of metals bound to HMW-DOM respect to total metal content follows the order: Cu Pb &gt; Zn, Cd in agreement with humic substance binding ability (Irwing-William series). Going down to depth of trench, all metals except arsenic, showed a high concentration peak corresponding to 2.0-2.5 m layer. This result was attributed to particular structural characteristic of organic matter able to form different type of complexes (1:1, 1:2, 1:n) with metals. (C) 2017 Elsevier Ltd. All rights reserved.</t>
  </si>
  <si>
    <t>[Calace, Nicoletta; Pietroletti, Marco; Bartolucci, Eugenia] Italian Natl Inst Environm Protect &amp; Res ISPRA, Via Vitaliano Brancati 48, I-00144 Rome, Italy; [Nardi, Elisa; Pietrantonio, Massimiliana; Cremisini, Carlo] Italian Natl Agcy New Technol Energy &amp; Sustainabl, ENEA, CR Casaccia, Via Anguillarese 301, I-00123 Rome, Italy</t>
  </si>
  <si>
    <t>Italian Institute for Environmental Protection &amp; Research (ISPRA); Italian National Agency New Technical Energy &amp; Sustainable Economics Development</t>
  </si>
  <si>
    <t>Calace, N (corresponding author), Italian Natl Inst Environm Protect &amp; Res ISPRA, Via Vitaliano Brancati 48, I-00144 Rome, Italy.</t>
  </si>
  <si>
    <t>nicoletta.calace@isprambiente.it</t>
  </si>
  <si>
    <t>Cremisini, Carlo/AAL-2350-2021</t>
  </si>
  <si>
    <t>National Programme for Antarctic Research [2013/AZ2.1]</t>
  </si>
  <si>
    <t>National Programme for Antarctic Research</t>
  </si>
  <si>
    <t>The authors thank Carlo Abete for sampling and treatment of snow samples. This work was supported by the National Programme for Antarctic Research, project 2013/AZ2.1.</t>
  </si>
  <si>
    <t>10.1016/j.chemosphere.2017.02.052</t>
  </si>
  <si>
    <t>WOS:000397691200036</t>
  </si>
  <si>
    <t>Cincinelli, A; Scopetani, C; Chelazzi, D; Lombardini, E; Martellini, T; Katsoyiannis, A; Fossi, MC; Corsolini, S</t>
  </si>
  <si>
    <t>Cincinelli, Alessandra; Scopetani, Costanza; Chelazzi, David; Lombardini, Emilia; Martellini, Tania; Katsoyiannis, Athanasios; Fossi, Maria Cristina; Corsolini, Simonetta</t>
  </si>
  <si>
    <t>Microplastic in the surface waters of the Ross Sea (Antarctica): Occurrence, distribution and characterization by FTIR</t>
  </si>
  <si>
    <t>Microplastic; Subsurface water; Ross Sea; FTIR; Antarctica</t>
  </si>
  <si>
    <t>MARINE-ENVIRONMENT; PLASTIC DEBRIS; SPECTROSCOPIC ANALYSIS; IDENTIFICATION; TRANSPORT; OCEAN; QUANTIFICATION; CONTAMINANTS; REFLECTANCE; ORGANISMS</t>
  </si>
  <si>
    <t>This is the first survey to investigate the occurrence and extent of microplastic (MPs) contamination in sub surface waters collected near-shore and off-shore the coastal area of the Ross Sea (Antarctica). Moreover, a non-invasive method to analyze MPs, consisting in filtration after water sampling and analysis of the dried filter through Fourier Transform Infrared Spectroscopy (FTIR) 2D Imaging, using an FPA detector, was proposed. The non-invasiveness of analytical set-up reduces potential bias and allows subsequent analysis of the filter sample for determination of other classes of contaminants. MPs ranged from 0.0032 to 1.18 particle per m(3) of seawater, with a mean value of 0.17 +/- 034 particle m(-3), showing concentrations lower than those found in the oceans worldwide. MPs included fragments (mean 71.9 +/- 21.6%), fibers (mean 12.7 +/- 14.3%), and others (mean 15.4 +/- 12.8%). The presence of different types of MPs was confirmed by FTIR spectroscopy, with predominant abundance of polyethylene and polypropylene. The potential environmental impact arising from scientific activities, such as marine activities for scientific purposes, and from the sewage treatment plant, was also evidenced. (C) 2017 Elsevier Ltd. All rights reserved.</t>
  </si>
  <si>
    <t>[Cincinelli, Alessandra; Scopetani, Costanza; Lombardini, Emilia; Martellini, Tania] Univ Florence, Dept Chem Ugo Schiff, I-50019 Florence, Italy; [Cincinelli, Alessandra; Chelazzi, David] CSGI, Consorzio Interuniv Sviluppo Sistemi Grande Inter, I-50019 Florence, Italy; [Katsoyiannis, Athanasios] Norwegian Inst Air Res NILU, FRAM High North Res Ctr Climate &amp; Environm, Hjalmar Johansens Gt 14, N-9296 Tromso, Norway; [Fossi, Maria Cristina; Corsolini, Simonetta] Univ Siena, Dept Phys Earth &amp; Environm Sci, Via Mattioli 4, I-53100 Siena, Italy</t>
  </si>
  <si>
    <t>University of Florence; NILU; University of Siena</t>
  </si>
  <si>
    <t>Cincinelli, A (corresponding author), Univ Florence, Dept Chem Ugo Schiff, I-50019 Florence, Italy.</t>
  </si>
  <si>
    <t>acincinelli@unifi.it</t>
  </si>
  <si>
    <t>Corsolini, Simonetta/B-9460-2012; Katsoyiannis, Athanasios/E-4901-2012; Chelazzi, David/H-9258-2012; Martellini, Tania/AAD-1095-2020; Scopetani, Costanza/KBQ-8704-2024; Cincinelli, Alessandra/A-8468-2011</t>
  </si>
  <si>
    <t>Corsolini, Simonetta/0000-0002-9772-2362; Chelazzi, David/0000-0001-9994-3356; Martellini, Tania/0000-0001-6803-1928; Scopetani, Costanza/0000-0002-3942-2310; Fossi, Maria Cristina/0000-0003-0836-4020</t>
  </si>
  <si>
    <t>Italian Antarctic Research Program (PNRA) [2009/A1.04]; Consorzio Interuniversitario per lo Sviluppo dei Sistemi a Grande Interfase (CSGI), Florence; European Union's Horizon 2020 research and innovation programme [646063]</t>
  </si>
  <si>
    <t>Italian Antarctic Research Program (PNRA); Consorzio Interuniversitario per lo Sviluppo dei Sistemi a Grande Interfase (CSGI), Florence; European Union's Horizon 2020 research and innovation programme</t>
  </si>
  <si>
    <t>The Italian Antarctic Research Program (PNRA) funded in part this research (Project n. 2009/A1.04). Financial support from the Consorzio Interuniversitario per lo Sviluppo dei Sistemi a Grande Interfase (CSGI), Florence, is also gratefully acknowledged. This project has received partial funding from the European Union's Horizon 2020 research and innovation programme under grant agreement No 646063. The proposed analytical protocol has a broad range of applications in interdisciplinary fields related to both environmental and industrial chemistry, such as the analysis of polymers (i.e. color binders, plastic fibers, adhesives, varnishes, additives) on organic substrates (i.e. cellulose - and protein based), used in textile industry, design and art production.</t>
  </si>
  <si>
    <t>10.1016/j.chemosphere.2017.02.024</t>
  </si>
  <si>
    <t>WOS:000397691200046</t>
  </si>
  <si>
    <t>Freidman, BL; Terry, D; Wilkins, D; Spedding, T; Gras, SL; Snape, I; Stevens, GW; Mumford, KA</t>
  </si>
  <si>
    <t>Freidman, Benjamin L.; Terry, Deborah; Wilkins, Dan; Spedding, Tim; Gras, Sally L.; Snape, Ian; Stevens, Geoffrey W.; Mumford, Kathryn A.</t>
  </si>
  <si>
    <t>Permeable bio-reactive barriers to address petroleum hydrocarbon contamination at subantarctic Macquarie Island</t>
  </si>
  <si>
    <t>Diesel; Macquarie Island; Funnel and gate; Biofilm; Biodegradation</t>
  </si>
  <si>
    <t>DIESEL FUEL; CASEY STATION; REMEDIATION; SOIL; BIOREMEDIATION; SITE; TOXICITY; RELEASE; DESIGN</t>
  </si>
  <si>
    <t>A reliance on diesel generated power and a history of imperfect fuel management have created a legacy of petroleum hydrocarbon contamination at subantarctic Macquarie Island. Increasing environmental awareness and advances in contaminant characterisation and remediation technology have fostered an impetus to reduce the environmental risk associated with legacy sites. A funnel and gate permeable bio-reactive barrier (PRB) was installed in 2014 to address the migration of Special Antarctic Blend diesel from a spill that occurred in 2002, as well as older spills and residual contaminants in the soil at the Main Power House. The PRB gate comprised of granular activated carbon and natural clinoptilolite zeolite. Petroleum hydrocarbons migrating in the soil water were successfully captured on the reactive materials, with concentrations at the outflow of the barrier recorded as being below reporting limits. The nutrient and iron concentrations delivered to the barrier demonstrated high temporal variability with significant iron precipitation observed across the bed. The surface of the granular activated carbon was largely free from cell attachment while natural zeolite demonstrated patchy biofilm formation after 15 months following PRB installation. This study illustrates the importance of informed material selection at field scale to ensure that adsorption and biodegradation processes are utilised to manage the environmental risk associated with petroleum hydrocarbon spills. This study reports the first installation of a permeable bio-reactive barrier in the subantarctic. (C) 2017 Elsevier Ltd. All rights reserved.</t>
  </si>
  <si>
    <t>[Freidman, Benjamin L.; Gras, Sally L.; Stevens, Geoffrey W.; Mumford, Kathryn A.] Univ Melbourne, Dept Chem &amp; Biomol Engn, Particulate Fluids Proc Ctr, Melbourne, Vic 3010, Australia; [Freidman, Benjamin L.; Gras, Sally L.] Univ Melbourne, Mol Sci &amp; Biotechnol Inst Bio21, Melbourne, Vic 3010, Australia; [Terry, Deborah; Wilkins, Dan; Spedding, Tim; Snape, Ian] Australian Antarctic Div, Channel Highway, Kingston, Tas 7050, Australia; [Gras, Sally L.] Univ Melbourne, ARC Dairy Innovat Hub, Melbourne, Vic 3010, Australia</t>
  </si>
  <si>
    <t>University of Melbourne; Melbourne Bioinformatics; University of Melbourne; Melbourne Bioinformatics; Australian Antarctic Division; University of Melbourne; Melbourne Genomics Health Alliance</t>
  </si>
  <si>
    <t>Mumford, KA (corresponding author), Univ Melbourne, Bldg 165, Parkville, Vic 3010, Australia.</t>
  </si>
  <si>
    <t>Gras, Sally L/G-2025-2014; Wilkins, Daniel/AAF-3959-2020; Mumford, Kathryn/M-6566-2015</t>
  </si>
  <si>
    <t>Gras, Sally L/0000-0002-4660-1245; Spedding, Tim/0000-0002-4023-2469; Stevens, Geoffrey/0000-0002-5788-4682; Wilkins, Daniel/0000-0003-2081-483X; Mumford, Kathryn/0000-0002-7056-5600</t>
  </si>
  <si>
    <t>Australian Antarctic Division [4036]; The Particulate Fluids Processing Centre at University of Melbourne; ARC Dairy Innovation Hub [IH120100005]</t>
  </si>
  <si>
    <t>Australian Antarctic Division; The Particulate Fluids Processing Centre at University of Melbourne; ARC Dairy Innovation Hub(Australian Research Council)</t>
  </si>
  <si>
    <t>We would like to thank Lisa Meyer, Robbie Kilpatrick, Patrick O'Donohue, Lauren Wise, Greg Hince, Scott Stark, and Rebecca McWatters at the Australian Antarctic Division for their field and laboratory support. We acknowledge the financial and logistical support of the Australian Antarctic Division (MS Grant 4036) and The Particulate Fluids Processing Centre at The University of Melbourne. Sally Gras is supported by The ARC Dairy Innovation Hub (IH120100005).</t>
  </si>
  <si>
    <t>10.1016/j.chemosphere.2017.01.127</t>
  </si>
  <si>
    <t>EP0KK</t>
  </si>
  <si>
    <t>WOS:000397076000045</t>
  </si>
  <si>
    <t>Ding, YF; Cheng, X; Cheng, C; Hui, FM</t>
  </si>
  <si>
    <t>Ding Yi-Fan; Cheng Xiao; Cheng Cheng; Hui Feng-Ming</t>
  </si>
  <si>
    <t>Monitoring ice velocity by SAR offset-tracking and analysis of influence factors for the Kangshung glacier in the Tibetan plateau</t>
  </si>
  <si>
    <t>Offset-tracking; Ice velocity; Temperature; Altitude; Kangshung glacier</t>
  </si>
  <si>
    <t>SATELLITE RADAR INTERFEROMETRY; EVEREST REGION; MOTION; SCALE; USA</t>
  </si>
  <si>
    <t>As an important component of the earth system, glaciers are sensitive to global warming which can result in glacier retreat. This feedback acts more on mountain glaciers than Antarctic or Arctic glaciers. To quantify the role of glaciers in climate change, it is essential to keep tracking glacier motion, especially glacier velocity, which will pose impact on the mass balance of glaciers and the surrounding environment. The development of remote sensing instruments overcomes the deficiency of field monitoring technology in the past and contribute to glacier monitoring, especially the Synthetic Aperture Radar (SAR) with all-weather and day-and night imaging capabilities. In this study, we use the SAR offset-tracking method to estimate ice velocity of the Kangshung glacier, one of the active glaciers in the Khumbu basin of the Tibetan plateau, based on seven couples of Single-Look Complex (SLC) data from 2003 to 2010. Compared with D-InSAR, SAR offset-tracking can obtain more information from both range and azimuth displacement. The ice velocity obtained in this work is proved to be reliable through validation with previous research. The results show that the Kangshung glacier flows from west to east and the ice velocity gradually increases from the terminus to the upstream. The contribution of ice velocity mainly comes from the range direction. In the early years from 2003 to 2005, the ice velocity was much higher with maximum up to 45 m . a(-1). In the late years from 2005-2010, the ice velocity decreased slightly and the maximum fluctuated between 35 m . a(-1) to 40 m.a(-1). However, the annual velocity change of Kangshung glacier was stable in the study period. Although there existed fluctuation of 3 m . a(-1) to 7 m . a(-1), it did not affect the general trend of glacier movement. Besides, we also analyzed the impacts of meteorological environment and location on the motion of the Kangshung glacier.</t>
  </si>
  <si>
    <t>[Ding Yi-Fan; Cheng Xiao; Cheng Cheng; Hui Feng-Ming] Beijing Normal Univ, Coll Global Change &amp; Earth Syst Sci, Beijing 100875, Peoples R China; [Ding Yi-Fan; Cheng Xiao; Hui Feng-Ming] Joint Ctr Global Change Studies, Beijing 100875, Peoples R China; [Ding Yi-Fan; Cheng Xiao; Hui Feng-Ming] Coll Global Change &amp; Earth Syst Sci, State Key Lab Remote Sensing Sci, Beijing 100875, Peoples R China</t>
  </si>
  <si>
    <t>Beijing Normal University</t>
  </si>
  <si>
    <t>Cheng, X (corresponding author), Beijing Normal Univ, Coll Global Change &amp; Earth Syst Sci, Beijing 100875, Peoples R China.;Cheng, X (corresponding author), Joint Ctr Global Change Studies, Beijing 100875, Peoples R China.;Cheng, X (corresponding author), Coll Global Change &amp; Earth Syst Sci, State Key Lab Remote Sensing Sci, Beijing 100875, Peoples R China.</t>
  </si>
  <si>
    <t>yfding@mail.bnu.edu.cn; xcheng@bnu.edu.cn</t>
  </si>
  <si>
    <t>10.6038/cjg20170504</t>
  </si>
  <si>
    <t>WOS:000400803000004</t>
  </si>
  <si>
    <t>Ravelo, AM; Konar, B; Bluhm, B; Iken, K</t>
  </si>
  <si>
    <t>Ravelo, Alexandra M.; Konar, Brenda; Bluhm, Bodil; Iken, Katrin</t>
  </si>
  <si>
    <t>Growth and production of the brittle stars Ophiura sarsii and Ophiocten sericeum (Echinodermata: Ophiuroidea)</t>
  </si>
  <si>
    <t>Population dynamics; Brittle stars; Age; Growth; Production; Turnover rate; Arctic</t>
  </si>
  <si>
    <t>HIGH-ARCTIC FJORD; STAFF BEAM TRAWL; BEAUFORT-SEA; POPULATION-DYNAMICS; CANADIAN SHELF; STANDING STOCK; MARINE; VARIABILITY; ECHINOIDEA; ADAPTATION</t>
  </si>
  <si>
    <t>Dense brittle star assemblages dominate vast areas of the Arctic marine shelves, making them key components of Arctic ecosystem. This study is the first to determine the population dynamics of the dominant shelf brittle star species, Ophiura sarsii and Ophiocten sericeum, through age determination, individual production and total turnover rate (P:B). In the summer of 2013, O. sarsii were collected in the northeastern Chukchi Sea (depth 35-65 m), while O. sericeum were collected in the central Beaufort Sea (depth 37-200 m). Maximum age was higher for O. sarsii than for O. sericeum (27 and 20 years, respectively); however, both species live longer than temperate region congeners. Growth curves for both species had similar initial fast growth, with an inflection period followed by a second phase of fast growth. Predation avoidance in addition to changes in the allocation of energy may be the mechanisms responsible for the observed age dependent growth rates. Individual production was higher for O. sarsii than for O. sericeum by nearly an order of magnitude throughout the size spectra. The distinct distribution pattern of the two species in the Alaskan Arctic may be determined by environmental characteristics such as system productivity. Both species had equally low turnover rates (0.2 and 0.1, respectively), similar to Antarctic species, but lower than temperate species. Such characteristics suggest that the dense brittle star assemblages that characterize the Arctic shelf system could have a recovery time from disturbance on the order of decades.</t>
  </si>
  <si>
    <t>[Ravelo, Alexandra M.; Konar, Brenda; Iken, Katrin] Univ Alaska Fairbanks, Sch Fisheries &amp; Ocean Sci, POB 757220, Fairbanks, AK 99775 USA; [Bluhm, Bodil] Univ Tromso, Dept Arctic &amp; Marine Biol, N-9037 Tromso, Norway</t>
  </si>
  <si>
    <t>University of Alaska System; University of Alaska Fairbanks; UiT The Arctic University of Tromso</t>
  </si>
  <si>
    <t>Ravelo, AM (corresponding author), Univ Alaska Fairbanks, Sch Fisheries &amp; Ocean Sci, POB 757220, Fairbanks, AK 99775 USA.</t>
  </si>
  <si>
    <t>amravelo@alaska.edu</t>
  </si>
  <si>
    <t>Bluhm, Bodil A/E-7165-2015</t>
  </si>
  <si>
    <t>US Department of the Interior, Bureau of Ocean Energy Management (BOEM) [M08PC20056, M12AC00011]; School of Fisheries and Ocean Sciences</t>
  </si>
  <si>
    <t>US Department of the Interior, Bureau of Ocean Energy Management (BOEM); School of Fisheries and Ocean Sciences</t>
  </si>
  <si>
    <t>The authors are grateful for the hard work and dedication of the captains and crews of the USCC Healy and RV Norseman II. Special thanks to Lauren Bell, Lorena Edenfield, Kimberly Powell, and Tanja Schollmeier from the University of Alaska Fairbanks (UAF) for help with the collection of brittle stars. This manuscript and analysis benefited from the comments from Andrew Mahoney (UAF), Christian Zimmerman (United States Geological Survey) and Peter Winsor (UAF). Samples for this analysis were collected during the 2013 COMIDA-CAB Hanna Shoal cruise (Chukchi Sea Monitoring In Drilling Area-Chemical And Benthos) and the US-Canada trans-boundary cruise, both funded by the US Department of the Interior, Bureau of Ocean Energy Management (BOEM), under Agreement Numbers M08PC20056 and M12AC00011. A.M. Ravelo would like to thank the North Pacific Research Board for the support provided during the sample processing and data analysis of this project. Also, the School of Fisheries and Ocean Sciences for the extra funds (Robert Byrd award) and the Advanced Instrument Lab at UAF that provided a discounted rate for the use of the SEM.</t>
  </si>
  <si>
    <t>10.1016/j.csr.2017.03.011</t>
  </si>
  <si>
    <t>EU9RK</t>
  </si>
  <si>
    <t>WOS:000401377100002</t>
  </si>
  <si>
    <t>Meredith, MP; Stefels, J; van Leeuwe, M</t>
  </si>
  <si>
    <t>Meredith, Michael P.; Stefels, Jacqueline; van Leeuwe, Maria</t>
  </si>
  <si>
    <t>Marine studies at the western Antarctic Peninsula: Priorities, progress and prognosis</t>
  </si>
  <si>
    <t>NORTHERN MARGUERITE BAY; RYDER BAY; SEA-ICE; SEASONAL CYCLE; CLIMATE-CHANGE; OCEAN; VARIABILITY; STRATIFICATION; WATERS; ZONE</t>
  </si>
  <si>
    <t>[Meredith, Michael P.] British Antarctic Survey, Madingley Rd, Cambridge CB3 0ET, England; [Stefels, Jacqueline; van Leeuwe, Maria] Univ Groningen, Groningen Inst Evolutionary Life Sci, Ecophysiol Plants, Nijenborgh 7, NL-9747 AG Groningen, Netherlands</t>
  </si>
  <si>
    <t>UK Research &amp; Innovation (UKRI); Natural Environment Research Council (NERC); NERC British Antarctic Survey; University of Groningen</t>
  </si>
  <si>
    <t>Meredith, MP (corresponding author), British Antarctic Survey, Madingley Rd, Cambridge CB3 0ET, England.</t>
  </si>
  <si>
    <t>mmm@bas.ac.uk</t>
  </si>
  <si>
    <t>Meredith, Michael/0000-0002-7342-7756</t>
  </si>
  <si>
    <t>UK Natural Environment Research Council; Netherlands Organisation for Scientific Research (NWO); US National Science Foundation; NERC [bas0100033] Funding Source: UKRI; Natural Environment Research Council [bas0100033] Funding Source: researchfish</t>
  </si>
  <si>
    <t>UK Natural Environment Research Council(UK Research &amp; Innovation (UKRI)Natural Environment Research Council (NERC)); Netherlands Organisation for Scientific Research (NWO)(Netherlands Organization for Scientific Research (NWO)); US National Science Foundation(National Science Foundation (NSF)); NERC(UK Research &amp; Innovation (UKRI)Natural Environment Research Council (NERC)); Natural Environment Research Council(UK Research &amp; Innovation (UKRI)Natural Environment Research Council (NERC))</t>
  </si>
  <si>
    <t>RaTS is a component of the BAS Polar Oceans research programme, and is funded by the UK Natural Environment Research Council. The Dirck Gerritsz Laboratory and the Dutch research projects conducted at Rothera were funded by the Netherlands Organisation for Scientific Research (NWO). The Palmer LTER program is funded by the US National Science Foundation. Laura Gerrish and Peter Fretwell are thanked for help with preparing figures for this article. All logistical and research staff concerned with the Rothera science programmes are thanked.</t>
  </si>
  <si>
    <t>10.1016/j.dsr2.2017.02.002</t>
  </si>
  <si>
    <t>WOS:000405884100001</t>
  </si>
  <si>
    <t>van Wessem, JM; Meredith, MP; Reijmer, CH; van den Broeke, MR; Cook, AJ</t>
  </si>
  <si>
    <t>van Wessem, J. M.; Meredith, M. P.; Reijmer, C. H.; van den Broeke, M. R.; Cook, A. J.</t>
  </si>
  <si>
    <t>Characteristics of the modelled meteoric freshwater budget of the western Antarctic Peninsula</t>
  </si>
  <si>
    <t>Western Antarctic Peninsula; Climate; Freshwater budget; Ocean; Regional climate modelling</t>
  </si>
  <si>
    <t>ATMOSPHERIC CLIMATE MODEL; HEMISPHERE ANNULAR MODE; SURFACE MASS-BALANCE; SEA-LEVEL RISE; ICE-SHEET; SUMMER TEMPERATURES; MELTING CONDITIONS; VARIABILITY; RESOLUTION; GREENLAND</t>
  </si>
  <si>
    <t>Rapid climatic changes in the western Antarctic Peninsula (WAP) have led to considerable changes in the meteoric freshwater input into the surrounding ocean, with implications for ocean circulation, the marine ecosystem and sea-level rise. In this study, we use the high-resolution Regional Atmospheric Climate Model RACMO2.3, coupled to a firn model, to assess the various contributions to the meteoric freshwater budget of the WAP for 1979-2014: precipitation (snowfall and rainfall), meltwater runoff to the ocean, and glacial discharge. Snowfall is the largest component in the atmospheric contribution to the freshwater budget, and exhibits large spatial and temporal variability. The highest snowfall rates are orographically forced and occur over the coastal regions of the WAP (&gt;2000 mm water equivalent (w.e.) y(-1)) and extend well onto the ocean up to the continental shelf break; a minimum (similar to 500 nun w. e. y(-1)) is reached over the open ocean. Rainfall is an order of magnitude smaller, and strongly depends on latitude and season, being large in summer, when sea ice extent is at its minimum. For Antarctic standards, WAP surface meltwater production is relatively large (&gt; 50 mm w. e. y(-1)), but a large fraction refreezes in the snowpack, limiting runoff. Only at a few more northerly locations is the meltwater predicted to run off into the ocean. In summer, we find a strong relationship of the freshwater fluxes with the Southern Annular Mode (SAM) index. When SAM is positive and occurs simultaneously with a La Nina event there are anomalously strong westerly winds and enhanced snowfall rates over the WAP mountains, Marguerite Bay and the Bellingshausen Sea. When SAM coincides with an El Nino event, winds are more northerly, reducing snowfall and increasing rainfall over the ocean, and enhancing orographic snowfall over the WAP mountains. Assuming balance between snow accumulation (mass gain) and glacial discharge (mass loss), the largest glacial discharge is found for the regions around Adelaide Island (10 Gt y(-1)), Anvers Island (8 Gt y(-1)) and southern Palmer Land (12 Gt y(-1)), while a minimum ( &lt; 2 Gt y(-1)) is found in Marguerite Bay and the northern WAP. Glacial discharge is in the same order of magnitude as the direct freshwater input into the ocean from snowfall, but there are some local differences. The spatial patterns in the meteoric freshwater budget have consequences for local productivity and carbon drawdown in the coastal ocean.</t>
  </si>
  <si>
    <t>[van Wessem, J. M.; Reijmer, C. H.; van den Broeke, M. R.] Univ Utrecht, Inst Marine &amp; Atmospher Res Utrecht, Utrecht, Netherlands; [Meredith, M. P.] British Antarctic Survey, Cambridge, England; [Cook, A. J.] Univ Durham, Dept Geog, Durham, England</t>
  </si>
  <si>
    <t>Utrecht University; UK Research &amp; Innovation (UKRI); Natural Environment Research Council (NERC); NERC British Antarctic Survey; Durham University</t>
  </si>
  <si>
    <t>van Wessem, JM (corresponding author), Univ Utrecht, Inst Marine &amp; Atmospher Res Utrecht, Utrecht, Netherlands.</t>
  </si>
  <si>
    <t>j.m.vanwessem@uu.nl</t>
  </si>
  <si>
    <t>Reijmer, Carleen H/G-8736-2011; Van den Broeke, Michiel R./F-7867-2011; van Wessem, Melchior/AAB-1987-2019</t>
  </si>
  <si>
    <t>Reijmer, Carleen H/0000-0001-8299-3883; Van den Broeke, Michiel R./0000-0003-4662-7565; van Wessem, Melchior/0000-0003-3221-791X; Meredith, Michael/0000-0002-7342-7756</t>
  </si>
  <si>
    <t>Netherlands Polar Program (NPP); Netherlands Organization of Scientific Research, section earth and Life Sciences section (NWO/ALW); Natural Environment Research Council [bas0100033] Funding Source: researchfish; NERC [bas0100033] Funding Source: UKRI</t>
  </si>
  <si>
    <t>Netherlands Polar Program (NPP); Netherlands Organization of Scientific Research, section earth and Life Sciences section (NWO/ALW)(Netherlands Organization for Scientific Research (NWO)); Natural Environment Research Council(UK Research &amp; Innovation (UKRI)Natural Environment Research Council (NERC)); NERC(UK Research &amp; Innovation (UKRI)Natural Environment Research Council (NERC))</t>
  </si>
  <si>
    <t>This study is funded by the Netherlands Polar Program (NPP) and the Netherlands Organization of Scientific Research, section earth and Life Sciences section (NWO/ALW).</t>
  </si>
  <si>
    <t>10.1016/j.dsr2.2016.11.001</t>
  </si>
  <si>
    <t>WOS:000405884100004</t>
  </si>
  <si>
    <t>Meredith, MP; Stammerjohn, SE; Venables, HJ; Ducklow, HW; Martinson, DG; Iannuzzi, RA; Leng, MJ; van Wessem, JM; Reijmer, CH; Barrand, NE</t>
  </si>
  <si>
    <t>Meredith, Michael P.; Stammerjohn, Sharon E.; Venables, Hugh J.; Ducklow, Hugh W.; Martinson, Douglas G.; Iannuzzi, Richard A.; Leng, Melanie J.; van Wessem, Jan Melchior; Reijmer, Carleen H.; Barrand, Nicholas E.</t>
  </si>
  <si>
    <t>Changing distributions of sea ice melt and meteoric water west of the Antarctic Peninsula</t>
  </si>
  <si>
    <t>Ocean-ice-atmosphere system; Meltwater; Ocean circulation; Sea ice; West Antarctic Peninsula</t>
  </si>
  <si>
    <t>NORTHERN MARGUERITE BAY; CLIMATE-CHANGE; MASS-BALANCE; EXTRATROPICAL CIRCULATION; CONTINENTAL-SHELF; ANNULAR MODES; VARIABILITY; SUMMER; WINTER; TRENDS</t>
  </si>
  <si>
    <t>The Western Antarctic Peninsula has recently undergone rapid climatic warming, with associated decreases in sea ice extent and duration, and increases in precipitation and glacial discharge to the ocean. These shifts in the freshwater budget can have significant consequences on the functioning of the regional ecosystem, feedbacks on regional climate, and sea-level rise. Here we use shelf-wide oxygen isotope data from cruises in four consecutive Januaries (2011-2014) to distinguish the freshwater input from sea ice melt separately from that due to meteoric sources (precipitation plus glacial discharge). Sea ice melt distributions varied from minima in 2011 of around 0 % up to maxima in 2014 of around 4-5%. Meteoric water contribution to the marine environment is typically elevated inshore, due to local glacial discharge and orographic effects on precipitation, but this enhanced contribution was largely absent in January 2013 due to anomalously low precipitation in the last quarter of 2012. Both sea ice melt and meteoric water changes are seen to be strongly influenced by changes in regional wind forcing associated with the Southern Annular Mode and the El Nino-Southern Oscillation phenomenon, which also impact on net sea ice motion as inferred from the isotope data. A near-coastal time series of isotope data collected from Rothera Research Station reproduces well the temporal pattern of changes in sea ice melt, but less well the meteoric water changes, due to local glacial inputs and precipitation effects. (C) 2016 Elsevier Ltd. All rights reserved.</t>
  </si>
  <si>
    <t>[Meredith, Michael P.; Venables, Hugh J.] British Antarctic Survey, Cambridge, England; [Stammerjohn, Sharon E.] Univ Colorado, Inst Arctic &amp; Alpine Res, Boulder, CO 80309 USA; [Ducklow, Hugh W.; Martinson, Douglas G.; Iannuzzi, Richard A.] Columbia Univ, Lamont Doherty Earth Observ, New York, NY USA; [Leng, Melanie J.] British Geol Survey, NERC Isotope Geosci Facil, Keyworth, Notts, England; [Leng, Melanie J.] Univ Nottingham, Ctr Environm Geochem, Nottingham, England; [van Wessem, Jan Melchior; Reijmer, Carleen H.] Inst Marine &amp; Atmospher Res, Utrecht, Netherlands; [Barrand, Nicholas E.] Univ Birmingham, Sch Geog Earth &amp; Environm Sci, Birmingham, W Midlands, England</t>
  </si>
  <si>
    <t>UK Research &amp; Innovation (UKRI); Natural Environment Research Council (NERC); NERC British Antarctic Survey; University of Colorado System; University of Colorado Boulder; Columbia University; UK Research &amp; Innovation (UKRI); Natural Environment Research Council (NERC); NERC British Geological Survey; University of Nottingham; Utrecht University; University of Birmingham</t>
  </si>
  <si>
    <t>Meredith, MP (corresponding author), British Antarctic Survey, Cambridge, England.</t>
  </si>
  <si>
    <t>van Wessem, Melchior/AAB-1987-2019; Reijmer, Carleen H/G-8736-2011</t>
  </si>
  <si>
    <t>Reijmer, Carleen H/0000-0001-8299-3883; Leng, Melanie/0000-0003-1115-5166; Meredith, Michael/0000-0002-7342-7756; Barrand, Nicholas/0000-0003-4428-1863; van Wessem, Melchior/0000-0003-3221-791X; STAMMERJOHN, SHARON/0000-0002-1697-8244</t>
  </si>
  <si>
    <t>NSF [0823101, PLR-1440435]; Netherlands Polar Programme (NPP); Netherlands Organization of Scientific Research, Earth and Life Sciences section (NWO/ALW); Natural Environment Research Council; NERC [nigl010001, bas0100033] Funding Source: UKRI; Natural Environment Research Council [bas0100033] Funding Source: researchfish</t>
  </si>
  <si>
    <t>NSF(National Science Foundation (NSF)); Netherlands Polar Programme (NPP); Netherlands Organization of Scientific Research, Earth and Life Sciences section (NWO/ALW)(Netherlands Organization for Scientific Research (NWO));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</si>
  <si>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thank the officers, crew and scientists of the ARSV Laurence M. Gould for the assistance in collecting the cruise data used here, and the succession of marine assistants at Rothera Research Station for collecting isotope samples and data. We also thank the three reviewers for their insightful comments that helped strengthen this paper. Richard Hindmarsh is thanked for advice relating to glaciology, and Carol Arrowsmith is thanked for the oxygen isotope analysis. The Palmer LTER participants acknowledge NSF Awards 0823101 and PLR-1440435. The RACMO project is funded by the Netherlands Polar Programme (NPP) and the Netherlands Organization of Scientific Research, Earth and Life Sciences section (NWO/ALW), and carried out at IMAU. This paper is a contribution of the BAS Polar Oceans programme, funded by the Natural Environment Research Council.</t>
  </si>
  <si>
    <t>10.1016/j.dsr2.2016.04.019</t>
  </si>
  <si>
    <t>Green Submitted, Green Published, Green Accepted</t>
  </si>
  <si>
    <t>WOS:000405884100005</t>
  </si>
  <si>
    <t>Eveleth, R; Cassar, N; Doney, SC; Munro, DR; Sweeney, C</t>
  </si>
  <si>
    <t>Eveleth, R.; Cassar, N.; Doney, S. C.; Munro, D. R.; Sweeney, C.</t>
  </si>
  <si>
    <t>Biological and physical controls on O2/Ar, Ar and pCO2 variability at the Western Antarctic Peninsula and in the Drake Passage</t>
  </si>
  <si>
    <t>Oxygen; Carbon; Gas exchange; Variability; Southern Ocean</t>
  </si>
  <si>
    <t>NET COMMUNITY PRODUCTION; SOUTHERN-OCEAN; TIME-SERIES; INORGANIC CARBON; ICE MELT; OXYGEN; SEA; WATER; NUTRIENTS; DYNAMICS</t>
  </si>
  <si>
    <t>Using simultaneous sub-kilometer resolution underway measurements of surface O-2/Ar, total O-2 and pCO(2) from annual austral summer surveys in 2012, 2013 and 2014, we explore the impacts of biological and physical processes on the O-2 and pCO(2) system spatial and interannual variability at the Western Antarctic Peninsula (WAP). In the WAP, mean O-2/Ar supersaturation was (7.6 +/- 9.1)% and mean pCO(2) supersaturation was (-28 +/- 22)%. We see substantial spatial variability in O-2 and pCO(2) including submesoscale/mesoscale variability with decorrelation length scales of similar to 4.5 km, consistent with the regional Rossby radius. This variability is embedded within onshore-offshore gradients. O-2 in the LTER grid region is driven primarily by biological processes as seen by the median ratio of the magnitude of biological oxygen (O-2/Ar) to physical oxygen (Ar) supersaturation anomalies (%) relative to atmospheric equilibrium (2.6), however physical processes have a more pronounced influence in the southern onshore region of the grid where we see active sea-ice melting. Total O-2 measurements should be interpreted with caution in regions of significant sea-ice formation and melt and glacial meltwater input. pCO(2) undersaturation predominantly reflects biological processes in the LTER grid. In contrast we compare these results to the Drake Passage where gas supersaturations vary by smaller magnitudes and decorrelate at length scales of similar to 12 km, in line with latitudinal changes in the regional Rossby radius. Here biological processes induce smaller O-2/Ar supersaturations (mean (0.14 +/- 13)%) and pCO(2) under saturations (mean (-2.8 +/- 3.9)%) than in the WAP, and pressure changes, bubble and gas exchange fluxes drive stable Ar supersaturations. (C) 2016 Elsevier Ltd All rights reserved.</t>
  </si>
  <si>
    <t>[Eveleth, R.; Cassar, N.] Duke Univ, Nicholas Sch Environm, Div Earth &amp; Ocean Sci, Durham, NC 27708 USA; [Doney, S. C.] Woods Hole Oceanog Inst, Marine Chem &amp; Geochem, Woods Hole, MA 02543 USA; [Munro, D. R.] Univ Colorado, Dept Atmospher &amp; Ocean Sci, Boulder, CO 80309 USA; [Munro, D. R.] Univ Colorado, Inst Arctic &amp; Alpine Res, Boulder, CO 80309 USA; [Sweeney, C.] Univ Colorado, Cooperat Inst Res Environm Sci, Boulder, CO 80309 USA; [Sweeney, C.] NOAA, Earth Syst Res Lab, Boulder, CO USA</t>
  </si>
  <si>
    <t>Duke University; Woods Hole Oceanographic Institution; University of Colorado System; University of Colorado Boulder; University of Colorado System; University of Colorado Boulder; University of Colorado System; University of Colorado Boulder; National Oceanic Atmospheric Admin (NOAA) - USA</t>
  </si>
  <si>
    <t>Doney, Scott/F-9247-2010; Cassar, Nicolas/B-4260-2011; Sweeney, Colm/AAE-9291-2019; Munro, David/ABA-2074-2020; Eveleth, Rachel/N-1035-2017</t>
  </si>
  <si>
    <t>Doney, Scott/0000-0002-3683-2437; Eveleth, Rachel/0000-0003-0556-4326; Sweeney, Colm/0000-0002-4517-0797</t>
  </si>
  <si>
    <t>National Science Foundation Graduate Research Fellowship Program [1106401]; NSF [OPP-1043339, AOAS-0944761]; Palmer LTER Program [NSF PLR-1440435]; NOAA Climate Program Office [NA12OAR4310058]; Directorate For Geosciences; Office of Polar Programs (OPP) [1341647] Funding Source: National Science Foundation</t>
  </si>
  <si>
    <t>National Science Foundation Graduate Research Fellowship Program(National Science Foundation (NSF)); NSF(National Science Foundation (NSF)); Palmer LTER Program; NOAA Climate Program Office(National Oceanic Atmospheric Admin (NOAA) - USA); Directorate For Geosciences; Office of Polar Programs (OPP)(National Science Foundation (NSF)NSF - Directorate for Geosciences (GEO))</t>
  </si>
  <si>
    <t>We first would like to thank three anonymous reviewers for their insightful and thorough comments. We would like to thank the scientists and crew of the ARSV LMG for help with data collection, and Mike Meredith, Hugh Ducklow, Claudine Hauri, Sharon Stammerjon and Nikki Lovenduski for helpful discussions, data and comments. NCEP Reanalysis data was provided by the NOAA/OAR/ESRL PSD, Boulder, CO, USA, from their Web site at http://www.esrl.noaa.gov/psd/. This material is based upon work supported by the National Science Foundation Graduate Research Fellowship Program under Grant No. 1106401. Work was supported by NSF OPP-1043339 to N.C. and through the Palmer LTER Program NSF PLR-1440435 to S.C.D. D.R.M. and C.S. were supported by NSF (AOAS-0944761) as well as the NOAA Climate Program Office (NA12OAR4310058).</t>
  </si>
  <si>
    <t>10.1016/j.dsr2.2016.05.002</t>
  </si>
  <si>
    <t>WOS:000405884100007</t>
  </si>
  <si>
    <t>Annett, AL; Henley, SF; Venables, HJ; Meredith, MP; Clarke, A; Ganeshram, RS</t>
  </si>
  <si>
    <t>Annett, Amber L.; Henley, Sian F.; Venables, Hugh J.; Meredith, Michael P.; Clarke, Andrew; Ganeshram, Raja S.</t>
  </si>
  <si>
    <t>Silica cycling and isotopic composition in northern Marguerite Bay on the rapidly-warming western Antarctic Peninsula</t>
  </si>
  <si>
    <t>Silica; Silicon isotopes; Diatoms; Fractionation; Ryder Bay</t>
  </si>
  <si>
    <t>ICE-ZONE WEST; SOUTHERN-OCEAN; BIOGENIC SILICA; SEA-ICE; COASTAL WATERS; MIXED-LAYER; SLOPE FRONT; DIATOMS; FRACTIONATION; LIMITATION</t>
  </si>
  <si>
    <t>The Southern Ocean is a key region for silica (Si) cycling, and the isotopic signatures established here influence the rest of the world's oceans. The climate and ecosystem of the Southern Ocean are changing rapidly, with the potential to impact Si cycling and isotope dynamics. This study examines high-resolution time-series dataset of dissolved Si concentrations and isotopic signatures, particulate Si concentrations and diatom speciation at a coastal site on the western Antarctic Peninsula (WAP), in order to characterise changes in Si cycling with respect to changes occurring in productivity and diatom assemblages. Dissolved and particulate Si phases reflect the dominant control of biological uptake, and combined with isotopic fractionation were consistent with a season of low/intermediate productivity. Biogenic Si is tightly coupled to both chlorophyll and particulate organic carbon at the sampling site, consistent with diatom-dominated phytoplankton assemblages along the WAP. Variability in diatom speciation has a negligible impact on the isotopic signature of dissolved Si in surface waters, although this is unlikely to hold for sediments due to differential dissolution of diatom species. A continued decline in diatom productivity along the WAP would likely result in an increasing unused Si inventory, which can potentially feed back into Si-limited areas, promoting diatom growth and carbon drawdown further afield.</t>
  </si>
  <si>
    <t>[Annett, Amber L.; Henley, Sian F.; Ganeshram, Raja S.] Univ Edinburgh, Sch Geosci, Edinburgh, Midlothian, Scotland; [Venables, Hugh J.; Meredith, Michael P.; Clarke, Andrew] British Antarctic Survey, Cambridge, England; [Annett, Amber L.] Rutgers State Univ, Dept Marine &amp; Coastal Sci, 71 Dudley Rd, New Brunswick, NJ 08901 USA</t>
  </si>
  <si>
    <t>University of Edinburgh; UK Research &amp; Innovation (UKRI); Natural Environment Research Council (NERC); NERC British Antarctic Survey; Rutgers University System; Rutgers University New Brunswick</t>
  </si>
  <si>
    <t>Annett, AL (corresponding author), Rutgers State Univ, Dept Marine &amp; Coastal Sci, 71 Dudley Rd, New Brunswick, NJ 08901 USA.</t>
  </si>
  <si>
    <t>annett@marine.rutgers.edu</t>
  </si>
  <si>
    <t>Ganeshram, Raja S/JPX-5314-2023</t>
  </si>
  <si>
    <t>Annett, Amber/0000-0002-3730-2438; Meredith, Michael/0000-0002-7342-7756</t>
  </si>
  <si>
    <t>RaTS programme, a component of BAS Polar Oceans programme - UK's Natural Environment Research Council (NERC); NERC, via Antarctic Funding Initiative [4/02]; Collaborative Gearing Scheme [10/50, 11/56]; GEOTRACES CostACTION Short Term Scientific Mission; Natural Science and Engineering Research Council of Canada [PGSD-374281-2009]; Overseas Research Students Awards Scheme; School of GeoSciences at University of Edinburgh; NERC [NE/K010034/1, bas0100033] Funding Source: UKRI; Natural Environment Research Council [bas0100033, NE/K010034/1] Funding Source: researchfish</t>
  </si>
  <si>
    <t>RaTS programme, a component of BAS Polar Oceans programme - UK's Natural Environment Research Council (NERC)(UK Research &amp; Innovation (UKRI)Natural Environment Research Council (NERC)); NERC, via Antarctic Funding Initiative(UK Research &amp; Innovation (UKRI)Natural Environment Research Council (NERC)); Collaborative Gearing Scheme; GEOTRACES CostACTION Short Term Scientific Mission; Natural Science and Engineering Research Council of Canada(Natural Sciences and Engineering Research Council of Canada (NSERC)); Overseas Research Students Awards Scheme; School of GeoSciences at University of Edinburgh; NERC(UK Research &amp; Innovation (UKRI)Natural Environment Research Council (NERC)); Natural Environment Research Council(UK Research &amp; Innovation (UKRI)Natural Environment Research Council (NERC))</t>
  </si>
  <si>
    <t>We are grateful for the sampling opportunity and support from the RaTS programme, a component of the BAS Polar Oceans programme funded by the UK's Natural Environment Research Council (NERC), and the help from Rothera Station staff, especially the marine assistants. Funding for this project was provided by NERC, via Antarctic Funding Initiative 4/02, and Collaborative Gearing Scheme Grants 10/50 and 11/56. The Captain, PI and crew of ARSV Lawrence M. Gould kindly allowed sample collection during the annual CID intercalibration cruise. We thank Dr. Ben Reynolds at ETH-Zurich for providing training to ALA (funded by a GEOTRACES CostACTION Short Term Scientific Mission) and performing isotopic analyses. Laetitia Pichevin gave helpful discussion during writing. ALA was funded by scholarships from Natural Science and Engineering Research Council of Canada (PGSD-374281-2009) and the Overseas Research Students Awards Scheme and School of GeoSciences at the University of Edinburgh. We are grateful to the editor and two anonymous reviewers for their help in improving this manuscript.</t>
  </si>
  <si>
    <t>10.1016/j.dsr2.2016.09.006</t>
  </si>
  <si>
    <t>WOS:000405884100011</t>
  </si>
  <si>
    <t>Legge, OJ; Bakker, DCE; Meredith, MP; Venables, HJ; Brown, PJ; Jones, EM; Johnson, MT</t>
  </si>
  <si>
    <t>Legge, Oliver J.; Bakker, Dorothee C. E.; Meredith, Michael P.; Venables, Hugh J.; Brown, Peter J.; Jones, Elizabeth M.; Johnson, Martin T.</t>
  </si>
  <si>
    <t>The seasonal cycle of carbonate system processes in Ryder Bay, West Antarctic Peninsula</t>
  </si>
  <si>
    <t>Carbon cycle; Polar waters; Seasonality; Sea ice; Time series</t>
  </si>
  <si>
    <t>ACID DISSOCIATION-CONSTANTS; NET COMMUNITY PRODUCTION; NORTHERN MARGUERITE BAY; SEA-ICE; SOUTHERN-OCEAN; INORGANIC CARBON; CLIMATE-CHANGE; AMUNDSEN GULF; SURFACE-WATER; ANNULAR MODE</t>
  </si>
  <si>
    <t>The carbon cycle in seasonally sea-ice covered waters remains poorly understood due to both a lack of observational data and the complexity of the system. Here we present three consecutive seasonal cycles of upper ocean dissolved inorganic carbon (DIC) and total alkalinity measurements from Ryder Bay on the West Antarctic Peninsula. We attribute the observed changes in DIC to four processes: mixing of water masses, air-sea CO2 flux, calcium carbonate precipitation/dissolution and photosynthesis/respiration. This approach enables us to resolve the main drivers of the seasonal DIC cycle and also investigate the mechanisms behind interannual variability in the carbonate system. We observe a strong, asymmetric seasonal cycle in the carbonate system, driven by physical processes and primary production. In summer, melting glacial ice and sea ice and a reduction in mixing with deeper water reduce the concentration of DIC in surface waters. The dominant process affecting the carbonate system is net photosynthesis which reduces DIC and the fugacity of CO2, making the ocean a net sink of atmospheric CO2. In winter, mixing with deeper, carbon-rich water and net heterotrophy increase surface DIC concentrations, resulting in pH as low as 7.95 and aragonite saturation states close to 1. We observe no clear seasonal cycle of calcium carbonate precipitation/dissolution but some short-lived features of the carbonate time series strongly suggest that significant precipitation of calcium carbonate does occur in the Bay. The variability observed in this study demonstrates that changes in mixing and sea-ice cover significantly affect carbon cycling in this dynamic environment. Maintaining this unique time series will allow the carbonate system in seasonally sea-ice covered waters to be better understood.</t>
  </si>
  <si>
    <t>[Legge, Oliver J.; Bakker, Dorothee C. E.] Univ East Anglia, Ctr Ocean &amp; Atmospher Sci, Sch Environm Sci, Norwich Res Pk, Norwich NR4 7TJ, Norfolk, England; [Meredith, Michael P.; Venables, Hugh J.] British Antarctic Survey, Madingley Rd, Cambridge CB3 0ET, England; [Brown, Peter J.] Natl Oceanog Ctr, Waterfront Campus,European Way, Southampton SO14 3ZH, Hants, England; [Jones, Elizabeth M.] Univ Groningen, Energy &amp; Sustainabil Res Inst Groningen, Ctr Energy &amp; Environm Sci, Nijenborgh 4, NL-9747 AG Groningen, Netherlands; [Johnson, Martin T.] Ctr Environm Fisheries &amp; Aquaculture Sci, Lowestoft NR33 0HT, Suffolk, England</t>
  </si>
  <si>
    <t>University of East Anglia; UK Research &amp; Innovation (UKRI); Natural Environment Research Council (NERC); NERC British Antarctic Survey; NERC National Oceanography Centre; University of Southampton; University of Groningen; Centre for Environment Fisheries &amp; Aquaculture Science</t>
  </si>
  <si>
    <t>Legge, OJ (corresponding author), Univ East Anglia, Ctr Ocean &amp; Atmospher Sci, Sch Environm Sci, Norwich Res Pk, Norwich NR4 7TJ, Norfolk, England.</t>
  </si>
  <si>
    <t>o.legge@uea.ac.uk</t>
  </si>
  <si>
    <t>Brown, Peter/AAN-4372-2020; Bakker, Dorothee/E-4951-2015; Johnson, Martin/C-1066-2008</t>
  </si>
  <si>
    <t>Brown, Peter/0000-0002-1152-1114; Meredith, Michael/0000-0002-7342-7756; Bakker, Dorothee/0000-0001-9234-5337; Johnson, Martin/0000-0002-4706-8294</t>
  </si>
  <si>
    <t>Natural Environment Research Council (NERC) [NE/L50158X/1]; British Antarctic Survey (BAS) Polar Oceans - NERC; UK Ocean Acidification Research Programme at University of East Anglia (UEA) - NERC [NE/H017046/1]; Department for Energy and Climate Change; NERC [NE/K00168X/1]; Netherlands Organisation for Scientific Research (NWO); Department for Environment, Food and Rural Affairs; Natural Environment Research Council [NE/H017046/1, NE/K002473/1, bas0100033, noc010012, 1315981, NE/K00168X/1, NE/H017046/2] Funding Source: researchfish; NERC [NE/K002473/1, bas0100033, NE/H017046/1, NE/H017046/2, NE/L50158X/1] Funding Source: UKRI</t>
  </si>
  <si>
    <t>Natural Environment Research Council (NERC)(UK Research &amp; Innovation (UKRI)Natural Environment Research Council (NERC)); British Antarctic Survey (BAS) Polar Oceans - NERC; UK Ocean Acidification Research Programme at University of East Anglia (UEA) - NERC; Department for Energy and Climate Change; NERC(UK Research &amp; Innovation (UKRI)Natural Environment Research Council (NERC)); Netherlands Organisation for Scientific Research (NWO)(Netherlands Organization for Scientific Research (NWO)); Department for Environment, Food and Rural Affairs(Department for Environment, Food &amp; Rural Affairs (DEFRA)); Natural Environment Research Council(UK Research &amp; Innovation (UKRI)Natural Environment Research Council (NERC)); NERC(UK Research &amp; Innovation (UKRI)Natural Environment Research Council (NERC))</t>
  </si>
  <si>
    <t>This work is part of PhD research funded by the Natural Environment Research Council (NERC)(NE/L50158X/1). This work was also supported by British Antarctic Survey (BAS) Polar Oceans funding from NERC and the UK Ocean Acidification Research Programme (NE/H017046/1) grant at the University of East Anglia (UEA), funded by NERC, the Department for Energy and Climate Change and the Department for Environment, Food and Rural Affairs. M. Johnson and D.C.E. Bakker were supported by the NERC Shelf Sea Biogeochemistry Blue Carbon work package (NE/K00168X/1). We would like to thank the BAS marine assistants Sabrina Heiser, Mairi Fenton and Simon Reeves for sample collection and UEA technicians Gareth Lee, Stephen Humphrey and Matt Von Tersch for assistance with DIC and TA analyses. We would also like to thank Tim Jickells and Sian Henley for conversations about nutrients and production in Ryder Bay. We also wish to acknowledge Sharyn Ossebaar at the Royal Netherlands Institute for Sea Research for macronutrient analysis of ice samples. Sea and glacial ice DIC and TA data are part of work at the University of Groningen research programme 866.13.006, partly financed by the Netherlands Organisation for Scientific Research (NWO). Finally, we would like to thank the editor, two anonymous reviewers and Bruno Delille for their helpful comments.</t>
  </si>
  <si>
    <t>10.1016/j.dsr2.2016.11.006</t>
  </si>
  <si>
    <t>WOS:000405884100014</t>
  </si>
  <si>
    <t>Frey, DI; Fomin, VV; Diansky, NA; Morozov, EG; Neiman, VG</t>
  </si>
  <si>
    <t>Frey, D. I.; Fomin, V. V.; Diansky, N. A.; Morozov, E. G.; Neiman, V. G.</t>
  </si>
  <si>
    <t>New model and field data on estimates of Antarctic Bottom Water flow through the deep Vema Channel</t>
  </si>
  <si>
    <t>OCEAN; SIMULATIONS</t>
  </si>
  <si>
    <t>We used a numerical model of the ocean circulation with a high spatial resolution to obtain estimates of the kinematic characteristics of Antarctic Bottom Water flow through the abyssal Vema Channel in the southwestern part of the Atlantic Ocean. The results of simulations correspond to the data of direct velocity measurements made at several locations in the channel. The high horizontal and vertical resolution of the model in the bottom layer allowed us to study in detail the hydrodynamics of this flow over its entire length.</t>
  </si>
  <si>
    <t>[Frey, D. I.; Morozov, E. G.; Neiman, V. G.] Russian Acad Sci, Shirshov Inst Oceanol, Moscow 117218, Russia; [Fomin, V. V.; Diansky, N. A.] Russian Acad Sci, Inst Numer Math, Moscow 119991, Russia; [Diansky, N. A.] Zubov State Oceanog Inst, Moscow 119034, Russia</t>
  </si>
  <si>
    <t>Russian Academy of Sciences; Shirshov Institute of Oceanology; Russian Academy of Sciences; Zubov State Oceanographic Institute</t>
  </si>
  <si>
    <t>Fomin, VV (corresponding author), Russian Acad Sci, Inst Numer Math, Moscow 119991, Russia.</t>
  </si>
  <si>
    <t>lihar89@mail.ru</t>
  </si>
  <si>
    <t>Fomin, Vladimir/C-2124-2017; Frey, Dmitry/X-9812-2018; Frey, Dmitry/AAD-3366-2021; Fomin, Vladimir/AAQ-2838-2020; Diansky, Nikolay A/R-8307-2018; Morozov, Eugene G/L-3023-2018</t>
  </si>
  <si>
    <t>Frey, Dmitry/0000-0001-8141-9513; Morozov, Eugene/0000-0002-0251-3454; Diansky, Nikolay/0000-0002-6785-1956; Fomin, Vladimir/0000-0001-8857-1518</t>
  </si>
  <si>
    <t>Russian Science Foundation [16-17-10149]; Russian Foundation for Basic Research [15-05-07539, 16-35-50158]</t>
  </si>
  <si>
    <t>Russian Science Foundation(Russian Science Foundation (RSF)); Russian Foundation for Basic Research(Russian Foundation for Basic Research (RFBR)Spanish Government)</t>
  </si>
  <si>
    <t>This work was supported by the Russian Science Foundation (project no. 16-17-10149). Tuning of the INMOM for the Vema Channel region was supported by the Russian Foundation for Basic Research (project no. 15-05-07539). Analysis performed by D.I. Frey was supported by the Russian Foundation for Basic Research (grant for young researchers (no. 16-35-50158).</t>
  </si>
  <si>
    <t>10.1134/S1028334X17050026</t>
  </si>
  <si>
    <t>EX8FW</t>
  </si>
  <si>
    <t>WOS:000403485300017</t>
  </si>
  <si>
    <t>Barbante, C; Spolaor, A; Cairns, WRL; Boutron, C</t>
  </si>
  <si>
    <t>Barbante, Carlo; Spolaor, Andrea; Cairns, Warren R. L.; Boutron, Claude</t>
  </si>
  <si>
    <t>Man's footprint on the Arctic environment as revealed by analysis of ice and snow</t>
  </si>
  <si>
    <t>Ice core; Arctic; Anthropocene; Human impact</t>
  </si>
  <si>
    <t>CONTINUOUS-FLOW ANALYSIS; ANTARCTIC ICE; GRAM LEVEL; SEA-ICE; HEAVY-METALS; POLAR ICE; GREENLAND SNOWS; AMINO-ACIDS; CORE; MERCURY</t>
  </si>
  <si>
    <t>The date of the definitive start to the Anthropocene is still under debate, and although a lot of progress has been made, currently available data is not precise enough to define the start of the human-dominated geological epoch. We know that during and after the industrial revolution, humans started having a much greater impact on the Earth's environment. Increases in population have led to increases in resource and fossil fuel use, leaving a marked impact on our planet. This impact, in the Northern hemisphere, is effectively recorded in the snow and ice of the Arctic. Human activity has changed various biogeochemical cycles to such an extent, that the climate has started to change. This has disturbed the biosphere, pushing it to adapt in response to these changes through evolutionary pressure. The Arctic is a particularly vulnerable environment and mankind is having a profound impact on its fragile equilibrium. Higher concentrations of heavy metals, organic compounds and radionuclides have been detected in ice cores as well as snow. Although climatic changes are evident on a global scale, in the Arctic these changes have been amplified. Advances in laboratory analysis methods have been applied to ice cores and surface snow samples to help us understand the mechanisms governing this fragile environment and to evaluate the impact and amplitude of human activity. Despite these advances, the fluxes and distributions over time of anthropogenic organic compounds is largely unknown. Hopefully advances in analytical methods will mean that this is not the case in the future. (C) 2017 Elsevier B.V. All rights reserved.</t>
  </si>
  <si>
    <t>[Barbante, Carlo; Spolaor, Andrea; Cairns, Warren R. L.] IDPA CNR, Inst Dynam Environm Proc, Via Torino 155, I-30172 Venice, VE, Italy; [Barbante, Carlo; Spolaor, Andrea] Univ Ca Foscari Venice, Dept Environm Sci Informat &amp; Stat, Via Torino 155, I-30172 Venice, VE, Italy; [Boutron, Claude] UMR UJF CNRS 5183, Lab Glaciol &amp; Geophys Environm, 54 Rue Moliere,BP 96, F-38402 St Martin Dheres, France</t>
  </si>
  <si>
    <t>Consiglio Nazionale delle Ricerche (CNR); Istituto per la Dinamica dei Processi Ambientali (IDPA-CNR); Universita Ca Foscari Venezia; Communaute Universite Grenoble Alpes; Universite Grenoble Alpes (UGA)</t>
  </si>
  <si>
    <t>Barbante, C (corresponding author), IDPA CNR, Inst Dynam Environm Proc, Via Torino 155, I-30172 Venice, VE, Italy.</t>
  </si>
  <si>
    <t>barbante@unive.it</t>
  </si>
  <si>
    <t>Cairns, Warren/AAX-5018-2020; Spolaor, Andrea/AAX-8808-2020; Barbante, Carlo/B-3195-2011</t>
  </si>
  <si>
    <t>Cairns, Warren/0000-0002-7128-7753; Spolaor, Andrea/0000-0001-8635-9193; Barbante, Carlo/0000-0003-4177-2288</t>
  </si>
  <si>
    <t>European Union's Seventh Framework Programme (Ideas Specific Programme, ERC Advanced Grant) [267696]</t>
  </si>
  <si>
    <t>European Union's Seventh Framework Programme (Ideas Specific Programme, ERC Advanced Grant)</t>
  </si>
  <si>
    <t>The research leading to these results has received funding from the European Union's Seventh Framework Programme (Ideas Specific Programme, ERC Advanced Grant) under grant agreement 267696 EARLYhumanIMPACT.</t>
  </si>
  <si>
    <t>10.1016/j.earscirev.2017.02.010</t>
  </si>
  <si>
    <t>EX7KM</t>
  </si>
  <si>
    <t>WOS:000403427100009</t>
  </si>
  <si>
    <t>Vanni, MJ; McIntyre, PB; Allen, D; Arnott, DL; Benstead, JP; Berg, DJ; Brabrand, A; Brosse, S; Bukaveckas, PA; Caliman, A; Capps, KA; Carneiro, LS; Chadwick, NE; Christian, AD; Clarke, A; Conroy, JD; Cross, WF; Culver, DA; Dalton, CM; Devine, JA; Domine, LM; Evans-White, MA; Faafeng, BA; Flecker, AS; Gido, KB; Godinot, C; Guariento, RD; Haertel-Borer, S; Hall, RO; Henry, R; Herwig, BR; Hicks, BJ; Higgins, KA; Hood, JM; Hopton, ME; Ikeda, T; James, WF; Jansen, HM; Johnson, CR; Koch, BJ; Lamberti, GA; Lessard-Pilon, S; Maerz, JC; Mather, ME; McManamay, RA; Milanovich, JR; Morgan, DKJ; Moslemi, JM; Naddafi, R; Nilssen, JP; Pagano, M; Pilati, A; Post, DM; Roopin, M; Rugenski, AT; Schaus, MH; Shostell, J; Small, GE; Solomon, CT; Sterrett, SC; Strand, O; Tarvainen, M; Taylor, JM; Torres-Gerald, LE; Turner, CB; Urabe, J; Uye, SI; Ventela, AM; Villeger, S; Whiles, MR; Wilhelm, FM; Wilson, HF; Xenopoulos, MA; Zimmer, KD</t>
  </si>
  <si>
    <t>Vanni, Michael J.; McIntyre, Peter B.; Allen, Dennis; Arnott, Diane L.; Benstead, Jonathan P.; Berg, David J.; Brabrand, Age; Brosse, Sebastien; Bukaveckas, Paul A.; Caliman, Adriano; Capps, Krista A.; Carneiro, Luciana S.; Chadwick, Nanette E.; Christian, Alan D.; Clarke, Andrew; Conroy, Joseph D.; Cross, Wyatt F.; Culver, David A.; Dalton, Christopher M.; Devine, Jennifer A.; Domine, Leah M.; Evans-White, Michelle A.; Faafeng, Bjorn A.; Flecker, Alexander S.; Gido, Keith B.; Godinot, Claire; Guariento, Rafael D.; Haertel-Borer, Susanne; Hall, Robert O.; Henry, Raoul; Herwig, Brian R.; Hicks, Brendan J.; Higgins, Karen A.; Hood, James M.; Hopton, Matthew E.; Ikeda, Tsutomu; James, William F.; Jansen, Henrice M.; Johnson, Cody R.; Koch, Benjamin J.; Lamberti, Gary A.; Lessard-Pilon, Stephanie; Maerz, John C.; Mather, Martha E.; McManamay, Ryan A.; Milanovich, Joseph R.; Morgan, Dai K. J.; Moslemi, Jennifer M.; Naddafi, Rahmat; Nilssen, Jens Petter; Pagano, Marc; Pilati, Alberto; Post, David M.; Roopin, Modi; Rugenski, Amanda T.; Schaus, Maynard H.; Shostell, Joseph; Small, Gaston E.; Solomon, Christopher T.; Sterrett, Sean C.; Strand, Oivind; Tarvainen, Marjo; Taylor, Jason M.; Torres-Gerald, Lisette E.; Turner, Caroline B.; Urabe, Jotaro; Uye, Shin-Ichi; Ventela, Anne-Mari; Villeger, Sebastien; Whiles, Matt R.; Wilhelm, Frank M.; Wilson, Henry F.; Xenopoulos, Marguerite A.; Zimmer, Kyle D.</t>
  </si>
  <si>
    <t>A global database of nitrogen and phosphorus excretion rates of aquatic animals</t>
  </si>
  <si>
    <t>ECOLOGY</t>
  </si>
  <si>
    <t>[Vanni, Michael J.; Mather, Martha E.] Miami Univ, Dept Biol, Oxford, OH 45056 USA; [McIntyre, Peter B.] Univ Wisconsin, Ctr Limnol, Madison, WI 53706 USA; [Allen, Dennis] Univ South Carolina, Baruch Marine Field Lab, Georgetown, SC USA; [Arnott, Diane L.] Univ Western Australia, Ctr Neonatal Res &amp; Educ, Perth, WA 6009, Australia; [Benstead, Jonathan P.] Univ Alabama, Dept Biol Sci, Tuscaloosa, AL 35487 USA; [Berg, David J.] Miami Univ, Dept Biol, Hamilton, OH 45011 USA; [Brabrand, Age] Univ Oslo, Nat Hist Museum, POB 1172, NO-0318 Oslo, Norway; [Brosse, Sebastien] Univ Paul Sabatier, Lab Evolut &amp; Diversite Biol, F-31062 Toulouse, France; [Bukaveckas, Paul A.] Virginia Commonwealth Univ, Dept Biol, Richmond, VA 23284 USA; [Caliman, Adriano; Carneiro, Luciana S.] Univ Fed Rio Grande do Norte, Dept Ecol, Natal, RN, Brazil; [Capps, Krista A.] Univ Georgia, Odum Sch Ecol, Athens, GA 30602 USA; [Chadwick, Nanette E.] Auburn Univ, Dept Biol Sci, Auburn, AL 36849 USA; [Christian, Alan D.] Univ Massachusetts, Sch Environm, Boston, MA 02125 USA; [Clarke, Andrew] British Antarctic Survey, High Cross, Cambridge CB3 0ET, England; [Conroy, Joseph D.] Ohio Dept Nat Resources, Div Wildlife, Inland Fisheries Res Unit, 10517 Canal Rd SE, Hebron, OH 43025 USA; [Cross, Wyatt F.] Montana State Univ, Dept Ecol, Bozeman, MT 59717 USA; [Culver, David A.; Hood, James M.] Ohio State Univ, Dept Ecol Evolut &amp; Organismal Biol, Columbus, OH 43210 USA; [Dalton, Christopher M.] Rivers Sch, 333 Winter St, Boston, MA 02493 USA; [Devine, Jennifer A.; Jansen, Henrice M.; Strand, Oivind] Inst Marine Res, POB 1870, N-5817 Bergen, Norway; [Domine, Leah M.; Small, Gaston E.; Zimmer, Kyle D.] Univ St Thomas, Dept Biol, St Paul, MN 55105 USA; [Evans-White, Michelle A.] Univ Arkansas, Dept Biol Sci, Fayetteville, AR 72701 USA; [Faafeng, Bjorn A.] Norwegian Inst Water Res, Gaustadalleen 21, NO-0349 Oslo, Norway; [Flecker, Alexander S.; Rugenski, Amanda T.] Cornell Univ, Dept Ecol &amp; Evolutionary Biol, Ithaca, NY 14853 USA; [Gido, Keith B.] Kansas State Univ, Div Biol, Ackert Hall, Manhattan, KS 66506 USA; [Godinot, Claire] IRSN, LRD, SERIS, PRP ENV,Lab Radioprot, Rue Max Pol Fouchet BP10, F-50130 Octeville, France; [Guariento, Rafael D.] Univ Fed Mato Grosso do Sul, CCBS, Lab Ecol, Campo Grande, MS, Brazil; [Haertel-Borer, Susanne] Fed Off Environm FOEN, Water Div, CH-3003 Bern, Switzerland; [Hall, Robert O.] Univ Wyoming, Dept Zool &amp; Physiol, Laramie, WY 82071 USA; [Henry, Raoul] Sao Paulo State Univ, Inst Biosci, Dept Zool, BR-18618689 Botucatu, SP, Brazil; [Herwig, Brian R.] Minnesota Dept Nat Resources, Fisheries Res, Bemidji, MN 56601 USA; [Hicks, Brendan J.] Univ Waikato, Sch Sci, Private Bag 3105, Hamilton 3240, New Zealand; [Higgins, Karen A.] North Carolina Dept Environm &amp; Nat Resources, Div Water Qual, 1617 Mail Serv Ctr, Raleigh, NC 27699 USA; [Hopton, Matthew E.] US EPA, Off Res &amp; Dev, Natl Risk Management Res Lab, 26 W Martin Luther King Dr, Cincinnati, OH 45268 USA; [Ikeda, Tsutomu] 16-3-1001 Toyokawa Cho, Hakodate, Hokkaido 0400065, Japan; [James, William F.] Univ Wisconsin Stout, Biol Dept, Menomonie, WI 54751 USA; [Jansen, Henrice M.] Wageningen Marine Res, POB 77, NL-4400 AB Yerseke, Netherlands; [Johnson, Cody R.] Utah State Univ, Dept Watershed Sci, Logan, UT 84322 USA; [Koch, Benjamin J.] No Arizona Univ, Ctr Ecosyst Sci &amp; Soc, Flagstaff, AZ 86011 USA; [Lamberti, Gary A.] Univ Notre Dame, Dept Biol Sci, Notre Dame, IN 46556 USA; [Lessard-Pilon, Stephanie] George Mason Univ, Smithsonian Mason Sch Conservat, 1500 Remount Rd, Front Royal, VA 22360 USA; [Maerz, John C.] Univ Georgia, Warnell Sch Forestry &amp; Nat Resources, Athens, GA 30602 USA; [McManamay, Ryan A.] Oak Ridge Natl Lab, Div Environm Sci, POB 2008, Oak Ridge, TN 37831 USA; [Milanovich, Joseph R.] Loyola Univ, Dept Biol, Chicago, IL 60660 USA; [Morgan, Dai K. J.] NorthTec, Appl &amp; Environm Sci, 57 Raumanga Valley Rd,Private Bag 9019, Whangarei 0110, New Zealand; [Moslemi, Jennifer M.] Caravan Lab, 5729 36th Ave NE, Seattle, WA 98105 USA; [Naddafi, Rahmat] Swedish Univ Agr Sci, Dept Aquat Resources, Inst Coastal Res, S-74242 Oregrund, Sweden; [Nilssen, Jens Petter] Muller Sars Soc, Free Basic Res, POB 5831, N-0308 Oslo, Norway; [Pagano, Marc] Mediterranean Inst Oceanog, 235 Campus Luminy Case 901, F-13288 Marseille 09, France; [Pilati, Alberto] Univ Nacl La Pampa, Fac Ciencias Exactas &amp; Nat, Dept Recursos Nat, Uruguay 151, RA-6300 Santa Rosa, La Pampa, Argentina; [Post, David M.] Yale Univ, Dept Ecol &amp; Evolutionary Biol, New Haven, CT 06520 USA; [Roopin, Modi] Weizmann Inst Sci, Dept Mol Cell Biol, IL-7610001 Rehovot, Israel; [Schaus, Maynard H.] Virginia Wesleyan Coll, Dept Biol, Norfolk, VA 23502 USA; [Shostell, Joseph] Univ Minnesota, Math Sci &amp; Technol Dept, Crookston, MN 56716 USA; [Solomon, Christopher T.] Cary Inst Ecosyst Studies, Millbrook, NY 12545 USA; [Sterrett, Sean C.] US Geol Survey, Patuxent Wildlife Res Ctr, SO Conte Anadromous Fish Lab, Turners Falls, MA 01376 USA; [Tarvainen, Marjo; Ventela, Anne-Mari] Pyhajarvi Inst, Sepantie 7, FI-27500 Kauttua, Finland; [Taylor, Jason M.] USDA ARS, Natl Sedimentat Lab, Water Qual &amp; Ecol Res Unit, 598 McElroy Dr, Oxford, MS 38655 USA; [Torres-Gerald, Lisette E.] Nebraska Wesleyan Univ, Cooper Fdn Ctr Acad Resources, Lincoln, NE 68504 USA; [Turner, Caroline B.] Univ Pittsburgh, Dept Microbiol &amp; Mol Genet, Pittsburgh, PA 15219 USA; [Urabe, Jotaro] Tohoku Univ, Grad Sch Life Sci, Aoba Ku, 6-3 Aramaki, Sendai, Miyagi 9808578, Japan; [Uye, Shin-Ichi] Hiroshima Univ, Grad Sch Biosphere Sci, 4-4 Kagamiyama 1 Chome, Higashihiroshima 7398528, Japan; [Villeger, Sebastien] Univ Montpellier, CNRS, Lab Biodiversite Marine &amp; Ses Usages, F-34095 Montpellier, France; [Whiles, Matt R.] Southern Illinois Univ, Dept Zool, Carbondale, IL 62901 USA; [Whiles, Matt R.] Southern Illinois Univ, Ctr Ecol, Carbondale, IL 62901 USA; [Wilhelm, Frank M.] Univ Idaho, Dept Fish &amp; Wildlife Sci, Moscow, ID 83844 USA; [Wilson, Henry F.] Agr &amp; Agri Food Canada, Brandon Res Ctr, POB 1000A,RR 3, Brandon, MB R7A 5Y3, Canada; [Xenopoulos, Marguerite A.] Trent Univ, Dept Biol, Peterborough, ON K9L 0G2, Canada; [Johnson, Cody R.] Polar Field Serv Inc, 8100 Shaffer Pkwy 100, Littleton, CO 80127 USA; [Mather, Martha E.] Kansas State Univ, US Geol Survey, Kansas Cooperat Fish &amp; Wildlife Res Unit, Div Biol, Manhattan, KS 66506 USA</t>
  </si>
  <si>
    <t>University System of Ohio; Miami University; University of Wisconsin System; University of Wisconsin Madison; University of Western Australia; University of Alabama System; University of Alabama Tuscaloosa; University System of Ohio; Miami University; University of Oslo; Universite de Toulouse; Universite Toulouse III - Paul Sabatier; Virginia Commonwealth University; Universidade Federal do Rio Grande do Norte; University System of Georgia; University of Georgia; Auburn University System; Auburn University; University of Massachusetts System; University of Massachusetts Boston; UK Research &amp; Innovation (UKRI); Natural Environment Research Council (NERC); NERC British Antarctic Survey; Ohio Department of Natural Resources; Montana State University System; Montana State University Bozeman; University System of Ohio; Ohio State University; Institute of Marine Research - Norway; University of St Thomas Minnesota; University of Arkansas System; University of Arkansas Fayetteville; Norwegian Institute for Water Research (NIVA); Cornell University; Kansas State University; Universidade Federal de Mato Grosso do Sul; University of Wyoming; Universidade Estadual Paulista; Minnesota Department of Natural Resources; University of Waikato; United States Environmental Protection Agency; University of Wisconsin System; University of Wisconsin Stout; Wageningen University &amp; Research; Utah System of Higher Education; Utah State University; Northern Arizona University; University of Notre Dame; Smithsonian Institution; Smithsonian National Zoological Park &amp; Conservation Biology Institute; University System of Georgia; University of Georgia; United States Department of Energy (DOE); Oak Ridge National Laboratory; Loyola University Chicago; Swedish University of Agricultural Sciences; Yale University; Weizmann Institute of Science; University of Minnesota System; University Minnesota Crookston; Cary Institute of Ecosystem Studies; United States Department of the Interior; United States Geological Survey; United States Department of Agriculture (USDA); Pennsylvania Commonwealth System of Higher Education (PCSHE); University of Pittsburgh; Tohoku University; Hiroshima University; Centre National de la Recherche Scientifique (CNRS); Universite de Montpellier; Southern Illinois University System; Southern Illinois University; Southern Illinois University System; Southern Illinois University; Idaho; University of Idaho; Agriculture &amp; Agri Food Canada; Trent University; United States Department of the Interior; United States Geological Survey; Kansas State University</t>
  </si>
  <si>
    <t>Vanni, MJ (corresponding author), Miami Univ, Dept Biol, Oxford, OH 45056 USA.</t>
  </si>
  <si>
    <t>vannimj@miamioh.edu</t>
  </si>
  <si>
    <t>Brosse, Sebastien/AAC-4689-2019; Christian, Alan David/JXN-4157-2024; Berg, David/GQQ-2457-2022; Caliman, Adriano/A-8668-2008; Chadwick, Nanette E/F-8076-2013; GUARIENTO, RAFAEL DETTOGNI/J-1211-2014; Hopton, Matt/AAX-9079-2020; Villéger, Sébastien/C-6272-2011; Conroy, Joseph David/C-4463-2008; Solomon, Christopher T./E-6284-2014; Villéger, Sébastien/AAW-9949-2021; Urabe, Jotaro/ABI-7692-2020; Capps, Krista/JVN-6116-2024; Arnott, Diane L/J-5820-2015; Post, David M/A-6987-2009; Hood, James M./AFL-8629-2022</t>
  </si>
  <si>
    <t>Brosse, Sebastien/0000-0002-3659-8177; Christian, Alan David/0009-0004-4620-1104; Berg, David/0000-0002-2537-0759; Caliman, Adriano/0000-0001-9218-5601; Hopton, Matt/0000-0001-7962-6820; Villéger, Sébastien/0000-0002-2362-7178; Conroy, Joseph David/0000-0002-9561-7294; Solomon, Christopher T./0000-0002-2850-4257; Villéger, Sébastien/0000-0002-2362-7178; Urabe, Jotaro/0000-0001-5111-687X; Post, David M/0000-0003-1434-7729; Hood, James M./0000-0001-6365-0762; Arnott, Diane/0000-0002-9272-2363; Maerz, John/0000-0002-1592-5431; Dettogni Guariento, Rafael/0000-0003-2035-2030; McIntyre, Peter/0000-0003-1809-7552; Wilson, Henry/0000-0002-6611-9501; Godinot, Claire/0000-0002-6792-7930; Turner, Caroline B./0000-0003-1347-518X</t>
  </si>
  <si>
    <t>US National Science Foundation (NSF) OPUS (Opportunities for Promoting Understanding through Synthesis) award [DEB 0918993]; NSF [DEB-1030242]; Brazilian Council of Research and Technology (CNPq) [304621/2015-3]; Research Council of Norway; NSF DDEP grant [0951432]; PADI Foundation; Ohio Chapter of the Nature Conservancy; Ouachita National Forrest; British Antarctic Survey; Ohio Lake Erie Protection Fund [SG189-02]; United States Environmental Protection Agency [GL-97590101]; Federal Aid in Sport Fish Restoration Program [F-69-P]; Carrying Capacity in Norwegian Aquaculture (CANO) - Research Council of Norway [173537]; National Research Council Research Associateship; New Zealand Ministry of Business, Innovation and Employment [UOWX0505]; St. Johns River Water Management District (Florida) [SK933AA]; Maj and Tor Nessling Foundation; US EPA STAR Fellowship [FP-91694301-1]; Japan Society for the Promotion of Science KAKENHI [15H02642]; EU BioFresh project, 7th Framework European program [226874]; Biodiversity Grants Program (University of Alberta); Biodiversity Grants Program (Alberta Conservation Association); C/BAR grant from the Canadian Circumpolar Institute; NSERC [89673S]; Canada Natural Sciences and Engineering Research Council (NSERC); NSERC; Grants-in-Aid for Scientific Research [15H02642] Funding Source: KAKEN</t>
  </si>
  <si>
    <t>US National Science Foundation (NSF) OPUS (Opportunities for Promoting Understanding through Synthesis) award; NSF(National Science Foundation (NSF)); Brazilian Council of Research and Technology (CNPq)(Conselho Nacional de Desenvolvimento Cientifico e Tecnologico (CNPQ)); Research Council of Norway(Research Council of Norway); NSF DDEP grant; PADI Foundation; Ohio Chapter of the Nature Conservancy; Ouachita National Forrest; British Antarctic Survey; Ohio Lake Erie Protection Fund; United States Environmental Protection Agency(United States Environmental Protection Agency); Federal Aid in Sport Fish Restoration Program; Carrying Capacity in Norwegian Aquaculture (CANO) - Research Council of Norway; National Research Council Research Associateship; New Zealand Ministry of Business, Innovation and Employment(New Zealand Ministry of Business, Innovation and Employment (MBIE)); St. Johns River Water Management District (Florida); Maj and Tor Nessling Foundation; US EPA STAR Fellowship(United States Environmental Protection Agency); Japan Society for the Promotion of Science KAKENHI(Ministry of Education, Culture, Sports, Science and Technology, Japan (MEXT)Japan Society for the Promotion of ScienceGrants-in-Aid for Scientific Research (KAKENHI)); EU BioFresh project, 7th Framework European program(European Union (EU)); Biodiversity Grants Program (University of Alberta); Biodiversity Grants Program (Alberta Conservation Association); C/BAR grant from the Canadian Circumpolar Institute; NSERC(Natural Sciences and Engineering Research Council of Canada (NSERC)); Canada Natural Sciences and Engineering Research Council (NSERC)(Natural Sciences and Engineering Research Council of Canada (NSERC)); NSERC(Natural Sciences and Engineering Research Council of Canada (NSERC)); Grants-in-Aid for Scientific Research(Ministry of Education, Culture, Sports, Science and Technology, Japan (MEXT)Japan Society for the Promotion of ScienceGrants-in-Aid for Scientific Research (KAKENHI))</t>
  </si>
  <si>
    <t>The primary sources of funding used to compile and synthesize these data were an US National Science Foundation (NSF) OPUS (Opportunities for Promoting Understanding through Synthesis) award to M. J. V. (DEB 0918993) and NSF award DEB-1030242 to P. B. M. This data set contains observations from many studies, and therefore many funding sources, information on which is provided in the acknowledgments sections of the individual papers. In addition, some authors wished to further acknowledge the following sources (funding sources, authors of this paper), and/or to clarify the role of their employer in supporting the research:; Brazilian Council of Research and Technology (CNPq) Research Productivity grants 304621/2015-3: A. Caliman; Norwegian Council for Scientific and Industrial Research (currently the Research Council of Norway): A. Brabrand, B. A. Faafeng, and J. P. Nilssen ~ NSF DDEP grant 0951432 and the PADI Foundation: K. A. Capps, and A. S. Flecker; Ohio Chapter of the Nature Conservancy and the Ouachita National Forrest (A. D. Christian and D. J. Berg); British Antarctic Survey (A. Clarke); Ohio Lake Erie Protection Fund grant SG189-02, United States Environmental Protection Agency grant GL-97590101, and Federal Aid in Sport Fish Restoration Program grant F-69-P (J. D. Conroy and D. A. Culver); Carrying Capacity in Norwegian Aquaculture (CANO) -Research Council of Norway, project no. 173537 (H. M. Jansen and O. Strand); National Research Council Research Associateship to JR Milanovich at the United States Environmental Protection Agency, Office of Research and Development (J. R. Milanovich and M. E. Hopton); New Zealand Ministry of Business, Innovation and Employment contract UOWX0505 (D. J. K. Morgan and B. J. Hicks); St. Johns River Water Management District (Florida) contract grant SK933AA (M. H. Schaus); Maj and Tor Nessling Foundation (M. Tarvainen and A.-M. Ventela); US EPA STAR Fellowship Assistance Agreement No. FP-91694301-1 (J. M. Taylor); Japan Society for the Promotion of Science KAKENHI Grant Number 15H02642 (J. Urabe); EU BioFresh project, 7th Framework European program, Contract N degrees 226874 (S. Villeger and S. Brosse); Biodiversity Grants Program (University of Alberta, and the Alberta Conservation Association); C/BAR grant from the Canadian Circumpolar Institute; NSERC operating grant #89673S (F. M. Wilhelm); Canada Natural Sciences and Engineering Research Council (NSERC) Discovery grant (M. A. Xenopoulos) and NSERC Graduate Scholarship (H. F. Wilson); This submission was written by the author(s) acting in their own independent capacity and not on behalf of UT-Battelle, LLC, or its affiliates or successors (R. A. McManamay)</t>
  </si>
  <si>
    <t>0012-9658</t>
  </si>
  <si>
    <t>1939-9170</t>
  </si>
  <si>
    <t>10.1002/ecy.1792</t>
  </si>
  <si>
    <t>VI4CE</t>
  </si>
  <si>
    <t>Green Accepted, Green Submitted, Green Published, Bronze</t>
  </si>
  <si>
    <t>WOS:000483179400005</t>
  </si>
  <si>
    <t>Jeanniard-du-Dot, T; Trites, AW; Arnould, JPY; Speakman, JR; Guinet, C</t>
  </si>
  <si>
    <t>Jeanniard-du-Dot, Tiphaine; Trites, Andrew W.; Arnould, John P. Y.; Speakman, John R.; Guinet, Christophe</t>
  </si>
  <si>
    <t>Activity-specific metabolic rates for diving, transiting, and resting at sea can be estimated from time-activity budgets in free-ranging marine mammals</t>
  </si>
  <si>
    <t>Antarctic fur seal; Arctocephalus gazella; Callorhinus ursinus; diving; energy expenditure; foraging; metabolic rate; northern fur seal; time-activity budget</t>
  </si>
  <si>
    <t>DOUBLY LABELED WATER; ESTIMATING ENERGY-EXPENDITURE; ANTARCTIC FUR SEALS; HEART-RATE; ANIMALS; ACCELERATION; ENERGETICS; BEHAVIOR; LIONS; FIELD</t>
  </si>
  <si>
    <t>Time and energy are the two most important currencies in animal bioenergetics. How much time animals spend engaged in different activities with specific energetic costs ultimately defines their likelihood of surviving and successfully reproducing. However, it is extremely difficult to determine the energetic costs of independent activities for free-ranging animals. In this study, we developed a new method to calculate activity-specific metabolic rates, and applied it to female fur seals. We attached biologgers (that recorded GPS locations, depth profiles, and triaxial acceleration) to 12 northern (Callorhinus ursinus) and 13 Antarctic fur seals (Arctocephalus gazella), and used a hierarchical decision tree algorithm to determine time allocation between diving, transiting, resting, and performing slow movements at the surface (grooming, etc.). We concomitantly measured the total energy expenditure using the doubly-labelled water method. We used a general least-square model to establish the relationship between time-activity budgets and the total energy spent by each individual during their foraging trip to predict activity-specific metabolic rates. Results show that both species allocated similar time to diving (similar to 29%), transiting to and from their foraging grounds (similar to 26-30%), and resting (similar to 8-11%). However, Antarctic fur seals spent significantly more time grooming and moving slowly at the surface than northern fur seals (36% vs. 29%). Diving was the most expensive activity (similar to 30 MJ/day if done non-stop for 24 hr), followed by transiting at the surface (similar to 21 MJ/day). Interestingly, metabolic rates were similar between species while on land or while slowly moving at the surface (similar to 13 MJ/day). Overall, the average field metabolic rate was similar to 20 MJ/day (for all activities combined). The method we developed to calculate activity-specific metabolic rates can be applied to terrestrial and marine species to determine the energetic costs of daily activities, as well as to predict the energetic consequences for animals forced to change their time allocations in response to environmental shifts.</t>
  </si>
  <si>
    <t>[Jeanniard-du-Dot, Tiphaine; Trites, Andrew W.] Univ British Columbia, Inst Oceans &amp; Fisheries, Marine Mammal Res Unit, Vancouver, BC, Canada; [Jeanniard-du-Dot, Tiphaine; Guinet, Christophe] CNRS, Ctr Etud Biol Chize, Villiers En Bois, France; [Arnould, John P. Y.] Deakin Univ, Sch Life &amp; Environm Sci, Burwood Campus, Geelong, Vic, Australia; [Speakman, John R.] Inst Biol &amp; Environm Sci, Aberdeen, Scotland</t>
  </si>
  <si>
    <t>University of British Columbia; Centre National de la Recherche Scientifique (CNRS); Deakin University; University of Aberdeen</t>
  </si>
  <si>
    <t>Jeanniard-du-Dot, T (corresponding author), Univ British Columbia, Inst Oceans &amp; Fisheries, Marine Mammal Res Unit, Vancouver, BC, Canada.</t>
  </si>
  <si>
    <t>tiphainejdd@gmail.com</t>
  </si>
  <si>
    <t>Trites, Andrew/K-5648-2012; Jeanniard, Tiphaine/ABF-8836-2020; Guinet, Christophe/AAR-8457-2020; John, Speakman R/A-9494-2008</t>
  </si>
  <si>
    <t>Jeanniard, Tiphaine/0000-0003-1985-8325; Trites, Andrew/0000-0003-0342-5322</t>
  </si>
  <si>
    <t>NPRB; NSERC; Institut Paul-Emile Victor</t>
  </si>
  <si>
    <t>NPRB; NSERC(Natural Sciences and Engineering Research Council of Canada (NSERC)); Institut Paul-Emile Victor</t>
  </si>
  <si>
    <t>We thank Alistair Baylis, Rachel Orben, Michelle Barbieri, Nory El Ksabi, Malcolm O'Toole and Jade Vacquie-Garcia for their help in collecting the data. We are also thankful to the Institut Paul-Emile Victor for their logistic and financial support to the Kerguelen field season, and to NPRB and NSERC for their contribution in funding this project.</t>
  </si>
  <si>
    <t>10.1002/ece3.2546</t>
  </si>
  <si>
    <t>EW5LZ</t>
  </si>
  <si>
    <t>WOS:000402548900009</t>
  </si>
  <si>
    <t>Taylor-Brown, A; Pillonel, T; Bridle, A; Qi, WH; Bachmann, NL; Miller, TL; Greub, G; Nowak, B; Seth-Smith, HMB; Vaughan, L; Polkinghorne, A</t>
  </si>
  <si>
    <t>Taylor-Brown, Alyce; Pillonel, Trestan; Bridle, Andrew; Qi, Weihong; Bachmann, Nathan L.; Miller, Terrence L.; Greub, Gilbert; Nowak, Barbara; Seth-Smith, Helena M. B.; Vaughan, Lloyd; Polkinghorne, Adam</t>
  </si>
  <si>
    <t>Culture-independent genomics of a novel chlamydial pathogen of fish provides new insight into host-specific adaptations utilized by these intracellular bacteria</t>
  </si>
  <si>
    <t>ORANGE-SPOTTED GROUPER; CANDIDATUS-CLAVOCHLAMYDIA-SALMONICOLA; SALMO-SALAR L.; ATLANTIC SALMON; MOLECULAR CHARACTERIZATION; PISCICHLAMYDIA SALMONIS; EPITHELIOCYSTIS AGENT; EPINEPHELUS-COIOIDES; EMENDED DESCRIPTION; ORDER CHLAMYDIALES</t>
  </si>
  <si>
    <t>Several Chlamydiales families are associated with epitheliocystis, a common condition of the fish gill epithelium. These families share common ancestors with the Chlamydiaceae and environmental Chlamydiae. Due to the lack of culture systems, little is known about the biology of these chlamydial fish pathogens. We investigated epitheliocystis in cultured Orange-spotted grouper (Epinephelus coioides) from North Queensland, Australia. Basophilic inclusions were present in the gills of 22/31 fish and the presence of the chlamydial pathogen in the cysts was confirmed by in situ hybridization. Giant grouper (Epinephelus lanceolatus) cultured in the same systems were epitheliocystis free. 16S rRNA gene sequencing revealed a novel member of the Candidatus Parilichlamydiaceae: Ca. Similichlamydia epinephelii. Using metagenomic approaches, we obtained an estimated 68% of the chlamydial genome, revealing that this novel chlamydial pathogen shares a number of key pathogenic hallmarks with the Chlamydiaceae, including an intact Type III Secretion system and several chlamydial virulence factors. This provides additional evidence that these pathogenic mechanisms were acquired early in the evolution of this unique bacterial phylum. The identification and genomic characterization of Ca. S. epinephelii provides new opportunities to study the biology of distantly-related chlamydial pathogens while shining a new light on the evolution of pathogenicity of the Chlamydiaceae.</t>
  </si>
  <si>
    <t>[Taylor-Brown, Alyce; Bachmann, Nathan L.; Polkinghorne, Adam] Univ Sunshine Coast, Ctr Anim Hlth Innovat, Fac Sci Engn &amp; Educ, Sippy Downs, Qld 4556, Australia; [Pillonel, Trestan; Greub, Gilbert] Univ Lausanne, Inst Microbiol, CH-1011 Lausanne, Switzerland; [Bridle, Andrew; Nowak, Barbara] Univ Tasmania, Inst Marine &amp; Antarctic Studies, Newnham, Tas 7248, Australia; [Qi, Weihong; Seth-Smith, Helena M. B.] Univ Zurich, Funct Genom Ctr, CH-8057 Zurich, Switzerland; [Miller, Terrence L.] James Cook Univ, Coll Marine &amp; Environm Sci, Ctr Sustainable Trop Fisheries &amp; Aquaculture, Cairns, Qld 4878, Australia; [Seth-Smith, Helena M. B.; Vaughan, Lloyd] Univ Zurich, Inst Vet Pathol, CH-8057 Zurich, Switzerland; [Bachmann, Nathan L.] Westmead Hosp, Ctr Infect Dis &amp; Microbiol Publ Hlth, Westmead, NSW, Australia; [Miller, Terrence L.] Dept Fisheries Western Australia, Fish Hlth Lab, Perth, WA 6151, Australia; [Seth-Smith, Helena M. B.] Univ Spital Basel, Clin Microbiol, CH-4031 Basel, Switzerland; [Seth-Smith, Helena M. B.] Univ Basel, Dept Biomed, Appl Microbiol Res, CH-4031 Basel, Switzerland</t>
  </si>
  <si>
    <t>University of the Sunshine Coast; University of Lausanne; University of Tasmania; University of Zurich; James Cook University; University of Zurich; NSW Health; Westmead Hospital; University of Sydney; University of Basel; University of Basel</t>
  </si>
  <si>
    <t>Polkinghorne, A (corresponding author), Univ Sunshine Coast, Ctr Anim Hlth Innovat, Fac Sci Engn &amp; Educ, Sippy Downs, Qld 4556, Australia.</t>
  </si>
  <si>
    <t>apolking@usc.edu.au</t>
  </si>
  <si>
    <t>Qi, Weihong/ABC-7380-2021; Bridle, Andrew R/B-4117-2013; Vaughan, Lloyd/GNP-4888-2022; Greub, Gilbert GG/K-5804-2017; Miller, Terrence/J-4455-2012; Nowak, Barbara/J-7261-2014</t>
  </si>
  <si>
    <t>Qi, Weihong/0000-0001-8581-908X; Greub, Gilbert GG/0000-0001-9529-3317; Miller, Terrence/0000-0002-1252-1394; Polkinghorne, Adam/0000-0002-6567-2962; Pillonel, Trestan/0000-0002-5725-7929; Bridle, Andrew/0000-0002-5788-1297; Taylor-Brown, Alyce/0000-0002-0396-1275; Nowak, Barbara/0000-0002-0347-643X</t>
  </si>
  <si>
    <t>Queensland Smart Futures grant program</t>
  </si>
  <si>
    <t>We are thankful to Mel Leef, University of Tasmania, for tissue processing and histology and Nicholas Thomson, Sanger Institute, UK for advice on genomic analysis. Partial funding for this work was provided through the Queensland Smart Futures grant program to TLM. Dr Richard Knuckey and Adam Reynolds generously provided access to brood stock and farmed orange-spotted and giant grouper samples used in this study. We also thank Martina Jelocnik for ongoing technical support.</t>
  </si>
  <si>
    <t>10.1111/1462-2920.13694</t>
  </si>
  <si>
    <t>ET1LB</t>
  </si>
  <si>
    <t>WOS:000400029800015</t>
  </si>
  <si>
    <t>Vance, TR; Roberts, JL; Plummer, CT; Kiem, AS; van Ommen, TD</t>
  </si>
  <si>
    <t>Vance, Tessa R.; Roberts, Jason L.; Plummer, Chris T.; Kiem, Anthony S.; van Ommen, Tas D.</t>
  </si>
  <si>
    <t>Comment on 'Drought variability in the eastern Australia and New Zealand summer drought atlas (ANZDA, CE 1500-2012) modulated by the Interdecadal Pacific Oscillation'</t>
  </si>
  <si>
    <t>ENVIRONMENTAL RESEARCH LETTERS</t>
  </si>
  <si>
    <t>Law Dome; interdecadal Pacific oscillation; drought; ANZDA</t>
  </si>
  <si>
    <t>ICE CORE; RAINFALL; ENSO; ANTARCTICA; IMPACT; RECORD</t>
  </si>
  <si>
    <t>The study of (Palmer et al 2015 Environ. Res. Lett. 10 124002) details a spatial reconstruction of drought across eastern Australia and New Zealand over the last 500 years. The authors used a global 0.5 degrees by 0.5 degrees gridded network of the self-calibrating Palmer drought severity index (scPDSI) spanning 1901-2012 as the basis for a nested point-by-point regression to reconstruct austral summer (DJF) scPDSI for this region. Their study used 176 tree rings from New Zealand, Indonesia and Australia, and one coral record from the Great Barrier Reef. In their paper Palmer et al (2015) compared three publically available proxy records and reconstructions derived from the Law Dome ice core (East Antarctica) to their reconstructed scPDSI. These were the LD summer sea salt (LDsss) series, which is a proxy for Western Pacific sea surface temperature and subtropical eastern Australian rainfall (Vance et al 2013 J. Clim. 26 710-25, 2015 Geophys. Res. Lett. 42 129-37, Tozer et al 2016 Hydrol. Earth Syst. Sci. 20 1703-17), and two Interdecadal Pacific Oscillation (IPO) reconstructions produced using two independent methods, namely the Piece-wise Linear Fit (PLF) and Decision Tree (DT) series (Vance et al 2015 Geophys. Res. Lett. 42 129-37, 2016 Clim. Past 12 595-610). We show that the treatment of the Law Dome LDsss record and the PLF and DT IPO reconstructions mis-characterizes both the utility and targets of the three records.</t>
  </si>
  <si>
    <t>[Vance, Tessa R.; Roberts, Jason L.; van Ommen, Tas D.] Univ Tasmania, Antarctic Climate &amp; Ecosyst Cooperat Res Ctr, Hobart, Tas 7001, Australia; [Roberts, Jason L.; van Ommen, Tas D.] Australian Antarctic Div, Kingston, Tas 7050, Australia; [Plummer, Chris T.] Univ Tasmania, Inst Marine &amp; Antarctic Studies, Hobart, Tas 7001, Australia; [Kiem, Anthony S.] Univ Newcastle, Fac Sci &amp; Informat Technol, Ctr Water Climate &amp; Land, Callaghan, NSW 2308, Australia</t>
  </si>
  <si>
    <t>Antarctic Climate &amp; Ecosystems Cooperative Research Centre (ACE CRC); University of Tasmania; Australian Antarctic Division; University of Tasmania; University of Newcastle</t>
  </si>
  <si>
    <t>Vance, TR (corresponding author), Univ Tasmania, Antarctic Climate &amp; Ecosyst Cooperat Res Ctr, Hobart, Tas 7001, Australia.</t>
  </si>
  <si>
    <t>tessa.vance@utas.edu.au</t>
  </si>
  <si>
    <t>Roberts, Jason L/B-2235-2012; Kiem, Anthony/D-9307-2013; van Ommen, Tas/B-5020-2012</t>
  </si>
  <si>
    <t>Roberts, Jason L/0000-0002-3477-4069; Kiem, Anthony/0000-0002-3994-6958; Vance, Tessa/0000-0001-6970-8646; van Ommen, Tas/0000-0002-2463-1718; Plummer, Christopher/0000-0002-9765-5753</t>
  </si>
  <si>
    <t>IOP PUBLISHING LTD</t>
  </si>
  <si>
    <t>BRISTOL</t>
  </si>
  <si>
    <t>TEMPLE CIRCUS, TEMPLE WAY, BRISTOL BS1 6BE, ENGLAND</t>
  </si>
  <si>
    <t>1748-9326</t>
  </si>
  <si>
    <t>ENVIRON RES LETT</t>
  </si>
  <si>
    <t>Environ. Res. Lett.</t>
  </si>
  <si>
    <t>10.1088/1748-9326/aa7282</t>
  </si>
  <si>
    <t>EW5MX</t>
  </si>
  <si>
    <t>WOS:000402551400001</t>
  </si>
  <si>
    <t>Aceved, JP; Reetz, MT; Asenjo, JA; Parra, LP</t>
  </si>
  <si>
    <t>Pablo Aceved, Juan; Reetz, Manfred T.; Asenjo, Juan A.; Parra, Loreto P.</t>
  </si>
  <si>
    <t>One-step combined focused epPCR and saturation mutagenesis for thermostability evolution of a new cold-active xylanase</t>
  </si>
  <si>
    <t>ENZYME AND MICROBIAL TECHNOLOGY</t>
  </si>
  <si>
    <t>Xylanase; Cold-active enzymes; Thermostability; Directed evolution; epPCR</t>
  </si>
  <si>
    <t>SITE-DIRECTED MUTAGENESIS; FAMILY 10; RECOMBINANT XYLANASE; PROTEIN FUNCTION; ENZYMES; STABILITY; BIOTECHNOLOGY; BIOCATALYSIS; EXPRESSION; LIBRARIES</t>
  </si>
  <si>
    <t>Enzymes active at low temperature are of great interest for industrial bioprocesses due to their high efficiency at a low energy cost. One of the particularities of naturally evolved cold-active enzymes is their increased enzymatic activity at low temperature, however the low thermostability presented in this type of enzymes is still a major drawback for their application in biocatalysis. Directed evolution of cold-adapted enzymes to a more thermostable version, appears as an attractive strategy to fulfill the stability and activity requirements for the industry. This paper describes the recombinant expression and characterization of a new and highly active cold-adapted xylanase from the GH-family 10 (Xyl-L), and the use of a novel one step combined directed evolution technique that comprises saturation mutagenesis and focused epPCR as a feasible semi-rational strategy to improve the thermostability. The Xyl-L enzyme was cloned from a marine-Antarctic bacterium, Psychrobacter sp. strain 2-17, recombinantly expressed in E. colt strain BL21(DE3) and characterized enzymatically. Molecular dynamic simulations using a homology model of the catalytic domain of Xyl-L were performed to detect flexible regions and residues, which are considered to be the possible structural elements that define the thermolability of this enzyme. Mutagenic libraries were designed in order to stabilize the protein introducing mutations in some of the flexible regions and residues identified. Twelve positive mutant clones were found to improve the T-50(15) value of the enzyme, in some cases without affecting the activity at 25 degrees C. The best mutant showed a 4.3 degrees C increase in its T-50(15). The efficiency of the directed evolution approach can also be expected to work in the protein engineering of stereoselectivity. (C) 2017 Elsevier Inc. All rights reserved.</t>
  </si>
  <si>
    <t>[Parra, Loreto P.] Pontificia Univ Catolica Chile, Inst Biol &amp; Med Engn, Sch Engn, Ave Vicuna Mackenna, Santiago 4860, Chile; [Parra, Loreto P.] Pontificia Univ Catolica Chile, Inst Biol &amp; Med Engn, Sch Med, Ave Vicuna Mackenna, Santiago 4860, Chile; [Parra, Loreto P.] Pontificia Univ Catolica Chile, Inst Biol &amp; Med Engn, Sch Biol Sci, Ave Vicuna Mackenna, Santiago 4860, Chile; [Parra, Loreto P.] Pontificia Univ Catolica Chile, Dept Chem &amp; Bioproc Engn, Sch Engn, Ave Vicuna Mackenna, Santiago 4860, Chile; [Pablo Aceved, Juan] Univ Los Andes, Fac Med, Santiago 2200, Chile; [Pablo Aceved, Juan] Univ Los Andes, Fac Ingn &amp; Ciencias Aplicadas, Santiago 2200, Chile; [Reetz, Manfred T.] Max Planck Inst Kohlenforsch, D-45070 Mulheim, Germany; [Reetz, Manfred T.] Philipps Univers, Dept Chem, D-35032 Marburg, Germany; [Asenjo, Juan A.] Univ Chile, Ctr Biotechnol &amp; Bioengn, CeBiB, Dept Chem Engn &amp; Biotechnol, Santiago 851, Chile</t>
  </si>
  <si>
    <t>Pontificia Universidad Catolica de Chile; Pontificia Universidad Catolica de Chile; Pontificia Universidad Catolica de Chile; Pontificia Universidad Catolica de Chile; Universidad de los Andes - Chile; Universidad de los Andes - Chile; Max Planck Society; Universidad de Chile</t>
  </si>
  <si>
    <t>Parra, LP (corresponding author), Pontificia Univ Catolica Chile, Inst Biol &amp; Med Engn, Sch Engn, Ave Vicuna Mackenna, Santiago 4860, Chile.;Parra, LP (corresponding author), Pontificia Univ Catolica Chile, Inst Biol &amp; Med Engn, Sch Med, Ave Vicuna Mackenna, Santiago 4860, Chile.;Parra, LP (corresponding author), Pontificia Univ Catolica Chile, Inst Biol &amp; Med Engn, Sch Biol Sci, Ave Vicuna Mackenna, Santiago 4860, Chile.</t>
  </si>
  <si>
    <t>lparrat@uc.cl</t>
  </si>
  <si>
    <t>Parra, Loreto/D-2593-2014; Asenjo, Juan JAA/L-8336-2013</t>
  </si>
  <si>
    <t>Acevedo, Juan Pablo/0000-0002-7404-3762</t>
  </si>
  <si>
    <t>Millennium Scientific Initiative [ICM P05-001-F]; basal Centre CeBiB of Conicyt [FB0001]; Max-Planck-Institut fur Kohlenforschung</t>
  </si>
  <si>
    <t>Millennium Scientific Initiative; basal Centre CeBiB of Conicyt; Max-Planck-Institut fur Kohlenforschung</t>
  </si>
  <si>
    <t>This work was supported by the Millennium Scientific Initiative, Project ICM P05-001-F and the basal Centre CeBiB of Conicyt (FB0001). We would also like to thank the support of the Max-Planck-Institut fur Kohlenforschung where the protein engineering part of this work was completed, as well as Prof. Cesar A. Ramirez-Sarmiento for helpful discussions and helping with the artwork</t>
  </si>
  <si>
    <t>0141-0229</t>
  </si>
  <si>
    <t>1879-0909</t>
  </si>
  <si>
    <t>ENZYME MICROB TECH</t>
  </si>
  <si>
    <t>Enzyme Microb. Technol.</t>
  </si>
  <si>
    <t>10.1016/j.enzmictec.2017.02.005</t>
  </si>
  <si>
    <t>EO8QP</t>
  </si>
  <si>
    <t>WOS:000396955200009</t>
  </si>
  <si>
    <t>Farmery, AK; Gardner, C; Jennings, S; Green, BS; Watson, RA</t>
  </si>
  <si>
    <t>Farmery, Anna K.; Gardner, Caleb; Jennings, Sarah; Green, Bridget S.; Watson, Reg A.</t>
  </si>
  <si>
    <t>Assessing the inclusion of seafood in the sustainable diet literature</t>
  </si>
  <si>
    <t>aquaculture; food; greenhouse gas emissions; life cycle assessment; nutrition; wild-capture</t>
  </si>
  <si>
    <t>GREENHOUSE-GAS EMISSIONS; LIFE-CYCLE ASSESSMENT; ENVIRONMENTAL-HEALTH IMPACTS; CHAIN OMEGA-3 OILS; FOOD SECURITY; NUTRITIONAL QUALITY; CAPTURE FISHERIES; NUTRIENT DENSITY; FISH CONSUMPTION; WATER FOOTPRINT</t>
  </si>
  <si>
    <t>The literature on sustainable diets is broad in its scope, and application yet is consistently supportive of a move away from animal-based diets towards more plant-based diets. The positioning of seafood within the sustainable diet literature is less clear. A literature review was conducted to examine how the environmental impacts of seafood consumption are assessed and what conclusions are being drawn about the inclusion of seafood in a sustainable diet. Seafood is an essential part of the global food system but is not adequately addressed in most of the sustainable diet literature. Aquaculture, the world's fastest growing food sector, was considered by very few papers. Seafood consumption was commonly presented as a dilemma due to the perceived trade-offs between positive health outcomes from eating seafood and concerns of overfishing. A number of studies included seafood as part of their sustainable diet scenario, or as part of a diet that had lower impacts than current consumption. Most of the indicators used were biophysical, with a strong focus on greenhouse gas emissions, and very few studies addressed biological or ecological impacts. The assessment of seafood was limited in many studies due to relevant data sets not being incorporated into the models used. Where they were used, data sources and methodological choices were often not stated thereby limiting the transparency of many studies. Both farmed and wild-capture production methods need to be integrated into research on the impacts of diets and future food scenarios to better understand and promote the benefits of sustainable diets.</t>
  </si>
  <si>
    <t>[Farmery, Anna K.; Gardner, Caleb; Green, Bridget S.; Watson, Reg A.] Univ Tasmania, Inst Marine &amp; Antarctic Studies, Hobart, Tas, Australia; [Jennings, Sarah] Univ Tasmania, Tasmanian Sch Business &amp; Econ, Hobart, Tas, Australia</t>
  </si>
  <si>
    <t>University of Tasmania; University of Tasmania</t>
  </si>
  <si>
    <t>Farmery, AK (corresponding author), Univ Tasmania, Inst Marine &amp; Antarctic Studies, Hobart, Tas, Australia.</t>
  </si>
  <si>
    <t>Anna.Farmery@utas.edu.au</t>
  </si>
  <si>
    <t>Farmery, Anna/H-9696-2014; Watson, Reg A/F-4850-2012; Green, Bridget S/G-3368-2014; Jennings, Sarah M/J-7888-2014; Gardner, Caleb/I-7086-2013</t>
  </si>
  <si>
    <t>Farmery, Anna/0000-0002-8938-0040; Watson, Reg A/0000-0001-7201-8865; Gardner, Caleb/0000-0003-0324-4337</t>
  </si>
  <si>
    <t>Australian National Network in Marine Science (ANNIMS); Fisheries Research and Development Corporation (FRDC) Building Economic Capability in Fisheries Project; Australian Research Council [DP140101377]</t>
  </si>
  <si>
    <t>Australian National Network in Marine Science (ANNIMS); Fisheries Research and Development Corporation (FRDC) Building Economic Capability in Fisheries Project(Fisheries R&amp;D Corp); Australian Research Council(Australian Research Council)</t>
  </si>
  <si>
    <t>Australian National Network in Marine Science (ANNIMS); Fisheries Research and Development Corporation (FRDC) Building Economic Capability in Fisheries Project; Australian Research Council Discovery, Grant/Award Number: DP140101377.</t>
  </si>
  <si>
    <t>10.1111/faf.12205</t>
  </si>
  <si>
    <t>WOS:000400327400012</t>
  </si>
  <si>
    <t>Lindgren, P; Lee, MR; Starkey, NA; Franchi, IA</t>
  </si>
  <si>
    <t>Lindgren, P.; Lee, M. R.; Starkey, N. A.; Franchi, I. A.</t>
  </si>
  <si>
    <t>Fluid evolution in CM carbonaceous chondrites tracked through the oxygen isotopic compositions of carbonates</t>
  </si>
  <si>
    <t>CM carbonaceous chondrites; Calcite; Oxygen isotopes; Aqueous alteration</t>
  </si>
  <si>
    <t>AQUEOUS ALTERATION; PARENT BODIES; METEORITE; CALCITE; PHYLLOSILICATES; PETROGRAPHY; INDICATORS; COMPACTION; MINERALOGY; MURCHISON</t>
  </si>
  <si>
    <t>The oxygen isotopic compositions of calcite grains in four CM carbonaceous chondrites have been determined by Nano-SIMS, and results reveal that aqueous solutions evolved in a similar manner between parent body regions with different intensities of aqueous alteration. Two types of calcite were identified in Murchison, Mighei, Cold Bokkeveld and LaPaz Icefield 031166 by differences in their petrographic properties and oxygen isotope values. Type 1 calcite occurs as small equant grains that formed by filling of pore spaces in meteorite matrices during the earliest stages of alteration. On average, the type 1 grains have a delta O-18 of similar to 32-36 parts per thousand (VSMOW), and Delta O-17 of between similar to 2 parts per thousand and similar to 1 parts per thousand. Most grains of type 2 calcite precipitated after type 1. They contain micropores and inclusions, and have replaced ferromagnesian silicate minerals. Type 2 calcite has an average delta O-18 of similar to 21-24 parts per thousand (VSMOW) and a Delta O-17 of between similar to-1 parts per thousand and similar to 3 parts per thousand. Such consistent isotopic differences between the two calcite types show that they formed in discrete episodes and from solutions whose delta O-18 and delta O-17 values had changed by reaction with parent body silicates, as predicted by the closed-system model for aqueous alteration. Temperatures are likely to have increased over the timespan of calcite precipitation, possibly owing to exothermic serpentinisation. The most highly altered CM chondrites commonly contain dolomite in addition to calcite. Dolomite grains in two previously studied CM chondrites have a narrow range in delta O-18 (similar to 25-29 parts per thousand VSMOW), with Delta O-17 similar to-1 parts per thousand to similar to 3 parts per thousand. These grains are likely to have precipitated between types 1 and 2 calcite, and in response to a transient heating event and/or a brief increase in fluid magnesium/calcium ratios. In spite of this evidence for localised excursions in temperature and/or solution chemistry, the carbonate oxygen isotope record shows that fluid evolution was comparable between many parent body regions. The CM carbonaceous chondrites studied here therefore sample either several parent bodies with a very similar initial composition and evolution or, more probably, a single C-type asteroid. (C) 2017 The Authors. Published by Elsevier Ltd.</t>
  </si>
  <si>
    <t>[Lindgren, P.; Lee, M. R.] Sch Geog &amp; Earth Sci, Gregory Bldg, Glasgow G12 8QQ, Lanark, Scotland; [Starkey, N. A.; Franchi, I. A.] Open Univ, Planetary &amp; Space Sci, Milton Keynes MK7 6AA, Bucks, England</t>
  </si>
  <si>
    <t>Open University - UK</t>
  </si>
  <si>
    <t>Lee, MR (corresponding author), Sch Geog &amp; Earth Sci, Gregory Bldg, Glasgow G12 8QQ, Lanark, Scotland.</t>
  </si>
  <si>
    <t>Martin.Lee@Glasgow.ac.uk</t>
  </si>
  <si>
    <t>Lee, Martin/Q-1040-2019</t>
  </si>
  <si>
    <t>Lee, Martin/0000-0002-6004-3622</t>
  </si>
  <si>
    <t>UK Science and Technology Facilities Council (STFC) [ST/G001693/1, ST/K000942/1, ST/N000846/1]; Open University [ST/M00421X/1, ST/1001964/1]; STFC [ST/P000657/1, ST/N000846/1, ST/K000942/1, ST/L000776/1, ST/G001693/1, ST/M00421X/1] Funding Source: UKRI; Science and Technology Facilities Council [ST/L000776/1, ST/P000657/1, ST/K000942/1, ST/N000846/1, ST/M00421X/1, ST/G001693/1] Funding Source: researchfish</t>
  </si>
  <si>
    <t>UK Science and Technology Facilities Council (STFC)(UK Research &amp; Innovation (UKRI)Science &amp; Technology Facilities Council (STFC)); Open University(Open University - UK); STFC(UK Research &amp; Innovation (UKRI)Science &amp; Technology Facilities Council (STFC)); Science and Technology Facilities Council(UK Research &amp; Innovation (UKRI)Science &amp; Technology Facilities Council (STFC))</t>
  </si>
  <si>
    <t>We are grateful to the NASA Antarctic meteorite collection and the Natural History Museum, London, for loan of samples. We also thank Peter Chung for his assistance with SEM, and Ben Cohen for help with data analysis. We are grateful to two anonymous referees for their detailed and helpful comments on the original manuscript. This research was supported by the UK Science and Technology Facilities Council (STFC) through grants to the University of Glasgow (ST/G001693/1, ST/K000942/1 and ST/N000846/1), and the Open University (ST/M00421X/1 and ST/1001964/1).</t>
  </si>
  <si>
    <t>10.1016/j.gca.2017.01.048</t>
  </si>
  <si>
    <t>WOS:000402487100014</t>
  </si>
  <si>
    <t>Rohr, T; Long, MC; Kavanaugh, MT; Lindsay, K; Doney, SC</t>
  </si>
  <si>
    <t>Rohr, Tyler; Long, Matthew C.; Kavanaugh, Maria T.; Lindsay, Keith; Doney, Scott C.</t>
  </si>
  <si>
    <t>Variability in the mechanisms controlling Southern Ocean phytoplankton bloom phenology in an ocean model and satellite observations</t>
  </si>
  <si>
    <t>GLOBAL BIOGEOCHEMICAL CYCLES</t>
  </si>
  <si>
    <t>EARTH SYSTEM MODEL; SURFACE WATERS; NORTH-ATLANTIC; GROWTH-RATES; GLOBAL OCEAN; TIME-SERIES; CARBON FLUX; ROSS SEA; IRON; DISTRIBUTIONS</t>
  </si>
  <si>
    <t>A coupled global numerical simulation (conducted with the Community Earth System Model) is used in conjunction with satellite remote sensing observations to examine the role of top-down (grazing pressure) and bottom-up (light, nutrients) controls on marine phytoplankton bloom dynamics in the Southern Ocean. Phytoplankton seasonal phenology is evaluated in the context of the recently proposed disturbance-recovery hypothesis relative to more traditional, exclusively bottom-up frameworks. All blooms occur when phytoplankton division rates exceed loss rates to permit sustained net population growth; however, the nature of this decoupling period varies regionally in Community Earth System Model. Regional case studies illustrate how unique pathways allow blooms to emerge despite very poor division rates or very strong grazing rates. In the Subantarctic, southeast Pacific small spring blooms initiate early cooccurring with deep mixing and low division rates, consistent with the disturbance-recovery hypothesis. Similar systematics are present in the Subantarctic, southwest Atlantic during the spring but are eclipsed by a subsequent, larger summer bloom that is coincident with shallow mixing and the annual maximum in division rates, consistent with a bottom-up, light limited framework. In the model simulation, increased iron stress prevents a similar summer bloom in the southeast Pacific. In the simulated Antarctic zone (70 degrees S-65 degrees S) seasonal sea ice acts as a dominant phytoplankton-zooplankton decoupling agent, triggering a delayed but substantial bloom as ice recedes. Satellite ocean color remote sensing and ocean physical reanalysis products do not precisely match model-predicted phenology, but observed patterns do indicate regional variability in mechanism across the Atlantic and Pacific.</t>
  </si>
  <si>
    <t>[Rohr, Tyler; Kavanaugh, Maria T.; Doney, Scott C.] Woods Hole Oceanog Inst, Dept Marine Chem &amp; Geochem, Woods Hole, MA 02543 USA; [Rohr, Tyler] MIT, Dept Earth &amp; Planetary Sci, 77 Massachusetts Ave, Cambridge, MA 02139 USA; [Long, Matthew C.; Lindsay, Keith] Natl Ctr Atmospher Res, Climate &amp; Global Dynam, POB 3000, Boulder, CO 80307 USA</t>
  </si>
  <si>
    <t>Woods Hole Oceanographic Institution; Massachusetts Institute of Technology (MIT); National Center Atmospheric Research (NCAR) - USA</t>
  </si>
  <si>
    <t>Rohr, T (corresponding author), Woods Hole Oceanog Inst, Dept Marine Chem &amp; Geochem, Woods Hole, MA 02543 USA.;Rohr, T (corresponding author), MIT, Dept Earth &amp; Planetary Sci, 77 Massachusetts Ave, Cambridge, MA 02139 USA.</t>
  </si>
  <si>
    <t>trohr@whoi.edu</t>
  </si>
  <si>
    <t>Doney, Scott/F-9247-2010; Long, Matthew C/H-4632-2016; rohr, tyler/T-6664-2019</t>
  </si>
  <si>
    <t>Doney, Scott/0000-0002-3683-2437; Kavanaugh, Maria/0000-0001-6126-6177; Lindsay, Keith/0000-0002-3672-1665; Rohr, Tyler/0000-0001-6599-8068; Long, Matthew/0000-0003-1273-2957</t>
  </si>
  <si>
    <t>National Science Foundation; Office of Science (BER) of the U.S. Department of Energy; NDSEG graduate fellowship; National Aeronautics and Space Administration Ocean Biology and Biogeochemistry Program [NNX14AL86G]; National Science Foundation Polar Programs [1440435]; Directorate For Geosciences; Office of Polar Programs (OPP) [1440435] Funding Source: National Science Foundation; NASA [679094, NNX14AL86G] Funding Source: Federal RePORTER</t>
  </si>
  <si>
    <t>National Science Foundation(National Science Foundation (NSF)); Office of Science (BER) of the U.S. Department of Energy(United States Department of Energy (DOE)); NDSEG graduate fellowship; National Aeronautics and Space Administration Ocean Biology and Biogeochemistry Program; National Science Foundation Polar Programs; Directorate For Geosciences; Office of Polar Programs (OPP)(National Science Foundation (NSF)NSF - Directorate for Geosciences (GEO)); NASA(National Aeronautics &amp; Space Administration (NASA))</t>
  </si>
  <si>
    <t>The CESM project is supported by the National Science Foundation and the Office of Science (BER) of the U.S. Department of Energy. Computing resources were provided by the Climate Simulation Laboratory at NCAR's Computational and Information Systems Laboratory (CISL), sponsored by the National Science Foundation and other agencies. This research was enabled by CISL compute and storage resources. T.R. was supported by an NDSEG graduate fellowship. S.C.D. and M.T.K. acknowledge support from the National Aeronautics and Space Administration Ocean Biology and Biogeochemistry Program (NNX14AL86G) and the National Science Foundation Polar Programs award 1440435 (Antarctic Integrated System Science) to the Palmer LTER program. Please contact trohr@mit.edu for further questions or access to data.</t>
  </si>
  <si>
    <t>0886-6236</t>
  </si>
  <si>
    <t>1944-9224</t>
  </si>
  <si>
    <t>GLOBAL BIOGEOCHEM CY</t>
  </si>
  <si>
    <t>Glob. Biogeochem. Cycle</t>
  </si>
  <si>
    <t>10.1002/2016GB005615</t>
  </si>
  <si>
    <t>Environmental Sciences; Geosciences, Multidisciplinary; Meteorology &amp; Atmospheric Sciences</t>
  </si>
  <si>
    <t>Environmental Sciences &amp; Ecology; Geology; Meteorology &amp; Atmospheric Sciences</t>
  </si>
  <si>
    <t>FA0ED</t>
  </si>
  <si>
    <t>WOS:000405103200011</t>
  </si>
  <si>
    <t>Fogarty, HE; Burrows, MT; Pecl, GT; Robinson, LM; Poloczanska, ES</t>
  </si>
  <si>
    <t>Fogarty, Hannah E.; Burrows, Michael T.; Pecl, Gretta T.; Robinson, Lucy M.; Poloczanska, Elvira S.</t>
  </si>
  <si>
    <t>Are fish outside their usual ranges early indicators of climate-driven range shifts?</t>
  </si>
  <si>
    <t>GLOBAL CHANGE BIOLOGY</t>
  </si>
  <si>
    <t>climate change; climate velocity; detection and attribution; range shift; range-edge</t>
  </si>
  <si>
    <t>MARINE BIODIVERSITY; SPECIES TRAITS; CHANGE IMPACTS; OCEAN; VULNERABILITY; CONSERVATION; VELOCITY; EXPLAIN; LIMITS; RATES</t>
  </si>
  <si>
    <t>Shifts in species ranges are a global phenomenon, well known to occur in response to a changing climate. New species arriving in an area may become pest species, modify ecosystem structure, or represent challenges or opportunities for fisheries and recreation. Early detection of range shifts and prompt implementation of any appropriate management strategies is therefore crucial. This study investigates whether 'first sightings' of marine species outside their normal ranges could provide an early warning of impending climate-driven range shifts. We examine the relationships between first sightings and marine regions defined by patterns of local climate velocities (calculated on a 50-year timescale), while also considering the distribution of observational effort (i. e. number of sampling days recorded with biological observations in global databases). The marine trajectory regions include climate 'source' regions (areas lacking connections to warmer areas), 'corridor' regions (areas where moving isotherms converge), and 'sink' regions (areas where isotherms locally disappear). Additionally, we investigate the latitudinal band in which first sightings were recorded, and species' thermal affiliations. We found that first sightings are more likely to occur in climate sink and 'divergent' regions (areas where many rapid and diverging climate trajectories pass through) indicating a role of temperature in driving changes in marine species distributions. The majority of our fish first sightings appear to be tropical and subtropical species moving towards high latitudes, as would be expected in climate warming. Our results indicate that first sightings are likely related to longer-term climatic processes, and therefore have potential use to indicate likely climate-driven range shifts. The development of an approach to detect impending range shifts at an early stage will allow resource managers and researchers to better manage opportunities resulting from range-shifting species before they potentially colonize.</t>
  </si>
  <si>
    <t>[Fogarty, Hannah E.; Pecl, Gretta T.; Robinson, Lucy M.] Inst Marine &amp; Antarctic Studies, Private Bag 49, Hobart, Tas 7001, Australia; [Fogarty, Hannah E.; Poloczanska, Elvira S.] CSIRO Oceans &amp; Atmosphere, Queensland Biosci Precinct, St Lucia, Qld 4067, Australia; [Burrows, Michael T.] Scottish Assoc Marine Sci, Oban PA37 IQA, Argyll, Scotland; [Robinson, Lucy M.] Commiss Conservat Antarctic Marine Living Resourc, Hobart, Tas 7000, Australia; [Poloczanska, Elvira S.] Univ Queensland, Global Change Inst, St Lucia, Qld 4067, Australia; [Poloczanska, Elvira S.] Alfred Wegener Inst Polar &amp; Marine Res, D-27515 Bremerhaven, Germany</t>
  </si>
  <si>
    <t>University of Tasmania; Commonwealth Scientific &amp; Industrial Research Organisation (CSIRO); University of Queensland; Helmholtz Association; Alfred Wegener Institute, Helmholtz Centre for Polar &amp; Marine Research</t>
  </si>
  <si>
    <t>Poloczanska, ES (corresponding author), CSIRO Oceans &amp; Atmosphere, Queensland Biosci Precinct, St Lucia, Qld 4067, Australia.;Poloczanska, ES (corresponding author), Univ Queensland, Global Change Inst, St Lucia, Qld 4067, Australia.;Poloczanska, ES (corresponding author), Alfred Wegener Inst Polar &amp; Marine Res, D-27515 Bremerhaven, Germany.</t>
  </si>
  <si>
    <t>elvira.poloczanska@awi.de</t>
  </si>
  <si>
    <t>Burrows, Michael/ABF-4844-2020; Fogarty, Hannah/L-4998-2019; poloczanska, elvira s/P-5356-2014; Pecl, Gretta/D-7267-2011</t>
  </si>
  <si>
    <t>Burrows, Michael/0000-0003-4620-5899; Fogarty, Hannah/0000-0001-7261-2565; Pecl, Gretta/0000-0003-0192-4339; poloczanska, elvira/0000-0001-8470-0925; Robinson, Lucy/0000-0001-9324-401X</t>
  </si>
  <si>
    <t>ARC Future Fellowship [FT 140100596]; Natural Environment Research Council [NE/J021938/1, NE/J022446/1, NE/J024082/1] Funding Source: researchfish; NERC [NE/J024082/1, NE/J022446/1, NE/J021938/1] Funding Source: UKRI</t>
  </si>
  <si>
    <t>ARC Future Fellowship(Australian Research Council); Natural Environment Research Council(UK Research &amp; Innovation (UKRI)Natural Environment Research Council (NERC)); NERC(UK Research &amp; Innovation (UKRI)Natural Environment Research Council (NERC))</t>
  </si>
  <si>
    <t>We would like to thank Ward Appletans and Mark Costello at OBIS for supplying the data set of the global distribution of sampling effort and Jorge Garcia Molinos for assistance with velocity data. GP was supported by an ARC Future Fellowship FT 140100596.</t>
  </si>
  <si>
    <t>1354-1013</t>
  </si>
  <si>
    <t>1365-2486</t>
  </si>
  <si>
    <t>GLOBAL CHANGE BIOL</t>
  </si>
  <si>
    <t>Glob. Change Biol.</t>
  </si>
  <si>
    <t>10.1111/gcb.13635</t>
  </si>
  <si>
    <t>EQ1AB</t>
  </si>
  <si>
    <t>WOS:000397800600023</t>
  </si>
  <si>
    <t>Cooper, HL; Potts, DC; Paytan, A</t>
  </si>
  <si>
    <t>Cooper, Helen L.; Potts, Donald C.; Paytan, Adina</t>
  </si>
  <si>
    <t>Effects of elevated pCO2 on the survival, growth, and moulting of the Pacific krill species, Euphausia pacifica</t>
  </si>
  <si>
    <t>growth; krill; moulting; ocean acidification; survival; threshold</t>
  </si>
  <si>
    <t>OCEAN ACIDIFICATION; ANTARCTIC KRILL; CARBONIC-ACID; SEA; CO2; SEAWATER; IMPACTS; RATES; SIZE; REPRODUCTION</t>
  </si>
  <si>
    <t>While ocean acidification (OA) is expected to have wide-ranging negative effects on marine species, organisms currently living in variable pH environments that expose them intermittently to pH values approaching those predicted for the future, may be better adapted to tolerate prolonged exposure to high pCO(2) levels caused by OA. Seasonal upwelling brings low pH water to the surface along the Pacific Coast of North America. In Monterey Bay, California Euphausia pacifica, a key species supporting a diverse multi-trophic-level ecosystem, currently experiences broad pCO(2) and pH ranges due to both diel vertical migrations and seasonal upwelling. We determined tolerances of E. pacifica to prolonged exposure to pH levels predicted for 2100 by maintaining adults at two pCO(2) levels (380 and 1200 mu atm) for 2 months. Rates of survival and moulting were the same at both pCO(2) levels. High pCO2 slowed growth in all size classes. In additional experiments to determine pCO2 threshold levels above which E. pacifica is adversely affected, survival was not affected down to pH 6.96 (6050 mu atm), but declined rapidly at pH 6.92 (7228 mu atm) and lower, with 100% mortality within 10 d at pH 6.89.</t>
  </si>
  <si>
    <t>[Cooper, Helen L.; Potts, Donald C.] Univ Calif Santa Cruz, Dept Ecol &amp; Evolutionary Biol, 1156 High St, Santa Cruz, CA 95064 USA; [Paytan, Adina] Univ Calif Santa Cruz, Inst Marine Sci, 1156 High St, Santa Cruz, CA 95064 USA</t>
  </si>
  <si>
    <t>University of California System; University of California Santa Cruz; University of California System; University of California Santa Cruz</t>
  </si>
  <si>
    <t>Cooper, HL (corresponding author), Univ Calif Santa Cruz, Dept Ecol &amp; Evolutionary Biol, 1156 High St, Santa Cruz, CA 95064 USA.</t>
  </si>
  <si>
    <t>hobrien@ucsc.edu</t>
  </si>
  <si>
    <t>NOAA West Coast and Polar Regions Undersea Research Center [FP12783A]; NSF [OCE-1040952]; UCSC Committee on Research grant; American Association of University Women; Friends of Long Marine Laboratory; Meyers Trust; UCSC Department of Ecology and Evolutionary Biology; Directorate For Geosciences; Division Of Ocean Sciences [1325649] Funding Source: National Science Foundation</t>
  </si>
  <si>
    <t>NOAA West Coast and Polar Regions Undersea Research Center(National Oceanic Atmospheric Admin (NOAA) - USA); NSF(National Science Foundation (NSF)); UCSC Committee on Research grant; American Association of University Women; Friends of Long Marine Laboratory; Meyers Trust; UCSC Department of Ecology and Evolutionary Biology; Directorate For Geosciences; Division Of Ocean Sciences(National Science Foundation (NSF)NSF - Directorate for Geosciences (GEO))</t>
  </si>
  <si>
    <t>We thank Shumpei Maruyama, Erica Nielsen, and Luis Hernandez for laboratory help and assistance with water chemistry analyses. Dave Benet and Steve Clabuesch for assistance building the pCO2-air mixing system and with krill collections. Betsy Steele for culturing phytoplankton and general laboratory guidance. This research was funded through awards from the NOAA West Coast and Polar Regions Undersea Research Center (project FP12783A) and NSF (OCE-1040952) to A. Paytan, a UCSC Committee on Research grant to D. Potts, and awards to H. Cooper from the American Association of University Women, Friends of Long Marine Laboratory, Meyers Trust, and the UCSC Department of Ecology and Evolutionary Biology.</t>
  </si>
  <si>
    <t>10.1093/icesjms/fsw021</t>
  </si>
  <si>
    <t>EZ1DP</t>
  </si>
  <si>
    <t>WOS:000404450100012</t>
  </si>
  <si>
    <t>Harris, L; Warren, M; Grant, M; Llewellyn, GM</t>
  </si>
  <si>
    <t>Harris, Laura; Warren, Mark; Grant, Mike; Llewellyn, Gary M.</t>
  </si>
  <si>
    <t>Spectral Characterization of the AisaOWL</t>
  </si>
  <si>
    <t>AisaOWL; calibration; hyperspectral; thermal</t>
  </si>
  <si>
    <t>CLASSIFICATION; LIDAR</t>
  </si>
  <si>
    <t>The AisaOWL is a recent-to-market thermal hyper-spectral instrument. As such, there is little information about the sensor performance in the literature. The sensor covers the 7.6-12.6 mu m part of the long-wave infrared region with 102 continuous bands, and is capable of imaging in low-light conditions. This paper presents an independent characterization of the AisaOWL sensor, examining the spectral accuracy of black body measurements at different temperatures and validating manufacturer recommendations for warm-up, integration, and calibration times. This analysis is essential for establishing high quality operational procedures and in giving confidence to users of the data. In this paper, the sensor has been found to have a maximum error of 2 degrees C in absolute temperature measurement, and provides spectra most accurate in the 8-9 mu m region. The recommended warm-up time of 15 min has been confirmed, with a 1% increase in error identified for data collected only 7 min after switch on. The optimal integration time of 1.18 ms has been validated and an exponential decrease in performance observed outside the 0.85-1.2 ms range. The detector used by the sensor is shown to have stability issues and this has been examined by comparing black body data processed with different calibration data. While the detector is operating in a stable regime compatible with the calibration, these black body readings stay within 5% across the central bands, approaching 10% below 8 mu m and just exceeding 20% above 11 mu m.</t>
  </si>
  <si>
    <t>[Harris, Laura; Warren, Mark; Grant, Mike] Plymouth Marine Lab, Plymouth PL1 3DH, Devon, England; [Llewellyn, Gary M.] British Antarctic Survey, Cambridge CB3 0ET, England</t>
  </si>
  <si>
    <t>Plymouth Marine Laboratory; UK Research &amp; Innovation (UKRI); Natural Environment Research Council (NERC); NERC British Antarctic Survey</t>
  </si>
  <si>
    <t>Harris, L (corresponding author), Plymouth Marine Lab, Plymouth PL1 3DH, Devon, England.</t>
  </si>
  <si>
    <t>lah@pml.ac.uk; mark1@pml.ac.uk; mggr@pml.ac.uk; gaew@nerc.ac.uk</t>
  </si>
  <si>
    <t>Warren, Mark/IQR-6492-2023</t>
  </si>
  <si>
    <t>Warren, Mark/0000-0002-7941-5254; Grant, Michael/0000-0003-3952-3207; Harris, Laura/0000-0003-1279-260X</t>
  </si>
  <si>
    <t>Icelandic Research Fund; Natural Environment Research Council [bas010011] Funding Source: researchfish; NERC [bas010011] Funding Source: UKRI</t>
  </si>
  <si>
    <t>Icelandic Research Fund; Natural Environment Research Council(UK Research &amp; Innovation (UKRI)Natural Environment Research Council (NERC)); NERC(UK Research &amp; Innovation (UKRI)Natural Environment Research Council (NERC))</t>
  </si>
  <si>
    <t>The authors would like to thank C. MacLellan for his assistance in instrument calibration. They would like to thank H. Holma of Specim for answering numerous questions about the AisaOWL instrument and radiometric calibration tool. They would also like to thank G. B. M. Pedersen and the Icelandic Research Fund for allowing the Iceland imagery to be presented.</t>
  </si>
  <si>
    <t>10.1109/TGRS.2017.2653241</t>
  </si>
  <si>
    <t>WOS:000399943400024</t>
  </si>
  <si>
    <t>Christenson, JK; O'Kane, GM; Farmery, AK; McManus, A</t>
  </si>
  <si>
    <t>Christenson, Julia K.; O'Kane, Gabrielle M.; Farmery, Anna K.; McManus, Alexandra</t>
  </si>
  <si>
    <t>The barriers and drivers of seafood consumption in Australia: A narrative literature review</t>
  </si>
  <si>
    <t>INTERNATIONAL JOURNAL OF CONSUMER STUDIES</t>
  </si>
  <si>
    <t>Australia; barriers; consumption; drivers; fish; seafood</t>
  </si>
  <si>
    <t>FISH CONSUMPTION; ATTITUDES; HABIT</t>
  </si>
  <si>
    <t>Although seafood is considered to be an important part of a healthy and balanced diet, many Australians still do not consume the recommended amounts for good health. Fish is an excellent source of protein, omega-3 fatty acids and other nutrients, and studies have shown that seafood-rich diets can have a lower impact on the environment than diets high in other animal proteins. Concerns about health and sustainability have led to an increased interest in understanding consumers' attitudes toward seafood. This review aims to assess the current knowledge on drivers and barriers to seafood consumption in the Australian context. Systematic search strategies were used to identify relevant peer-reviewed journal articles from three electronic databases (SCOPUS, Web of Science and Science Direct) and grey literature reports from targeted government and industry websites. Accepted studies investigated drivers and/or barriers to seafood consumption in Australia through qualitative, quantitative, or mixed method designs. Initial searches identified 504 publications from which fourteen met the criteria for the review process. The reviewed studies revealed that influences on seafood consumption in Australia are similar to those identified in other developed countries. The leading drivers of seafood consumption are health, taste, and convenience, while the main barriers are price, availability, concerns about quality, and a lack of confidence in selecting and preparing seafood. Some possible intervention strategies targeted toward these factors are explored in the discussion. Future research should focus on designing and implementing specific interventions so that their effectiveness in increasing seafood consumption in Australia can be assessed.</t>
  </si>
  <si>
    <t>[Christenson, Julia K.; O'Kane, Gabrielle M.] Univ Canberra, Fac Hlth, Kirinari St, Bruce Act, ACT 2617, Australia; [Farmery, Anna K.] Univ Tasmania, Inst Marine &amp; Antarctic Studies, Hobart, Tas 7001, Australia; [McManus, Alexandra] Curtin Univ, Ctr Excellence Sci Seafood &amp; Hlth, Perth, WA, Australia</t>
  </si>
  <si>
    <t>University of Canberra; University of Tasmania; Curtin University</t>
  </si>
  <si>
    <t>O'Kane, GM (corresponding author), Univ Canberra, Hlth, Univ Dr, Canberra, ACT 2617, Australia.</t>
  </si>
  <si>
    <t>Gabrielle.OKane@canberra.edu.au</t>
  </si>
  <si>
    <t>Farmery, Anna/H-9696-2014; McManus, Alexandra/D-2952-2011</t>
  </si>
  <si>
    <t>Farmery, Anna/0000-0002-8938-0040; O'Kane, Gabrielle/0000-0003-4405-568X; McManus, Alexandra/0000-0002-3348-3809</t>
  </si>
  <si>
    <t>1470-6423</t>
  </si>
  <si>
    <t>1470-6431</t>
  </si>
  <si>
    <t>INT J CONSUM STUD</t>
  </si>
  <si>
    <t>Int. J. Consum. Stud.</t>
  </si>
  <si>
    <t>10.1111/ijcs.12342</t>
  </si>
  <si>
    <t>Business</t>
  </si>
  <si>
    <t>Business &amp; Economics</t>
  </si>
  <si>
    <t>ER1SL</t>
  </si>
  <si>
    <t>WOS:000398573300008</t>
  </si>
  <si>
    <t>Svec, P; Králová, S; Busse, HJ; Kleinhagauer, T; Pantucek, R; Maslanová, I; Cnockaert, M; Vandamme, P; Stanková, E; Gelbícová, T; Holochová, P; Barták, M; Kyrová, K; Sedlácek, I</t>
  </si>
  <si>
    <t>Svec, Pavel; Kralova, Stanislava; Busse, Hans-Juergen; Kleinhagauer, Tanita; Pantucek, Roman; Maslanova, Ivana; Cnockaert, Margo; Vandamme, Peter; Stankova, Eva; Gelbicova, Tereza; Holochova, Pavla; Bartak, Milos; Kyrova, Kamila; Sedlacek, Ivo</t>
  </si>
  <si>
    <t>Pedobacter jamesrossensis sp nov., Pedobacter lithocola sp nov., Pedobacter mendelii sp nov and Pedobacter petrophilus sp nov., isolated from the Antarctic environment</t>
  </si>
  <si>
    <t>Pedobacter jamesrossensis sp nov.; Pedobacter lithocola sp nov.; Pedobacter mendelii sp nov.; Pedobacter petrophilus sp nov.; James Ross Island; Antarctica</t>
  </si>
  <si>
    <t>LIPID-COMPOSITION; GENUS; FAMILY; CLASSIFICATION; IDENTIFICATION; HYBRIDIZATION; HEPARINUS; BACTERIA; SOIL</t>
  </si>
  <si>
    <t>A taxonomic study performed on 17 Gram-stain-negative rod-shaped bacterial strains originating from the Antarctic environment is described. Initial phylogenetic analysis using 16S rRNA gene sequencing differentiated the strains into four groups belonging to the genus Pedobacter but they were separated from all hitherto described Pedobacter species. Group I (n=8) was closest to Pedobacter aquatilis (97.8% 16S rRNA gene sequence similarity). Group II (n=2) and group III (n=4) were closely related (98.8% 16S rRNA gene sequence similarity) and had Pedobacter jejuensis as their common nearest neighbour. Group IV (n=3) was distantly delineated from the remaining Pedobacter species. Differentiation of the analysed strains into four clusters was further confirmed by repetitive sequence-based PCR fingerprinting, ribotyping, DNA-DNA hybridization and phenotypic traits. Common to representative strains for the four groups were the presence of major menaquinone MK-7, sym-homospermidine as the major polyamine, phosphatidylethanolamine, two unidentified lipids (L2, L5) and an unidentified aminolipid (AL2) as the major polar lipids, presence of an alkali-stable lipid, and C-16:1 omega 7c/C-16:1 omega 6c (summed feature 3), iso-C-15:0 and iso-C-17: 0 3-OH as the major fatty acids, which corresponded to characteristics of the genus Pedobacter. The obtained results showed that the strains analysed represent four novel species of the genus Pedobacter, for which the names Pedobacter jamesrossensis sp. nov. (type strain CCM 8689(T)=LMG 29684(T)), Pedobacter lithocola sp. nov. (CCM 8691(T)=LMG 29685(T)), Pedobacter mendelii sp. nov. (CCM 8685(T) =LMG 29688(T)) and Pedobacter petrophilus sp. nov. (CCM 8687(T)=LMG 29686(T)) are proposed.</t>
  </si>
  <si>
    <t>[Svec, Pavel; Kralova, Stanislava; Stankova, Eva; Gelbicova, Tereza; Holochova, Pavla; Kyrova, Kamila; Sedlacek, Ivo] Masaryk Univ, Czech Collect Microorganisms, Dept Expt Biol, Fac Sci, Kamenice 5, Brno 62500, Czech Republic; [Busse, Hans-Juergen; Kleinhagauer, Tanita] Univ Vet Med Vienna, Inst Microbiol, A-1210 Vienna, Austria; [Pantucek, Roman; Maslanova, Ivana] Masaryk Univ, Fac Sci, Dept Expt Biol, Sect Genet &amp; Mol Biol, Kotlarska 2, Brno 61137, Czech Republic; [Cnockaert, Margo; Vandamme, Peter] Univ Ghent, Dept Biochem &amp; Microbiol, Fac Sci, KL Ledeganckstr 35, B-9000 Ghent, Belgium; [Bartak, Milos] Masaryk Univ, Sect Physiol &amp; Anat Plants, Dept Expt Biol, Fac Sci, Kamenice 5, Brno 62500, Czech Republic</t>
  </si>
  <si>
    <t>Masaryk University Brno; University of Veterinary Medicine Vienna; Masaryk University Brno; Ghent University; Masaryk University Brno</t>
  </si>
  <si>
    <t>Svec, P (corresponding author), Masaryk Univ, Czech Collect Microorganisms, Dept Expt Biol, Fac Sci, Kamenice 5, Brno 62500, Czech Republic.</t>
  </si>
  <si>
    <t>mpavel@sci.muni.cz</t>
  </si>
  <si>
    <t>Svec, Pavel/B-1209-2008; Gelbicova, Tereza/AAR-2682-2021; Maslanova, Ivana/A-3081-2014; Sedlacek, Ivo/IWU-8828-2023; Barták, Miloš/F-4714-2019; Kralova, Stanislava/AAW-4815-2021; Vandamme, Peter AR/B-7967-2009; Vandamme, Peter/ABG-3431-2021; Pantůček, Roman/P-6758-2014; Bendickova, Kamila/D-1544-2017</t>
  </si>
  <si>
    <t>Svec, Pavel/0000-0002-1051-5177; Maslanova, Ivana/0000-0002-2597-2848; Kralova, Stanislava/0000-0003-3384-5328; Vandamme, Peter AR/0000-0002-5581-7937; Pantůček, Roman/0000-0002-3950-675X; Bendickova, Kamila/0000-0001-7767-1003</t>
  </si>
  <si>
    <t>Ministry of Education, Youth and Sports of the Czech Republic [LM2015078]</t>
  </si>
  <si>
    <t>Ministry of Education, Youth and Sports of the Czech Republic(Ministry of Education, Youth &amp; Sports - Czech Republic)</t>
  </si>
  <si>
    <t>We are grateful to the scientific infrastructure of the J. G. Mendel Czech Antarctic Station as a part of the Czech Polar Research Infrastructure (CzechPolar2) supported by the Ministry of Education, Youth and Sports of the Czech Republic (LM2015078). S. K. is a holder of Brno PhD Talent financial aid.</t>
  </si>
  <si>
    <t>10.1099/ijsem.0.001749</t>
  </si>
  <si>
    <t>WOS:000403696100060</t>
  </si>
  <si>
    <t>Bazzano, A; Latruwe, K; Grotti, M; Vanhaecke, F</t>
  </si>
  <si>
    <t>Bazzano, Andrea; Latruwe, Kris; Grotti, Marco; Vanhaecke, Frank</t>
  </si>
  <si>
    <t>Determination of the isotopic composition of sub-ng amounts of Sr in Antarctic snow by multi-collector ICP-mass spectrometry</t>
  </si>
  <si>
    <t>JOURNAL OF ANALYTICAL ATOMIC SPECTROMETRY</t>
  </si>
  <si>
    <t>EAST ANTARCTICA; SURFACE SNOW; AEOLIAN DUST; STRONTIUM; SAMPLES; PRECISION; SINGLE; DOME; MS; RATIO</t>
  </si>
  <si>
    <t>Determination of the Sr-87/Sr-86 isotope ratio in Antarctic snow can provide useful information on the sources of the atmospheric particulates in present and ancient times. However, precise and accurate determination of the Sr-87/Sr-86 ratio is challenging because of the low analyte concentration and the limited amount of sample typically available. In this work, Sr was first pre-concentrated 30-fold via evaporation, after which Sr was chromatographically isolated from the matrix (and thus separated from Rb, avoiding isobaric overlap of Sr-87 and Rb-87). Subsequently, the sensitivity of the multi-collector ICP-mass spectrometer was maximized by using an Aridus II membrane desolvating system, a high-transmission interface and 10(12) Omega amplifiers instead of the standard 10(11) Omega ones. With this instrumental setup, the repeatability for Sr-87/Sr-86 ratio measurements was 0.3 and 0.5&amp; RSD at 0.8 ng mL(-1) (or for 320 pg in the 0.4 mL of sample solution consumed) and at 0.4 ng mL(-1) (or for 160 pg) of Sr, respectively. The procedural blank was 2.5 +/- 0.5 pg and did not significantly affect the Sr-87/Sr-86 ratio measured using 160 pg of analyte (at 0.4 ng mL(-1)). The accuracy of the procedure was evaluated via replicate analysis of NIST SRM 987 SrCO3 isotopic reference material. The experimental data agreed with the accepted value within the experimental uncertainty both at 0.8 ng mL(-1) (for 320 pg) and at 0.4 ng mL(-1) (for 160 pg) of Sr. The method was applied to the analysis of Antarctic snow samples (30 g) containing 0.5-2.1 ng of Sr. The precision was fit for the purpose of discriminating between potential source areas (PSAs). The entire procedure required similar to 30 g of snow per sample, potentially enabling the contributions of PSAs to be unravelled with high temporal resolution.</t>
  </si>
  <si>
    <t>[Bazzano, Andrea; Grotti, Marco] Univ Genoa, Dept Chem &amp; Ind Chem, Via Dodecaneso 31, I-16146 Genoa, Italy; [Bazzano, Andrea; Latruwe, Kris; Vanhaecke, Frank] Univ Ghent, Dept Analyt Chem, Campus Sterre,Krijgslaan 281-S12, B-9000 Ghent, Belgium</t>
  </si>
  <si>
    <t>University of Genoa; Ghent University</t>
  </si>
  <si>
    <t>Vanhaecke, F (corresponding author), Univ Ghent, Dept Analyt Chem, Campus Sterre,Krijgslaan 281-S12, B-9000 Ghent, Belgium.</t>
  </si>
  <si>
    <t>Frank.Vanhaecke@UGent.be</t>
  </si>
  <si>
    <t>Vanhaecke, Frank/AAO-4582-2020; Grotti, Marco/HGU-3949-2022; Bazzano, Andrea/O-2879-2019</t>
  </si>
  <si>
    <t>Vanhaecke, Frank/0000-0002-1884-3853; Grotti, Marco/0000-0001-6956-5761; Bazzano, Andrea/0000-0002-9353-3919</t>
  </si>
  <si>
    <t>Italian National Program for Research in Antarctica [PNRA 14.00091, PNRA 16.00252]</t>
  </si>
  <si>
    <t>Italian National Program for Research in Antarctica(Ministry of Education, Universities and Research (MIUR))</t>
  </si>
  <si>
    <t>This study was financially supported by the Italian National Program for Research in Antarctica (projects PNRA 14.00091 and PNRA 16.00252). Thanks to Mrs Asha Debrabandere for his assistance with the clean-lab facility at Ghent University.</t>
  </si>
  <si>
    <t>ROYAL SOC CHEMISTRY</t>
  </si>
  <si>
    <t>THOMAS GRAHAM HOUSE, SCIENCE PARK, MILTON RD, CAMBRIDGE CB4 0WF, CAMBS, ENGLAND</t>
  </si>
  <si>
    <t>0267-9477</t>
  </si>
  <si>
    <t>1364-5544</t>
  </si>
  <si>
    <t>J ANAL ATOM SPECTROM</t>
  </si>
  <si>
    <t>J. Anal. At. Spectrom.</t>
  </si>
  <si>
    <t>10.1039/c7ja00062f</t>
  </si>
  <si>
    <t>Chemistry, Analytical; Spectroscopy</t>
  </si>
  <si>
    <t>Chemistry; Spectroscopy</t>
  </si>
  <si>
    <t>EU6BS</t>
  </si>
  <si>
    <t>WOS:000401119500011</t>
  </si>
  <si>
    <t>Obase, T; Abe-Ouchi, A; Kusahara, K; Hasumi, H; Ohgaito, R</t>
  </si>
  <si>
    <t>Obase, Takashi; Abe-Ouchi, Ayako; Kusahara, Kazuya; Hasumi, Hiroyasu; Ohgaito, Rumi</t>
  </si>
  <si>
    <t>Responses of Basal Melting of Antarctic Ice Shelves to the Climatic Forcing of the Last Glacial Maximum and CO2 Doubling</t>
  </si>
  <si>
    <t>FUTURE SEA-LEVEL; CIRCUMPOLAR DEEP-WATER; SOUTHERN-OCEAN; FRESH-WATER; SURFACE-TEMPERATURE; SHEET; MODEL; CIRCULATION; MELTWATER; DEGLACIATION</t>
  </si>
  <si>
    <t>Basal melting of the Antarctic ice shelves is an important factor in determining the stability of the Antarctic ice sheet. This study used the climatic outputs of an atmosphere-ocean general circulation model to force a circumpolar ocean model that resolves ice shelf cavity circulation to investigate the response of Antarctic ice shelf melting to different climatic conditions (i.e., to a doubling of CO2 and to the Last Glacial Maximum conditions). Sensitivity experiments were also conducted to investigate the roles of both surface atmospheric change and changes of oceanic lateral boundary conditions. It was found that the rate of change of basal melt due to climate warming is much greater (by an order of magnitude) than that due to cooling. This is mainly because the intrusion of warm water onto the continental shelves, linked to sea ice production and climate change, is crucial in determining the basal melt rate of many ice shelves. Sensitivity experiments showed that changes of atmospheric heat flux and ocean temperature are both important for warm and cold climates. The offshore wind change, together with atmospheric heat flux change, strongly affected the production of both sea ice and high-density water, preventing warmer water approaching the ice shelves under a colder climate. These results reflect the importance of both water mass formation in the Antarctic shelf seas and subsurface ocean temperature in understanding the long-term response to climate change of the melting of Antarctic ice shelves.</t>
  </si>
  <si>
    <t>[Obase, Takashi; Abe-Ouchi, Ayako; Kusahara, Kazuya; Hasumi, Hiroyasu] Univ Tokyo, Atmosphere &amp; Ocean Res Inst, Kashiwa, Chiba, Japan; [Abe-Ouchi, Ayako; Ohgaito, Rumi] Japan Agcy Marine Earth Sci &amp; Technol, Yokohama, Kanagawa, Japan; [Kusahara, Kazuya] Univ Tasmania, Antarctic Climate &amp; Ecosyst Cooperat Res Ctr, Hobart, Tas, Australia</t>
  </si>
  <si>
    <t>University of Tokyo; Japan Agency for Marine-Earth Science &amp; Technology (JAMSTEC); University of Tasmania; Antarctic Climate &amp; Ecosystems Cooperative Research Centre (ACE CRC)</t>
  </si>
  <si>
    <t>Obase, T (corresponding author), Univ Tokyo, Atmosphere &amp; Ocean Res Inst, Kashiwa, Chiba, Japan.</t>
  </si>
  <si>
    <t>obase@aori.u-tokyo.ac.jp</t>
  </si>
  <si>
    <t>Ohgaito, Rumi/O-7968-2018; Abe-Ouchi, Ayako A/M-6359-2013</t>
  </si>
  <si>
    <t>Abe-Ouchi, Ayako A/0000-0003-1745-5952; Ohgaito, Rumi/0000-0002-5717-1594; Kusahara, Kazuya/0000-0003-4067-7959</t>
  </si>
  <si>
    <t>JSPS KAKENHI [25241005]; Environment Research and Technology Development Fund of the Ministry of the Environment, Japan [S-10]; Grants-in-Aid for Scientific Research [25241005, 15H05825, 15H02131, 17H06323] Funding Source: KAKEN</t>
  </si>
  <si>
    <t>JSPS KAKENHI(Ministry of Education, Culture, Sports, Science and Technology, Japan (MEXT)Japan Society for the Promotion of ScienceGrants-in-Aid for Scientific Research (KAKENHI)); Environment Research and Technology Development Fund of the Ministry of the Environment, Japan(Ministry of the Environment, Japan); Grants-in-Aid for Scientific Research(Ministry of Education, Culture, Sports, Science and Technology, Japan (MEXT)Japan Society for the Promotion of ScienceGrants-in-Aid for Scientific Research (KAKENHI))</t>
  </si>
  <si>
    <t>We appreciate the work of the three anonymous reviewers whose comments helped us improve the manuscript. This research was supported by JSPS KAKENHI Grant 25241005 and the Environment Research and Technology Development Fund (S-10) of the Ministry of the Environment, Japan. We performed numerical simulations on the Oakleaf-FX at the University of Tokyo and the Earth Simulator at JAMSTEC.</t>
  </si>
  <si>
    <t>10.1175/JCLI-D-15-0908.1</t>
  </si>
  <si>
    <t>ES6SV</t>
  </si>
  <si>
    <t>Green Submitted, hybrid</t>
  </si>
  <si>
    <t>WOS:000399680600001</t>
  </si>
  <si>
    <t>Youm, K; Seo, KW; Jeon, T; Na, SH; Chen, JL; Wilson, CR</t>
  </si>
  <si>
    <t>Youm, Kookhyoun; Seo, Ki-Weon; Jeon, Taehwan; Na, Sung-Ho; Chen, Jianli; Wilson, Clark R.</t>
  </si>
  <si>
    <t>Ice and groundwater effects on long term polar motion (1979-2010)</t>
  </si>
  <si>
    <t>JOURNAL OF GEODYNAMICS</t>
  </si>
  <si>
    <t>Earth rotation; Polar motion; Ice mass balance; Groundwater</t>
  </si>
  <si>
    <t>SURFACE MASS-BALANCE; SEA-LEVEL; GREENLAND; EXCITATIONS; ACCELERATION; VARIABILITY; ANTARCTICA; BUDGET</t>
  </si>
  <si>
    <t>We examine Earth's polar motion (PM) for the years 1979-2010 to understand climate related sources of PM excitation at periods longer than a year, and to investigate Antarctic and Greenland ice mass balance contributions to long period PM. There is particular interest in years prior to the GRACE mission (prior to 2002). Although long period PM is dominantly a measure of changes in two spherical harmonic Stokes coefficients (Delta C-21 and Delta S-21), we remove excitations due to winds and Currents by estimating them from ERA-Interim winds and GECCO2 currents. PM estimates of Delta C-21 and Delta S-21 are compared with model estimates of contributions from the atmosphere, oceans, water stored on the continents, and polar ice sheets. We also include contributions from groundwater depletion and mountain glaciers. PM Stokes coefficient variations agree very well with model estimates over inter-annual time scales. For Delta C-21 we find good agreement at long periods, with a common long-period (quadratic) variation, but not for Delta S-21. This suggests deficiencies in understanding long period ice mass variations in Antarctica and/or groundwater mass changes in Eurasia and North America. (C) 2017 Elsevier Ltd. All rights reserved.</t>
  </si>
  <si>
    <t>[Youm, Kookhyoun; Seo, Ki-Weon; Jeon, Taehwan] Seoul Natl Univ, Dept Earth Sci Educ, Seoul 08826, South Korea; [Na, Sung-Ho] Ajou Univ, Dept Space Survey Informat Technol, Suwon 16499, South Korea; [Chen, Jianli; Wilson, Clark R.] Univ Texas Austin, Ctr Space Res, Austin, TX 78759 USA; [Wilson, Clark R.] Univ Texas Austin, Jackson Sch Geosci, Dept Geol Sci, Austin, TX 78712 USA</t>
  </si>
  <si>
    <t>Seoul National University (SNU); Ajou University; University of Texas System; University of Texas Austin; University of Texas System; University of Texas Austin</t>
  </si>
  <si>
    <t>Seo, KW (corresponding author), Seoul Natl Univ, Dept Earth Sci Educ, Seoul 08826, South Korea.</t>
  </si>
  <si>
    <t>seokiweon@snu.ac.kr</t>
  </si>
  <si>
    <t>Seo, Ki-weon/AAH-7729-2021</t>
  </si>
  <si>
    <t>Seo, Ki-weon/0000-0001-5523-4996; Chen, Jianli/0000-0001-5405-8441</t>
  </si>
  <si>
    <t>Korea Polar Research Institute (KOPRI) [PM16020]; Korea Meteorological Industry Promotion Agency (KMIPA) [KMIPA2015-3033]; Together Science Education for the Future (TOSEF BK 21 PLUS); NASA GRACE Science Program [NNX12AJ97G]; NASA ESI Program [NNX12AM86G]; NASA [43437, NNX12AJ97G, 69722, NNX12AM86G] Funding Source: Federal RePORTER</t>
  </si>
  <si>
    <t>Korea Polar Research Institute (KOPRI); Korea Meteorological Industry Promotion Agency (KMIPA); Together Science Education for the Future (TOSEF BK 21 PLUS); NASA GRACE Science Program; NASA ESI Program; NASA(National Aeronautics &amp; Space Administration (NASA))</t>
  </si>
  <si>
    <t>This study was supported by Korea Polar Research Institute (KOPRI) research grant PM16020, Korea Meteorological Industry Promotion Agency (KMIPA) research grant KMIPA2015-3033 and Together Science Education for the Future (TOSEF BK 21 PLUS). Chen and Wilson were supported by the NASA GRACE Science Program (NNX12AJ97G) and NASA ESI Program (NNX12AM86G). We thank Yoshihide Wada for providing the groundwater depletion data. EOP and mountain glaciers data are obtained from IERS (http://www.iers.org) and NSIDC (http://nsidc.org/data/G10002), respectively. Numerical models of ECMWF, GECCO2 and GLDAS-2 data are obtained from ECMWF (http://apps.ecmwf.int/datasets), Integrated Climate Data Center (http://icdc.zmaw.de) and Goddard Earth Sciences Data and Information Services Center (http://disc.sci.gsfc.nasa.gov), respectively.</t>
  </si>
  <si>
    <t>0264-3707</t>
  </si>
  <si>
    <t>J GEODYN</t>
  </si>
  <si>
    <t>J. Geodyn.</t>
  </si>
  <si>
    <t>10.1016/j.jog.2017.01.008</t>
  </si>
  <si>
    <t>ES6AA</t>
  </si>
  <si>
    <t>WOS:000399627000006</t>
  </si>
  <si>
    <t>Ashmore, DW; Hubbard, B; Luckman, A; Kulessa, B; Bevan, S; Booth, A; Munneke, PK; O'Leary, M; Sevestre, H; Holland, PR</t>
  </si>
  <si>
    <t>Ashmore, David W.; Hubbard, Bryn; Luckman, Adrian; Kulessa, Bernd; Bevan, Suzanne; Booth, Adam; Munneke, Peter Kuipers; O'Leary, Martin; Sevestre, Heidi; Holland, Paul R.</t>
  </si>
  <si>
    <t>Ice and firn heterogeneity within Larsen C Ice Shelf from borehole optical televiewing</t>
  </si>
  <si>
    <t>JOURNAL OF GEOPHYSICAL RESEARCH-EARTH SURFACE</t>
  </si>
  <si>
    <t>ice shelves; Antarctica; glaciology</t>
  </si>
  <si>
    <t>ANTARCTIC PENINSULA; DENSITY; MELT</t>
  </si>
  <si>
    <t>We use borehole optical televiewing (OPTV) to explore the internal structure of Larsen C Ice Shelf (LCIS). We report a suite of five similar to 90m long OPTV logs, recording a light-emitting diode-illuminated, geometrically correct image of the borehole wall, from the northern and central sectors of LCIS collected during austral spring 2014 and 2015. We use a thresholding-based technique to estimate the refrozen ice content of the ice column and exploit a recently calibrated density-luminosity relationship to reveal its structure. All sites are dense and strongly influenced by surface melt, with frequent refrozen ice layers and mean densities, between the depths of 1.87 and 90m, ranging from 862 to 894kgm(-3). We define four distinct units that comprise LCIS and relate these to ice provenance, dynamic history, and past melt events. These units are in situ meteoric ice with infiltration ice (U1), meteoric ice which has undergone enhanced densification (U2), thick refrozen ice (U3), and advected continental ice (U4). We show that the OPTV-derived pattern of firn air content is consistent with previous estimates, but that a significant proportion of firn air is contained within U4, which we interpret to have been deposited inland of the grounding line. The structure of LCIS is strongly influenced by the E-W gradient in fohn-driven melting, with sites close to the Antarctic Peninsula being predominantly composed of refrozen ice. Melting is also substantial toward the ice shelf center with &gt;40% of the overall imaged ice column being composed of refrozen ice.</t>
  </si>
  <si>
    <t>[Ashmore, David W.; Hubbard, Bryn] Aberystwyth Univ, Dept Geog &amp; Earth Sci, Ctr Glaciol, Aberystwyth, Dyfed, Wales; [Ashmore, David W.] Univ Liverpool, Sch Environm Sci, Liverpool, Merseyside, England; [Luckman, Adrian; Kulessa, Bernd; Bevan, Suzanne; O'Leary, Martin] Swansea Univ, Geog Dept, Coll Sci, Swansea, W Glam, Wales; [Booth, Adam] Univ Leeds, Sch Earth &amp; Environm, Leeds, W Yorkshire, England; [Munneke, Peter Kuipers] Univ Utrecht, IMAU, Utrecht, Netherlands; [Sevestre, Heidi] Univ St Andrews, Sch Geog &amp; Geosci, St Andrews, Fife, Scotland; [Holland, Paul R.] British Antarctic Survey, Cambridge, England</t>
  </si>
  <si>
    <t>Aberystwyth University; University of Liverpool; Swansea University; University of Leeds; Utrecht University; University of St Andrews; UK Research &amp; Innovation (UKRI); Natural Environment Research Council (NERC); NERC British Antarctic Survey</t>
  </si>
  <si>
    <t>Ashmore, DW (corresponding author), Aberystwyth Univ, Dept Geog &amp; Earth Sci, Ctr Glaciol, Aberystwyth, Dyfed, Wales.;Ashmore, DW (corresponding author), Univ Liverpool, Sch Environm Sci, Liverpool, Merseyside, England.</t>
  </si>
  <si>
    <t>d.ashmore@liverpool.ac.uk</t>
  </si>
  <si>
    <t>Holland, Paul R/G-2796-2012; Luckman, Adrian/GVS-1716-2022</t>
  </si>
  <si>
    <t>Kulessa, Bernd/0000-0002-4830-4949; Ashmore, David/0000-0003-4829-7854; Hubbard, Bryn/0000-0002-3565-3875; Bevan, Suzanne/0000-0003-2649-2982; Booth, Adam/0000-0002-8166-9608; Luckman, Adrian/0000-0002-9618-5905</t>
  </si>
  <si>
    <t>UK Natural Environmental Research Council [NE/L006707/1, NE/L005409/1]; HEFCW/Aberystwyth University Capital Equipment Grant; NERC [bas0100033, NE/L005409/1, NE/J013544/1, NE/L006707/1] Funding Source: UKRI; Natural Environment Research Council [NE/J013544/1, NE/L006707/1, bas0100033, NE/L005409/1, smru10001] Funding Source: researchfish</t>
  </si>
  <si>
    <t>UK Natural Environmental Research Council(UK Research &amp; Innovation (UKRI)Natural Environment Research Council (NERC)); HEFCW/Aberystwyth University Capital Equipment Grant; NERC(UK Research &amp; Innovation (UKRI)Natural Environment Research Council (NERC)); Natural Environment Research Council(UK Research &amp; Innovation (UKRI)Natural Environment Research Council (NERC))</t>
  </si>
  <si>
    <t>Research was funded by the UK Natural Environmental Research Council grants NE/L006707/1 and NE/L005409/1 and a HEFCW/Aberystwyth University Capital Equipment Grant to B.H. Thanks to British Antarctic Survey logistics and field guides for assistance during data collection. Thanks to the Editor and anonymous reviewers for their comments which much improved the manuscript. Data will be available via the project website (www.projectmidas.org) and the UK Polar Data Centre (https://www.bas.ac.uk/data/uk-pdc/) from mid-2017. Authors declare no conflicts of interest.</t>
  </si>
  <si>
    <t>2169-9003</t>
  </si>
  <si>
    <t>2169-9011</t>
  </si>
  <si>
    <t>J GEOPHYS RES-EARTH</t>
  </si>
  <si>
    <t>J. Geophys. Res.-Earth Surf.</t>
  </si>
  <si>
    <t>10.1002/2016JF004047</t>
  </si>
  <si>
    <t>EX5ZQ</t>
  </si>
  <si>
    <t>Green Submitted, Green Accepted, hybrid, Green Published</t>
  </si>
  <si>
    <t>WOS:000403322100004</t>
  </si>
  <si>
    <t>Lee, SK; Volkov, DL; Lopez, H; Cheon, WG; Gordon, AL; Liu, YY; Wanninkhof, R</t>
  </si>
  <si>
    <t>Lee, Sang-Ki; Volkov, Denis L.; Lopez, Hosmay; Cheon, Woo Geun; Gordon, Arnold L.; Liu, Yanyun; Wanninkhof, Rik</t>
  </si>
  <si>
    <t>Wind-driven ocean dynamics impact on the contrasting sea-ice trends around West Antarctica</t>
  </si>
  <si>
    <t>Antarctic sea-ice trend; ocean and sea-ice modeling; ocean dynamics; Weddell Gyre; Amundsen Sea; Bellingshausen Sea</t>
  </si>
  <si>
    <t>INTERHEMISPHERIC INFLUENCE; WEDDELL POLYNYA; CLIMATE-CHANGE; FRESH-WATER; VARIABILITY; MODEL; SOUTH; OZONE; KRILL; INTERMEDIATE</t>
  </si>
  <si>
    <t>Since late 1978, Antarctic sea-ice extent in the East Pacific has retreated persistently over the Amundsen and Bellingshausen Seas in warm seasons, but expanded over the Ross and Amundsen Seas in cold seasons, while almost opposite seasonal trends have occurred in the Atlantic over the Weddell Sea. By using a surface-forced ocean and sea-ice coupled model, we show that regional wind-driven ocean dynamics played a key role in driving these trends. In the East Pacific, the strengthening Southern Hemisphere (SH) westerlies in the region enhanced the Ekman upwelling of warm upper Circumpolar Deep Water and increased the northward Ekman transport of cold Antarctic surface water. The associated surface ocean warming south of 68 degrees S and the cooling north of 68 degrees S directly contributed to the retreat of sea-ice in warm seasons and the expansion in cold seasons, respectively. In the Atlantic, the poleward shifting SH westerlies in the region strengthened the northern branch of the Weddell Gyre, which in turn increased the meridional thermal gradient across it as constrained by the thermal wind balance. Ocean heat budget analysis further suggests that the strengthened northern branch of the Weddell Gyre acted as a barrier against the poleward ocean heat transport, and thus produced anomalous heat divergence within the Weddell Gyre and anomalous heat convergence north of the gyre. The associated cooling within the Weddell Gyre and the warming north of the gyre contributed to the expansion of sea-ice in warm seasons and the retreat in cold seasons, respectively.</t>
  </si>
  <si>
    <t>[Lee, Sang-Ki; Volkov, Denis L.; Lopez, Hosmay; Liu, Yanyun; Wanninkhof, Rik] NOAA, Atlantic Oceanog &amp; Meteorol Lab, Miami, FL 33149 USA; [Volkov, Denis L.; Lopez, Hosmay; Liu, Yanyun] Univ Miami, Cooperat Inst Marine &amp; Atmospher Studies, Miami, FL USA; [Cheon, Woo Geun] Agcy Def Dev, R&amp;D Inst 6 1, Chang Won, South Korea; [Gordon, Arnold L.] Columbia Univ, Lamont Doherty Earth Observ, Earth Inst, Palisades, NY USA</t>
  </si>
  <si>
    <t>National Oceanic Atmospheric Admin (NOAA) - USA; Atlantic Oceanographic &amp; Meteorological Laboratory (AOML); University of Miami; Agency of Defense Development (ADD), Republic of Korea; Columbia University</t>
  </si>
  <si>
    <t>Lee, SK (corresponding author), NOAA, Atlantic Oceanog &amp; Meteorol Lab, Miami, FL 33149 USA.</t>
  </si>
  <si>
    <t>Sang-Ki.Lee@noaa.gov</t>
  </si>
  <si>
    <t>Lee, Sang-Ki/A-5703-2011; Lopez, Hosmay/M-3278-2015; Volkov, Denis/A-6079-2011; Liu, Yanyun/A-5785-2011; Gordon, Arnold L./H-1049-2011</t>
  </si>
  <si>
    <t>Lee, Sang-Ki/0000-0002-4047-3545; Lopez, Hosmay/0000-0002-8422-8699; Volkov, Denis/0000-0002-9290-0502; Liu, Yanyun/0000-0002-9754-6370; Gordon, Arnold L./0000-0001-6480-6095</t>
  </si>
  <si>
    <t>NOAA's Climate Program Office, Climate Variability and Predictability Program [GC16-207]; NOAA's Atlantic Oceanographic and Meteorological Laboratory; CICAR from NOAA [NA08OAR4320754]</t>
  </si>
  <si>
    <t>NOAA's Climate Program Office, Climate Variability and Predictability Program; NOAA's Atlantic Oceanographic and Meteorological Laboratory(National Oceanic Atmospheric Admin (NOAA) - USA); CICAR from NOAA</t>
  </si>
  <si>
    <t>We would like to sincerely thank two anonymous reviewers for their thorough reviews and thoughtful comments and suggestions, which led to a significant improvement of the paper. S.-K. Lee acknowledges Steven Yeager for useful discussions on the CESM1 model simulations, Greg Foltz for helpful comments and suggestions, and Libby Johns for proofreading the manuscript. The Hadley Center sea-ice and SST data sets were provided by UK Met Office at http://www.metoffice.gov.uk/hadobs/hadisst, 20CR and MERRA surface flux data sets were, respectively, provided by NOAA/ESRL/PSD at http://www.esrl.noaa.gov/psd, and by NASA/GSFC/GMAO at http://gmao.gsfc.nasa.gov/reanalysis/MERRA. This work was supported by NOAA's Climate Program Office, Climate Variability and Predictability Program (award GC16-207), and NOAA's Atlantic Oceanographic and Meteorological Laboratory. A. L. Gordon acknowledges support provided under the CICAR award NA08OAR4320754 from NOAA. Lamont-Doherty Earth Observatory contribution 8104.</t>
  </si>
  <si>
    <t>10.1002/2016JC012416</t>
  </si>
  <si>
    <t>WOS:000404363600048</t>
  </si>
  <si>
    <t>Chapman, CC</t>
  </si>
  <si>
    <t>Chapman, Christopher C.</t>
  </si>
  <si>
    <t>New Perspectives on Frontal Variability in the Southern Ocean</t>
  </si>
  <si>
    <t>ANTARCTIC CIRCUMPOLAR CURRENT; POLAR FRONT; EDDY DIFFUSIVITY; JETS; TRANSPORT; ALTIMETRY; IDENTIFICATION; TOPOGRAPHY; DYNAMICS; LOCATION</t>
  </si>
  <si>
    <t>The frontal structure of the Southern Ocean is investigated using the Wavelet/Higher Order Statistics Enhancement (WHOSE) frontal detection method, introduced in Chapman's work. This methodology is applied to 21 yr of daily gridded absolute dynamic topography (ADT) data to obtain daily maps of the locations of the fronts. By forming frontal occurrence frequency maps and then approximating these occurrence maps by a superposition of simple functions, the time-mean locations of the fronts, as well as a measure of their capacity to meander, are obtained and related to the frontal locations found by previous studies. The spatial and temporal variability of the frontal structure is then considered. The number of fronts is found to be highly variable throughout the Southern Ocean, increasing (splitting) downstream of large bathymetric features and decreasing (merging) in regions where the fronts are tightly controlled by the underlying topography. These splitting/merging events are related to changes in the underlying frontal structure whereby regions of high frontal occurrence cross or spread over streamfunction contours. In contrast to the number of fronts, frontal meandering remains relatively constant throughout the Southern Ocean. Little to no migration of the fronts over the 1993-2014 time period is found, and there is only weak sensitivity of frontal positions to atmospheric forcing related to the southern annular mode or the El Nino-Southern Oscillation. Finally, the implications of these results for the study of cross-stream tracer transport are discussed.</t>
  </si>
  <si>
    <t>[Chapman, Christopher C.] Univ Paris 06, LOCEAN IPSL, Paris, France</t>
  </si>
  <si>
    <t>Sorbonne Universite; Museum National d'Histoire Naturelle (MNHN)</t>
  </si>
  <si>
    <t>Chapman, CC (corresponding author), Univ Paris 06, LOCEAN IPSL, Paris, France.</t>
  </si>
  <si>
    <t>chris.chapman.28@gmail.com</t>
  </si>
  <si>
    <t>Chapman, Christopher/AAV-2844-2021</t>
  </si>
  <si>
    <t>Chapman, Christopher/0000-0002-0877-4778</t>
  </si>
  <si>
    <t>National Science Foundation Division of Ocean Sciences Postdoctoral Fellowship [1521508]; Division Of Ocean Sciences; Directorate For Geosciences [1521508] Funding Source: National Science Foundation</t>
  </si>
  <si>
    <t>National Science Foundation Division of Ocean Sciences Postdoctoral Fellowship; Division Of Ocean Sciences; Directorate For Geosciences(National Science Foundation (NSF)NSF - Directorate for Geosciences (GEO))</t>
  </si>
  <si>
    <t>This research was funded by a National Science Foundation Division of Ocean Sciences Postdoctoral Fellowship 1521508. The author thanks Robert Graham, Sabine Arnault, Andrew Shao, and an anonymous reviewer for comments on an earlier draft of this manuscript and Jean-Baptiste Sallee for useful discussions and encouragement.</t>
  </si>
  <si>
    <t>10.1175/JPO-D-16-0222.1</t>
  </si>
  <si>
    <t>EV0UV</t>
  </si>
  <si>
    <t>WOS:000401462000012</t>
  </si>
  <si>
    <t>Echaurren, A; Oliveros, V; Folguera, A; Ibarra, F; Creixell, C; Lucassen, F</t>
  </si>
  <si>
    <t>Echaurren, Andres; Oliveros, Veronica; Folguera, Andres; Ibarra, Federico; Creixell, Christian; Lucassen, Friedrich</t>
  </si>
  <si>
    <t>Early Andean tectonomagmatic stages in north Patagonia: insights from field and geochemical data</t>
  </si>
  <si>
    <t>JOURNAL OF THE GEOLOGICAL SOCIETY</t>
  </si>
  <si>
    <t>SOUTHERN VOLCANIC ZONE; ANTARCTIC PENINSULA; ARC MAGMAS; GONDWANA MARGIN; BREAK-UP; METAMORPHIC COMPLEXES; ACCRETIONARY COMPLEX; TECTONIC EVOLUTION; CRUSTAL THICKNESS; WATER-CONTENT</t>
  </si>
  <si>
    <t>The Andes in northern Patagonia are mainly formed by Mesozoic magmatic units: the mostly Jurassic-Cretaceous North Patagonian Batholith and volcanism of the Jurassic Lago La Plata (Ibanez) Formation as well as the mid-Cretaceous Divisadero Group. These rocks represent the development of a magmatic belt through Jurassic-mid-Cretaceous time, during a switch of the tectonic regime from extension to compression. To study arc evolution during this transition, we carried out fieldwork and geochemical sampling at c. 43 degrees S, clarifying structural relationships and characterizing the magmatic sources. Multi-element diagrams for both volcanic units suggest a slab-derived signature, whereas isotopic ratios (Sr-Nd-Pb) indicate parental melts sourced from the subduction-modified asthenospheric mantle interacting with crustal sources during their emplacement. An angular unconformity is identified between the synextensional Jurassic volcanic rocks and Lower Cretaceous sedimentary rocks beneath the mid-Cretaceous sequences. Although this deformational event was simultaneous with generalized overriding plate compression, geochemical ratios indicate an immature Aptian-Albian arc with no associated crustal thickening. Late Jurassic to mid-Cretaceous arc settlement after a trenchward retraction of magmatism from the foreland between c. 41 and 45 degrees S, with an associated increase in slab dip angle, may have provoked crustal softening facilitating the subsequent initial fold-thrust belt growth.</t>
  </si>
  <si>
    <t>[Echaurren, Andres; Folguera, Andres; Ibarra, Federico] Univ Buenos Aires, CONICET, Fac Ciencias Exactas &amp; Nat, Inst Estudi Andin, C1428EHA, Buenos Aires, DF, Argentina; [Oliveros, Veronica] Univ Concepcion, Dept Ciencias Tierra, Concepcion 4030000, Chile; [Creixell, Christian] Serv Nacl Geol &amp; Mineria, Santiago 7500000, Chile; [Lucassen, Friedrich] Univ Bremen, Ctr Marine Environm Sci, Dept Geosci &amp; MARUM, Isotope Geochem Lab, D-28334 Bremen, Germany</t>
  </si>
  <si>
    <t>Consejo Nacional de Investigaciones Cientificas y Tecnicas (CONICET); University of Buenos Aires; Universidad de Concepcion; University of Bremen</t>
  </si>
  <si>
    <t>Echaurren, A (corresponding author), Univ Buenos Aires, CONICET, Fac Ciencias Exactas &amp; Nat, Inst Estudi Andin, C1428EHA, Buenos Aires, DF, Argentina.</t>
  </si>
  <si>
    <t>andresechaurren@gmail.com</t>
  </si>
  <si>
    <t>Creixell, Christian E/M-3301-2015; Creixell, Christian/HNR-3838-2023; Ibarra, Federico/AAA-5796-2022; Oliveros, Veronica/W-5294-2019</t>
  </si>
  <si>
    <t>Creixell, Christian/0000-0001-9355-2696; Ibarra, Federico/0000-0003-4623-8359; Oliveros, Veronica/0000-0002-9455-7736; folguera, andres/0000-0001-8965-8543</t>
  </si>
  <si>
    <t>PIP [11220150100426CO]; UBACYT [20020150100166BA]; Proyecto Fondecyt [1120715]</t>
  </si>
  <si>
    <t>PIP; UBACYT; Proyecto Fondecyt(Comision Nacional de Investigacion Cientifica y Tecnologica (CONICYT)CONICYT FONDECYT)</t>
  </si>
  <si>
    <t>This study was financed by PIP 11220150100426CO, UBACYT 20020150100166BA and Proyecto Fondecyt 1120715. This is an R-212 contribution of the Instituto de Estudios Andinos 'Don Pablo Groeber'. We thank T. Riley and an anonymous reviewer for their constructive reviews that improved the original paper, and L. Kirstein for the helpful editorial handling. We are also grateful to G. Gianni, F. Boedo, J. Tobal, L. Fernandez Paz, V. Litvak and J. Likerman for fruitful discussions.</t>
  </si>
  <si>
    <t>GEOLOGICAL SOC PUBL HOUSE</t>
  </si>
  <si>
    <t>BATH</t>
  </si>
  <si>
    <t>UNIT 7, BRASSMILL ENTERPRISE CENTRE, BRASSMILL LANE, BATH BA1 3JN, AVON, ENGLAND</t>
  </si>
  <si>
    <t>0016-7649</t>
  </si>
  <si>
    <t>2041-479X</t>
  </si>
  <si>
    <t>J GEOL SOC LONDON</t>
  </si>
  <si>
    <t>J. Geol. Soc.</t>
  </si>
  <si>
    <t>10.1144/jgs2016-087</t>
  </si>
  <si>
    <t>EU4QH</t>
  </si>
  <si>
    <t>WOS:000401014500003</t>
  </si>
  <si>
    <t>Messas, N; Tanguay, JF; Lordkipanidzé, M</t>
  </si>
  <si>
    <t>Messas, Nathan; Tanguay, Jean-Francois; Lordkipanidze, Marie</t>
  </si>
  <si>
    <t>Tailored antiplatelet therapy in high-risk ACS patients treated with PCI stenting: lessons from the ANTARCTIC trial</t>
  </si>
  <si>
    <t>JOURNAL OF THORACIC DISEASE</t>
  </si>
  <si>
    <t>PERCUTANEOUS CORONARY INTERVENTION; TREATMENT PLATELET REACTIVITY; DRUG-ELUTING STENTS; PRASUGREL 10 MG; ADENOSINE-DIPHOSPHATE; RANDOMIZED-TRIAL; CLOPIDOGREL; INHIBITION; DEFINITION; PLACEMENT</t>
  </si>
  <si>
    <t>[Messas, Nathan; Tanguay, Jean-Francois] Montreal Heart Inst, Dept Med, Montreal, PQ, Canada; [Tanguay, Jean-Francois] Univ Montreal, Fac Med, Montreal, PQ, Canada; [Lordkipanidze, Marie] Univ Montreal, Fac Pharm, Montreal, PQ, Canada; [Lordkipanidze, Marie] Montreal Heart Inst, Res Ctr, 5000 Rue Belanger, Montreal, PQ H1T 1C8, Canada</t>
  </si>
  <si>
    <t>Universite de Montreal; Universite de Montreal; Universite de Montreal; Universite de Montreal</t>
  </si>
  <si>
    <t>Lordkipanidzé, M (corresponding author), Montreal Heart Inst, Res Ctr, 5000 Rue Belanger, Montreal, PQ H1T 1C8, Canada.</t>
  </si>
  <si>
    <t>marie.lordkipanidze@umontreal.ca</t>
  </si>
  <si>
    <t>Lordkipanidzé, Marie/E-6222-2011</t>
  </si>
  <si>
    <t>Lordkipanidzé, Marie/0000-0001-7418-6766</t>
  </si>
  <si>
    <t>Fonds de recherche du Quebec - Sante (FRQS) [33048]</t>
  </si>
  <si>
    <t>Fonds de recherche du Quebec - Sante (FRQS)(Fonds de recherche du Quebec (FRQ)Fonds de recherche du Quebec - Sante (FRQS))</t>
  </si>
  <si>
    <t>M Lordkipanidze is a Fonds de recherche du Quebec - Sante (FRQS) Research Scholar (award number 33048).</t>
  </si>
  <si>
    <t>PIONEER BIOSCIENCE PUBL CO</t>
  </si>
  <si>
    <t>HONG KONG</t>
  </si>
  <si>
    <t>9A GOLD SHINE TOWER, 346-348 QUEEN'S RD CENTRAL, SHEUNG WAN, HONG KONG, 00000, PEOPLES R CHINA</t>
  </si>
  <si>
    <t>2072-1439</t>
  </si>
  <si>
    <t>2077-6624</t>
  </si>
  <si>
    <t>J THORAC DIS</t>
  </si>
  <si>
    <t>J. Thorac. Dis.</t>
  </si>
  <si>
    <t>E440</t>
  </si>
  <si>
    <t>E443</t>
  </si>
  <si>
    <t>10.21037/jtd.2017.04.46</t>
  </si>
  <si>
    <t>Respiratory System</t>
  </si>
  <si>
    <t>EZ3VY</t>
  </si>
  <si>
    <t>WOS:000404639800043</t>
  </si>
  <si>
    <t>Herman, RW; Valls, FCL; Hart, T; Petry, MV; Trivelpiece, WZ; Polito, MJ</t>
  </si>
  <si>
    <t>Herman, Rachael W.; Valls, Fernanda C. L.; Hart, Tom; Petry, Maria V.; Trivelpiece, Wayne Z.; Polito, Michael J.</t>
  </si>
  <si>
    <t>Seasonal consistency and individual variation in foraging strategies differ among and within Pygoscelis penguin species in the Antarctic Peninsula region</t>
  </si>
  <si>
    <t>STABLE-ISOTOPE SIGNATURES; SOUTH SHETLAND ISLANDS; KING-GEORGE-ISLAND; CHINSTRAP PENGUINS; MARINE PREDATOR; GENTOO PENGUIN; FALKLAND ISLANDS; TROPHIC ECOLOGY; KERGUELEN ISLANDS; DIET COMPOSITION</t>
  </si>
  <si>
    <t>Past research during the breeding season in the Antarctic Peninsula region indicates that gentoo penguins (Pygoscelis papua) are generalist foragers whereas Adelie (P. adeliae) and chinstrap (P. antarcticus) penguins tend to specialize on Antarctic krill (Euphausia superba). However, little is known about the degree of temporal consistency in the diets and foraging habitats of these three species, particularly at the individual level. Such year-round and interannual dietary understanding is important to help interpret contrasting trends in their populations. We used carbon and nitrogen stable isotope analysis of blood and feathers to evaluate seasonal shifts in diet and individual foraging consistency within Pygoscelis penguin species breeding in the South Shetland Islands as well as among three geographically distinct gentoo penguin populations in the western Antarctic Peninsula and South Shetland Islands. We found that gentoo penguins exhibited a generalist foraging strategy with individual consistency, Adelie penguins exhibited an intermediate generalist foraging strategy with little individual consistency, and chinstrap penguins exhibited a specialized diet with little inter-individual variation. Our results also indicated that all three species have greater variation in foraging habitat use during the post-breeding season compared to the breeding season. Finally, we observed differences in the degree of seasonal shifts in population level diet and consistency in foraging strategies at the individual level across the three gentoo penguin populations examined. This suggests that Pygoscelis penguins can differ in diets and foraging habitat use not only at the population level among species, sites, and seasons, but also in the level of variation within populations, and in the degree of seasonal consistency among individuals.</t>
  </si>
  <si>
    <t>[Herman, Rachael W.; Polito, Michael J.] Louisiana State Univ, Dept Oceanog &amp; Coastal Sci, Baton Rouge, LA 70803 USA; [Valls, Fernanda C. L.; Petry, Maria V.] Univ Vale Rio dos Sinos, Inst Nacl Ciencias &amp; Tecnol Antartico Pesquisas A, Sao Leopoldo, RS, Brazil; [Hart, Tom] Univ Oxford, Dept Zool, Oxford OX1 3PS, England; [Trivelpiece, Wayne Z.] 5959 Shoreline Hwy, Bolinas, CA 94924 USA</t>
  </si>
  <si>
    <t>Louisiana State University System; Louisiana State University; Universidade do Vale do Rio dos Sinos (Unisinos); University of Oxford</t>
  </si>
  <si>
    <t>Herman, RW (corresponding author), Louisiana State Univ, Dept Oceanog &amp; Coastal Sci, Baton Rouge, LA 70803 USA.</t>
  </si>
  <si>
    <t>rwherman13@gmail.com</t>
  </si>
  <si>
    <t>Polito, Michael/G-9118-2012; Petry, Maria Virginia/AAG-5333-2021; petry, maria/K-8410-2013</t>
  </si>
  <si>
    <t>Polito, Michael/0000-0001-8639-4431; petry, maria/0000-0002-7870-7394</t>
  </si>
  <si>
    <t>NSF Office of Polar Programs grant [ANT-0739575]; Department of Oceanography and Coastal Sciences at Louisiana State University; CAPES foundation (PDSE scholarship) [6406/2015-07]; Darwin Initiative</t>
  </si>
  <si>
    <t>NSF Office of Polar Programs grant; Department of Oceanography and Coastal Sciences at Louisiana State University; CAPES foundation (PDSE scholarship); Darwin Initiative</t>
  </si>
  <si>
    <t>Many thanks to K. Boysen, P. Chilton, G. Clucas, S. Trivelpiece, A. Will and all field workers who helped to collect the samples used in this study. Funding was provided in part by a NSF Office of Polar Programs grant to S. Emslie and M. Polito (ANT-0739575). We would like to acknowledge support from the Department of Oceanography and Coastal Sciences at Louisiana State University, the CAPES foundation (PDSE scholarship No 6406/2015-07) the Darwin Initiative and public donations during this fieldwork. We also thank the US-AMLR and PROANTAR program, Brazilian Institute INCT-APA, Raytheon Polar Services, Quark Expeditions, the Laurence M. Gould, the M/V Ushuaia, M/V Ocean Diamond for transportation and logistical support. We thank Steve Emslie for assistance with permitting and sample shipping and T. Mauney who provided assistance with sample preparation and stable isotope analysis. We thank Y. Cherel, N. Dehnhard, A. Satake, M. Harvey, and an anonymous reviewer for helpful comments on earlier versions of this manuscript.</t>
  </si>
  <si>
    <t>10.1007/s00227-017-3142-9</t>
  </si>
  <si>
    <t>WOS:000403083700007</t>
  </si>
  <si>
    <t>Suárez-Jiménez, R; Hepburn, CD; Hyndes, GA; McLeod, RJ; Taylor, RB; Hurd, CL</t>
  </si>
  <si>
    <t>Suarez-Jimenez, Rocio; Hepburn, Christopher D.; Hyndes, Glenn A.; McLeod, Rebecca J.; Taylor, Richard B.; Hurd, Catriona L.</t>
  </si>
  <si>
    <t>Importance of the invasive macroalga Undaria pinnatifida as trophic subsidy for a beach consumer</t>
  </si>
  <si>
    <t>EXPOSED SANDY BEACHES; MARINE INVERTEBRATE HERBIVORES; KELP SANDHOPPER INTERACTIONS; NEW-ZEALAND; ORCHESTOIDEA-TUBERCULATA; MACROFAUNAL ASSEMBLAGES; NUTRITIONAL QUALITY; CHEMICAL DEFENSES; PLANT INVASIONS; FOOD CHOICE</t>
  </si>
  <si>
    <t>Food webs on sandy beaches rely heavily on spatial subsidies of macroalgae and other detritus. Invasive macroalgal species are modifying many ecosystems worldwide, so the potential exists for them to alter the quantity and quality of food available to sandy beach consumers. We evaluated the suitability of the invasive kelp Undaria pinnatifida as a food for the talitrid amphipod Bellorchestia quoyana, an abundant consumer on sandy beaches in southern New Zealand. U. pinnatifida had similar gross nutritional and biomechanical properties to the three native macroalgal species (the kelps Macrocystis pyrifera and Durvillaea antarctica, and the green Ulva spp.). B. quoyana consumed U. pinnatifida at similar or higher rates than the native kelps in laboratory feeding assays (choice and no-choice assays with fresh tissues, and choice assays with tissue reconstituted into agar foods to remove structural properties). Our results indicate that U. pinnatifida is a usable alternative food source for B. quoyana and could, therefore, contribute to the local sandy beach food web. Understanding the role that invasive macroalgae play as a food source for beach consumers is essential to better comprehend how they may affect these subsidy-dependent ecosystems.</t>
  </si>
  <si>
    <t>[Suarez-Jimenez, Rocio; Hurd, Catriona L.] Univ Otago, Bot Dept, Dunedin 9054, New Zealand; [Hepburn, Christopher D.] Univ Otago, Marine Sci Dept, Dunedin 9054, New Zealand; [Hyndes, Glenn A.] Edith Cowan Univ, Sch Nat Sci, Ctr Marine Ecosyst Res, Joondalup 6027, Australia; [McLeod, Rebecca J.] Univ Otago, Chem Dept, Dunedin 9054, New Zealand; [Taylor, Richard B.] Univ Auckland, Leigh Marine Lab, Leigh 0985, New Zealand; [Taylor, Richard B.] Univ Auckland, Inst Marine Sci, Leigh 0985, New Zealand; [Hurd, Catriona L.] Univ Tasmania, Inst Marine &amp; Antarctic Studies, Hobart, Tas 7001, Australia</t>
  </si>
  <si>
    <t>University of Otago; University of Otago; Edith Cowan University; University of Otago; University of Auckland; University of Auckland; University of Tasmania</t>
  </si>
  <si>
    <t>Suárez-Jiménez, R (corresponding author), Univ Otago, Bot Dept, Dunedin 9054, New Zealand.</t>
  </si>
  <si>
    <t>rsuarezjimenez@gmail.com</t>
  </si>
  <si>
    <t>McLeod, Rebecca J/H-4147-2011; Hyndes, G.a./AAB-6619-2019; Taylor, Richard B/D-2332-2009; Hurd, Catriona/J-2411-2013</t>
  </si>
  <si>
    <t>Hyndes, G.a./0000-0002-3525-1665; Hurd, Catriona/0000-0001-9965-4917</t>
  </si>
  <si>
    <t>Otago University Doctoral Scholarship; Department of Botany, University of Otago; Foundation for Research, Science and Technology (FRST) from the National Institute of Water and Atmospheric Research Ltd.; Biodiversity and Biosecurity OBI [C01X0502]; FRST Science and Technology Postdoctoral Fellowship [UOOX0814]; New Zealand Ministry of Business, Innovation &amp; Employment (MBIE) [UOOX0814] Funding Source: New Zealand Ministry of Business, Innovation &amp; Employment (MBIE)</t>
  </si>
  <si>
    <t>Otago University Doctoral Scholarship; Department of Botany, University of Otago; Foundation for Research, Science and Technology (FRST) from the National Institute of Water and Atmospheric Research Ltd.; Biodiversity and Biosecurity OBI; FRST Science and Technology Postdoctoral Fellowship; New Zealand Ministry of Business, Innovation &amp; Employment (MBIE)(New Zealand Ministry of Business, Innovation and Employment (MBIE))</t>
  </si>
  <si>
    <t>This study was funded by a Otago University Doctoral Scholarship to RSJ, Performance Based Research (PBRF) funding from the Department of Botany, University of Otago to CLH, a Foundation for Research, Science and Technology (FRST) subcontract to CLH from the National Institute of Water and Atmospheric Research Ltd., Biodiversity and Biosecurity OBI (C01X0502) and a FRST Science and Technology Postdoctoral Fellowship to RJM (UOOX0814).</t>
  </si>
  <si>
    <t>10.1007/s00227-017-3140-y</t>
  </si>
  <si>
    <t>WOS:000403083700005</t>
  </si>
  <si>
    <t>Figuerola, B; Barnes, DKA; Brickle, P; Brewin, PE</t>
  </si>
  <si>
    <t>Figuerola, Blanca; Barnes, David K. A.; Brickle, Paul; Brewin, Paul E.</t>
  </si>
  <si>
    <t>Bryozoan diversity around the Falkland and South Georgia Islands: Overcoming Antarctic barriers</t>
  </si>
  <si>
    <t>Southern ocean; Marine ecology; Benthos; Biodiversity; Biogeography; Spatial patterns</t>
  </si>
  <si>
    <t>SCOTIA ARC; CLIMATE-CHANGE; MARINE LIFE; OCEAN; PATTERNS; BIODIVERSITY; BIOGEOGRAPHY; CHEILOSTOMATA; COMMUNITIES; COMPETITION</t>
  </si>
  <si>
    <t>There are a number of remote archipelagos distributed between 45 and 60 degrees S. The biota of these islands provide useful information to describe and understand patterns in biodiversity and biogeography as well as potential impacts of climate change on marine ecosystems. They are in key locations either side of the Polar Front but also have limited influence from human activities. Here we investigate one taxon, bryozoans, on South Atlantic shelf habitats of the Falkland (FI) and the sub-Antarctic island of South Georgia (SG). We present new data on spatial distribution in these islands, as well as an analysis of the bryozoological similarities between these and neighbouring regions. A total of 85 species of cheilostome bryozoans (351 samples) were found, belonging to 33 genera, including 18 potentially new genera and 23 new species. Remarkably 65% and 41% of species were reported for the first time at FI and SG, respectively. The highest and the lowest value of species richness and species/genus ratio were found at East (EFI) and West Falkland (WFI), respectively, likely showing a tendency for stronger intrageneric competition. New data from this study were jointly analysed with data from the literature and existing databases, revealing new bathymetric ranges in 32 species. The biogeographic affinities of the bryozoans found give further evidence of the hypothesis of sequential separation of Gondwana and support the changing concept that although the Polar Front acts as a circumpolar biogeographic barrier it is not as impermeable as originally thought. Potential dispersal mechanisms are also discussed. (C) 2017 Elsevier Ltd. All rights reserved.</t>
  </si>
  <si>
    <t>[Figuerola, Blanca] Univ Barcelona, Fac Biol, Biodivers Res Inst IRBio, Av Diagonal 643, E-08028 Barcelona, Catalonia, Spain; [Barnes, David K. A.] British Antarctic Survey, Nat Environm Res Council, Madingley Rd, Cambridge CB3 0ET, England; [Brickle, Paul] SAERI, Box 609, Stanley F1QQ 1ZZ, Falkland Island; [Brickle, Paul; Brewin, Paul E.] SMSG, 2 Philomel Pl, Stanley F1QQ 1ZZ, Falkland Island; [Brickle, Paul] Univ Aberdeen, Sch Biol Sci Zool, Tillydrone Ave, Aberdeen AB24 2TZ, Scotland; [Brewin, Paul E.] Falklands Islands Govt, Directorate Nat Resources Fisheries, POB 598, Stanley F1QQ 1ZZ, Falkland Island; [Brewin, Paul E.] Govt South Georgia &amp; South Sandwich Islands, Govt House, Stanley F1QQ 1ZZ, Falkland Island</t>
  </si>
  <si>
    <t>University of Barcelona; UK Research &amp; Innovation (UKRI); Natural Environment Research Council (NERC); NERC British Antarctic Survey; University of Aberdeen</t>
  </si>
  <si>
    <t>Figuerola, B (corresponding author), Univ Barcelona, Fac Biol, Biodivers Res Inst IRBio, Av Diagonal 643, E-08028 Barcelona, Catalonia, Spain.</t>
  </si>
  <si>
    <t>bfiguerola@gmail.com</t>
  </si>
  <si>
    <t>Figuerola, Blanca/C-6252-2015</t>
  </si>
  <si>
    <t>Figuerola, Blanca/0000-0003-4731-9337; Brickle, Paul/0000-0002-9870-3518; , Paul/0000-0002-0261-9646</t>
  </si>
  <si>
    <t>Shackleton Scholarship Fund, London; Shackleton Scholarship Fund, Stanley, FI; NERC [bas0100036] Funding Source: UKRI; Natural Environment Research Council [bas0100036] Funding Source: researchfish</t>
  </si>
  <si>
    <t>Shackleton Scholarship Fund, London; Shackleton Scholarship Fund, Stanley, FI; NERC(UK Research &amp; Innovation (UKRI)Natural Environment Research Council (NERC)); Natural Environment Research Council(UK Research &amp; Innovation (UKRI)Natural Environment Research Council (NERC))</t>
  </si>
  <si>
    <t>We acknowledge SAERI data manager of the FI data centre, Dr iLaria Marengo, for providing the maps. The authors wish to thank Eva Visauta and Marine Quintin for their support during part of the fieldwork at the FI. We wish to thank the members of the SMSG for ship time and technical support during the dive cruises. We are also very grateful for the helpful suggestions of the editor and two anonymous reviewers. The postdoctoral research stage of the first author at the Fisheries Departament in FI was funded by a Shackleton Scholarship Fund, London and Stanley, FI.</t>
  </si>
  <si>
    <t>10.1016/j.marenvres.2017.02.005</t>
  </si>
  <si>
    <t>ET4CI</t>
  </si>
  <si>
    <t>WOS:000400226400007</t>
  </si>
  <si>
    <t>Kochhann, KGD; Holbourn, A; Kuhnt, W; Xu, J</t>
  </si>
  <si>
    <t>Kochhann, Karlos G. D.; Holbourn, Ann; Kuhnt, Wolfgang; Xu, Jian</t>
  </si>
  <si>
    <t>Eastern equatorial Pacific benthic foraminiferal distribution and deep water temperature changes during the early to middle Miocene</t>
  </si>
  <si>
    <t>Benthic foraminifera; Mg/Ca-based paleotemperatures; Miocene Climatic Optimum; Eastern equatorial Pacific Ocean; Integrated Ocean Drilling Program Sites U1337 and U1338</t>
  </si>
  <si>
    <t>MG/CA-PALEOTHERMOMETRY; NORTH-ATLANTIC; ISOTOPE STRATIGRAPHY; CLEANING PROCEDURES; OCEAN CIRCULATION; ORGANIC-MATTER; CARBON-CYCLE; LATE EOCENE; SEA; RECORD</t>
  </si>
  <si>
    <t>We investigate changes in benthic foraminiferal assemblages and estimate bottom water temperatures (BWT), based on Mg/Ca ratios of Oridorsalis umbonatus, over three selected intervals of major climate change during the late early to middle Miocene at Integrated Ocean Drilling Program (IODP) Sites U1337 (4463 m water depth) and U1338 (4200 m water depth), eastern equatorial Pacific Ocean. The targeted intervals are: (1) the onset of the Miocene Climatic Optimum (MCO; at similar to 16.9 Ma) and associated carbon cycle perturbation (Site U1337); (2) the episode of peak warmth within the MCO centered at 15.6 Ma (Site U1338); (3) the major cooling step at similar to 13.8 Ma related to east Antarctic ice-sheet expansion (Site U1338). Assemblages from these three intervals are mainly composed of cosmopolitan, long ranging (e.g., Paleogene to recent), lower bathyal to abyssal species, including calcareous elongated' forms that became extinct during the middle Pleistocene. The onset of the MCO and interval of peak warmth had little impact on benthic foraminiferal accumulation rates (BFAR), abundances and assemblage composition. A transient BWT warming of 2.6 degrees C at the onset of the interval of peak warmth concurred with a benthic stable oxygen isotope (delta O-18) decrease of 1%0, suggesting that the delta O-18 decrease was largely controlled by BWT changes. A substantial increase in BFAR and in the abundances of Epistominella exigua and epifaunal taxa after similar to 13.83 Ma coincides with increased opal accumulation rates, reflecting enhanced and seasonally pulsed organic carbon (C-org) flux to the seafloor during the global cooling step. During this interval, BWT decrease by 1.7 degrees C concurrent with a 1.0%o increase in the stable oxygen isotope composition of seawater (delta O-18(sw)). Comparable trends at Ocean Drilling Program (ODP) Site 1146 in the South China Sea, with a 2.2 degrees C cooling and 0.9%(0) increase in delta O-18(sw) at similar to 13.8 Ma, further support that the benthic delta O-18 increase during the major cooling step was largely controlled by ice volume changes.</t>
  </si>
  <si>
    <t>[Kochhann, Karlos G. D.; Holbourn, Ann; Kuhnt, Wolfgang] Christian Atbrechts Univ Kiel, Inst Geosci, Ludewig Meyn Str 14, D-24118 Kiel, Germany; [Xu, Jian] Northwest Univ, State Key Lab Continental Dynam, 229 North Tathai Rd, Xian 710069, Shaanxi, Peoples R China; [Xu, Jian] Northwest Univ, Dept Geol, 229 North Tathai Rd, Xian 710069, Shaanxi, Peoples R China</t>
  </si>
  <si>
    <t>Northwest University Xi'an; Northwest University Xi'an</t>
  </si>
  <si>
    <t>Kochhann, KGD (corresponding author), Christian Atbrechts Univ Kiel, Inst Geosci, Ludewig Meyn Str 14, D-24118 Kiel, Germany.</t>
  </si>
  <si>
    <t>kochhann@gpi.uni-kiel.de</t>
  </si>
  <si>
    <t>Kochhann, Karlos G. D./AAH-4636-2019</t>
  </si>
  <si>
    <t>Kochhann, Karlos G. D./0000-0001-5339-1103; Xu, Jian/0000-0002-7725-3423; Holbourn, Ann/0000-0002-3167-0862</t>
  </si>
  <si>
    <t>Deutsche Forschungsgemeinschaft [H0233/1]; Conselho Nacional de Desenvolvimento Cientffico e Tecnologico (CNPq), Brazil [244926/2013-1]</t>
  </si>
  <si>
    <t>Deutsche Forschungsgemeinschaft(German Research Foundation (DFG)); Conselho Nacional de Desenvolvimento Cientffico e Tecnologico (CNPq), Brazil</t>
  </si>
  <si>
    <t>Samples were provided by the International Ocean Discovery Program (IODP). This research was funded by the Deutsche Forschungsgemeinschaft (grant number H0233/1). Karlos G. D. Kochhann received a doctoral scholarship from the Conselho Nacional de Desenvolvimento Cientffico e Tecnologico (CNPq - grant number 244926/2013-1), Brazil. We thank Ellen Thomas, Miriam E. Katz and editor Frans Jorissen for constructive reviews that considerably helped us to improve the manuscript.</t>
  </si>
  <si>
    <t>10.1016/j.marmicro.2017.05.002</t>
  </si>
  <si>
    <t>WOS:000409152700003</t>
  </si>
  <si>
    <t>Huang, HJ; Xue, J; Zhuo, JC; Cheng, RL; Xu, HJ; Zhang, CX</t>
  </si>
  <si>
    <t>Huang, Hai-Jian; Xue, Jian; Zhuo, Ji-Chong; Cheng, Ruo-Lin; Xu, Hai-Jun; Zhang, Chuan-Xi</t>
  </si>
  <si>
    <t>Comparative analysis of the transcriptional responses to low and high temperatures in three rice planthopper species</t>
  </si>
  <si>
    <t>MOLECULAR ECOLOGY</t>
  </si>
  <si>
    <t>DGE comparison; high temperature; low temperature; planthopper; transcriptome</t>
  </si>
  <si>
    <t>GENE-EXPRESSION; DROSOPHILA-MELANOGASTER; BROWN PLANTHOPPER; SARCOPHAGA-CRASSIPALPIS; ANTARCTIC SPRINGTAIL; COLD-STRESS; PROTEIN; TRANSFERRIN; ACID; HEAT</t>
  </si>
  <si>
    <t>The brown planthopper (Nilaparvata lugens, BPH), white-backed planthopper (Sogatella furcifera, WBPH) and small brown planthopper (Laodelphax striatellus, SBPH) are important rice pests in Asia. These three species differ in thermal tolerance and exhibit quite different migration and overwintering strategies. To understand the underlying mechanisms, we sequenced and compared the transcriptome of the three species under different temperature treatments. We found that metabolism-, exoskeleton- and chemosensory-related genes were modulated. In high temperature (37 degrees C), heat shock protein (HSP) genes were the most co-regulated; other genes related with fatty acid metabolism, amino acid metabolism and transportation were also differentially expressed. In low temperature (5 degrees C), the differences in gene expression of the genes for fatty acid synthesis, transport proteins and cytochrome P450 might explain why SBPH can overwinter in high latitudes, while BPH and WBPH cannot. In addition, other genes related with moulting, and membrane lipid composition might also play roles in resistance to low and high temperatures. Our study illustrates the common responses and different tolerance mechanisms of three rice planthoppers in coping with temperature change, and provides a potential strategy for pest management.</t>
  </si>
  <si>
    <t>[Zhang, Chuan-Xi] Zhejiang Univ, Inst Insect Sci, State Key Lab Rice Biol, Hangzhou 310058, Zhejiang, Peoples R China; Zhejiang Univ, Inst Insect Sci, Minist Agr, Key Lab Agr Entomol, Hangzhou 310058, Zhejiang, Peoples R China</t>
  </si>
  <si>
    <t>Zhejiang University; Ministry of Agriculture &amp; Rural Affairs; Zhejiang University</t>
  </si>
  <si>
    <t>Zhang, CX (corresponding author), Zhejiang Univ, Inst Insect Sci, State Key Lab Rice Biol, Hangzhou 310058, Zhejiang, Peoples R China.</t>
  </si>
  <si>
    <t>chxzhang@zju.edu.cn</t>
  </si>
  <si>
    <t>Cheng, Ruolin/I-3305-2017; Zhang, Chuan-Xi/JLM-6871-2023; Zhang, Chuan-Xi/K-7978-2019; 卓, 继冲/HCH-4822-2022; Jian, Xue/M-2381-2019</t>
  </si>
  <si>
    <t>Zhang, Chuan-Xi/0000-0002-7784-1188; Zhang, Chuan-Xi/0000-0002-7784-1188; 卓, 继冲/0000-0001-9956-8621; Huang, Haijian/0000-0002-0968-4520</t>
  </si>
  <si>
    <t>National Natural Science Foundation of China [31630057, 31471765]</t>
  </si>
  <si>
    <t>This work was supported by the National Natural Science Foundation of China (grant no. 31630057 and 31471765).</t>
  </si>
  <si>
    <t>0962-1083</t>
  </si>
  <si>
    <t>1365-294X</t>
  </si>
  <si>
    <t>MOL ECOL</t>
  </si>
  <si>
    <t>Mol. Ecol.</t>
  </si>
  <si>
    <t>10.1111/mec.14067</t>
  </si>
  <si>
    <t>Biochemistry &amp; Molecular Biology; Ecology; Evolutionary Biology</t>
  </si>
  <si>
    <t>Biochemistry &amp; Molecular Biology; Environmental Sciences &amp; Ecology; Evolutionary Biology</t>
  </si>
  <si>
    <t>EU4JA</t>
  </si>
  <si>
    <t>WOS:000400994400011</t>
  </si>
  <si>
    <t>Smith, HJ; Foster, RA; McKnight, DM; Lisle, JT; Littmann, S; Kuypers, MMM; Foreman, CM</t>
  </si>
  <si>
    <t>Smith, H. J.; Foster, R. A.; McKnight, D. M.; Lisle, J. T.; Littmann, S.; Kuypers, M. M. M.; Foreman, C. M.</t>
  </si>
  <si>
    <t>Microbial formation of labile organic carbon in Antarctic glacial environments</t>
  </si>
  <si>
    <t>NATURE GEOSCIENCE</t>
  </si>
  <si>
    <t>MATTER; MARINE; LAKES; PRODUCTIVITY; FLUORESCENCE; CRYOCONITE; DYNAMICS; ANCIENT; VIRUSES; VALLEY</t>
  </si>
  <si>
    <t>Roughly six petagrams of organic carbon are stored within ice worldwide. This organic carbon is thought to be of old age and highly bioavailable. Along with storage of ancient and new atmospherically deposited organic carbon, microorganisms may contribute substantially to the glacial organic carbon pool. Models of glacial microbial carbon cycling vary from net respiration to net carbon fixation. Supraglacial streams have not been considered in models although they are amongst the largest ecosystems on most glaciers and are inhabited by diverse microbial communities. Here we investigate the biogeochemical sequence of organic carbon production and uptake in an Antarctic supraglacial stream in the McMurdo Dry Valleys using nanometre-scale secondary ion mass spectrometry, fluorescence spectroscopy, stable isotope analysis and incubation experiments. We find that heterotrophic production relies on highly labile organic carbon freshly derived from photosynthetic bacteria rather than legacy organic carbon. Exudates from primary production were utilized by heterotrophs within 24 h, and supported bacterial growth demands. The tight coupling of microbially released organic carbon and rapid uptake by heterotrophs suggests a dynamic local carbon cycle. Moreover, as temperatures increase there is the potential for positive feedback between glacial melt and microbial transformations of organic carbon.</t>
  </si>
  <si>
    <t>[Smith, H. J.; Foreman, C. M.] Montana State Univ, Ctr Biofilm Engn, Bozeman, MT 59717 USA; [Smith, H. J.] Montana State Univ, Land Resources &amp; Environm Sci, Bozeman, MT 59717 USA; [Foster, R. A.] Stockholm Univ, Dept Ecol Environm &amp; Plant Sci, S-10691 Stockholm, Sweden; [Foster, R. A.; Littmann, S.; Kuypers, M. M. M.] Max Planck Inst Marine Microbiol, Dept Biogeochem, D-28359 Bremen, Germany; [McKnight, D. M.] Univ Colorado, INSTAAR, Boulder, CO 80309 USA; [Lisle, J. T.] US Geol Survey, St Petersburg Coastal &amp; Marine Sci Ctr, St Petersburg, FL 33701 USA; [Foreman, C. M.] Montana State Univ, Chem &amp; Biol Engn, Bozeman, MT 59717 USA</t>
  </si>
  <si>
    <t>Montana State University System; Montana State University Bozeman; Montana State University System; Montana State University Bozeman; Stockholm University; Max Planck Society; University of Colorado System; University of Colorado Boulder; United States Department of the Interior; United States Geological Survey; Montana State University System; Montana State University Bozeman</t>
  </si>
  <si>
    <t>Foreman, CM (corresponding author), Montana State Univ, Ctr Biofilm Engn, Bozeman, MT 59717 USA.;Foreman, CM (corresponding author), Montana State Univ, Chem &amp; Biol Engn, Bozeman, MT 59717 USA.</t>
  </si>
  <si>
    <t>cforeman@montana.edu</t>
  </si>
  <si>
    <t>Littmann, Sten/D-2646-2011</t>
  </si>
  <si>
    <t>Foster, Rachel/0000-0002-8696-1835; Littmann, Sten/0000-0001-8685-5357; Foreman, Christine/0000-0003-0230-4692</t>
  </si>
  <si>
    <t>National Science Foundation Division of Antarctic Sciences [ANT-0838970, ANT-1141978]; NSF Division of Graduate Education [DGE-0654336]; NASA Earth and Science Space Fellowship; Knut and Alice Wallenberg Foundation; NSF [BIO-OCE0929015]; MPG</t>
  </si>
  <si>
    <t>National Science Foundation Division of Antarctic Sciences; NSF Division of Graduate Education(National Science Foundation (NSF)NSF - Directorate for STEM Education (EDU)); NASA Earth and Science Space Fellowship; Knut and Alice Wallenberg Foundation(Knut &amp; Alice Wallenberg Foundation); NSF(National Science Foundation (NSF)); MPG(Max Planck Society)</t>
  </si>
  <si>
    <t>This work was supported by the National Science Foundation Division of Antarctic Sciences through ANT-0838970 and ANT-1141978 to C.M.F., by the NSF Division of Graduate Education through DGE-0654336, and through a NASA Earth and Science Space Fellowship to H.J.S. The Max Plank Society (MPG) supported the nanoSIMS and EA-IRMS analyses. D. Tienken, G. Klockgether, L. Polerecky and G. Lavik from MPI Bremen are acknowledged for assistance in the nanoSIMS and EA-IRMS analyses. R.A.F. is currently funded by the Knut and Alice Wallenberg Foundation and 13C-DOC measurements were supported by an NSF grant to R.A.F. (BIO-OCE0929015) as well as by the MPG. We thank A. Parker from the Center for Biofilm Engineering at Montana State University for statistical guidance. FlowCAM image analysis was conducted by J. P. Darling at INSTAAR, The University of Colorado. Flow cytometry was performed by D. Dunigan and A. Esmael, University of Nebraska-Lincoln. Any opinions, findings, or conclusions expressed in this material are those of the authors and do not necessarily reflect the views of the National Science Foundation.</t>
  </si>
  <si>
    <t>1752-0894</t>
  </si>
  <si>
    <t>1752-0908</t>
  </si>
  <si>
    <t>NAT GEOSCI</t>
  </si>
  <si>
    <t>Nat. Geosci.</t>
  </si>
  <si>
    <t>10.1038/NGEO2925</t>
  </si>
  <si>
    <t>ET6MY</t>
  </si>
  <si>
    <t>WOS:000400407000012</t>
  </si>
  <si>
    <t>Marques, GM; Wells, MG; Padman, L; Özgökmen, TM</t>
  </si>
  <si>
    <t>Marques, Gustavo M.; Wells, Mathew G.; Padman, Laurie; Ozgokmen, Tamay M.</t>
  </si>
  <si>
    <t>Flow splitting in numerical simulations of oceanic dense-water outflows</t>
  </si>
  <si>
    <t>Intermediate and bottom water formation; Internal hydraulic jump; Overflows; Gravity currents</t>
  </si>
  <si>
    <t>INTERNAL HYDRAULIC JUMPS; GRAVITY-CURRENT; SUBMARINE CANYONS; ENTRAINMENT; CIRCULATION; CURRENTS; BOTTOM; DRIVEN; TURBULENCE; EXCHANGE</t>
  </si>
  <si>
    <t>Flow splitting occurs when part of a gravity current becomes neutrally buoyant and separates from the bottom-trapped plume as an interflow. This phenomenon has been previously observed in laboratory experiments, small-scale water bodies (e.g., lakes) and numerical studies of small-scale systems. Here, the potential for flow splitting in oceanic gravity currents is investigated using high-resolution (Lambda x = Lambda z = 5 m) two-dimensional numerical simulations of gravity flows into linearly stratified environments. The model is configured to solve the non-hydrostatic Boussinesq equations without rotation. A set of experiments is conducted by varying the initial buoyancy number B-0 = Q(0)N(3)/g '(2) (where Q(0) is the volume flux of the dense water flow per unit width, N is the ambient stratification and g ' is the reduced gravity), the bottom slope (alpha) and the turbulent Prandtl number (Pr). Regardless of alpha or Pr, when B-0 &lt;= 0.002 the outflow always reaches the deep ocean forming an underflow. Similarly, when B-0 &gt;= 0.13 the outflow always equilibrates at intermediate depths, forming an interflow. However, when B-0 similar to 0.016, flow splitting always occurs when Pr &gt;= 10, while interflows always occur for Pr = 1. An important characteristic of simulations that result in flow splitting is the development of Holmboe-like interfacial instabilities and flow transition from a supercritical condition, where the Froude number (Fr) is greater than one, to a slower and more uniform subcritical condition (Fr &lt; 1). This transition is associated with an internal hydraulic jump and consequent mixing enhancement. Although our experiments do not take into account three-dimensionality and rotation, which are likely to influence mixing and the transition between flow regimes, a comparison between our results and oceanic observations suggests that flow splitting may occur in dense-water outflows with weak ambient stratification, such as Antarctic outflows. (C) 2017 Elsevier Ltd. All rights reserved.</t>
  </si>
  <si>
    <t>[Marques, Gustavo M.] Princeton Univ, Atmospher &amp; Ocean Sci Program, Princeton, NJ 08544 USA; [Wells, Mathew G.] Univ Toronto Scarborough, Dept Phys &amp; Environm Sci, Toronto, ON, Canada; [Padman, Laurie] Earth &amp; Space Res, Corvallis, OR USA; [Ozgokmen, Tamay M.] Univ Miami, Rosenstiel Sch Marine &amp; Atmospher Sci, 4600 Rickenbacker Causeway, Miami, FL 33149 USA</t>
  </si>
  <si>
    <t>National Oceanic Atmospheric Admin (NOAA) - USA; Princeton University; University of Toronto; University Toronto Scarborough; University of Miami</t>
  </si>
  <si>
    <t>Marques, GM (corresponding author), Princeton Univ, Atmospher &amp; Ocean Sci Program, Princeton, NJ 08544 USA.</t>
  </si>
  <si>
    <t>gmarques@princeton.edu</t>
  </si>
  <si>
    <t>Padman, Laurence/AAH-3808-2021; wells, mathew G/A-7101-2012</t>
  </si>
  <si>
    <t>Padman, Laurence/0000-0003-2010-642X; Marques, Gustavo/0000-0001-7238-0290; wells, mathew/0000-0003-3838-9202</t>
  </si>
  <si>
    <t>National Science Foundation [OCE-09G1369, OCE-09G1405]</t>
  </si>
  <si>
    <t>This research was partially supported by the National Science Foundation grants OCE-09G1369 and OCE-09G1405. We thank Larry J. Pratt, Anirban Guha, Andy Hogg and Dustin Carroll for many helpful discussions during the development of this manuscript. Comments from Sonya Legg, Steve Griffies and two anonymous reviewers helped to improve the manuscript. Computer time was made available by the ocean group at GFDL.</t>
  </si>
  <si>
    <t>10.1016/j.ocemod.2017.03.011</t>
  </si>
  <si>
    <t>WOS:000401138400006</t>
  </si>
  <si>
    <t>Archer, SDJ; de los Rios, A; Lee, KC; Niederberger, TS; Cary, SC; Coyne, KJ; Douglas, S; Lacap-Bugler, DC; Pointing, SB</t>
  </si>
  <si>
    <t>Archer, Stephen D. J.; de los Rios, Asuncion; Lee, Kevin C.; Niederberger, Thomas S.; Cary, S. Craig; Coyne, Kathryn J.; Douglas, Susanne; Lacap-Bugler, Donnabella C.; Pointing, Stephen B.</t>
  </si>
  <si>
    <t>Endolithic microbial diversity in sandstone and granite from the McMurdo Dry Valleys, Antarctica</t>
  </si>
  <si>
    <t>Antarctica; Astrobiology; Chasmoendolith; Cryptoendolith; Cyanobacteria; Lichen</t>
  </si>
  <si>
    <t>BACTERIAL COMMUNITIES; VICTORIA LAND; ECOLOGY; ROCKS; MICROORGANISMS; COLONIZATION; SOILS; BIOGEOGRAPHY; ECOSYSTEMS; LIMESTONE</t>
  </si>
  <si>
    <t>Cryptic microbial communities develop within rocky substrates in Antarctica's McMurdo Dry Valleys as a stress avoidance strategy. They may be cryptoendolithic within pore spaces of weathered rocks, or develop in cracks and fissures as chasmoendolithic communities and are characterised by coloured bands of colonisation. Here we used a precision drill to recover fractions from black, white, green and red layers within colonised granite and sandstone. We combined backscattered scanning electron microscopy and high-throughput sequencing to identify major taxa in each band. We confirmed the presence of algal and fungal lichen symbionts, cyanobacteria and free-living algae, plus a diverse heterotrophic bacterial and archaeal component. A clear delineation at the community level was observed. The relatively biodiverse and heterogenous lichen communities occurred in weathered sandstone cliffs, whilst in granite and sandstone boulders, cyanobacterial communities were dominant. Differences between coloured bands of colonisation within each community were less clear. The study demonstrates that endolithic microbial communities can be recovered using a drill technology similar to that planned for the search for endolithic biosignatures on Mars.</t>
  </si>
  <si>
    <t>[Archer, Stephen D. J.; Lee, Kevin C.; Lacap-Bugler, Donnabella C.; Pointing, Stephen B.] Auckland Univ Technol, Inst Appl Ecol New Zealand, Sch Appl Sci, Auckland 1010, New Zealand; [Archer, Stephen D. J.; Lee, Kevin C.; Niederberger, Thomas S.; Cary, S. Craig; Pointing, Stephen B.] Univ Waikato, Sch Sci, Int Ctr Terr Antarctic Res, Hamilton 3240, New Zealand; [de los Rios, Asuncion] CSIC, Museo Nacl Ciencias Nat, Madrid 28006, Spain; [Cary, S. Craig; Coyne, Kathryn J.] Univ Delaware, Coll Earth Ocean &amp; Environm, Lewes, DE 19716 USA; [Douglas, Susanne] CALTECH, Jet Prop Lab, 4800 Oak Grove Dr, Pasadena, CA 91109 USA; [Pointing, Stephen B.] Kanazawa Univ, Inst Nat &amp; Environm Technol, Kakuma Machi, Kanazawa, Ishikawa 9201192, Japan</t>
  </si>
  <si>
    <t>Auckland University of Technology; University of Waikato; Consejo Superior de Investigaciones Cientificas (CSIC); CSIC - Museo Nacional de Ciencias Naturales (MNCN); University of Delaware; California Institute of Technology; National Aeronautics &amp; Space Administration (NASA); NASA Jet Propulsion Laboratory (JPL); Kanazawa University</t>
  </si>
  <si>
    <t>Pointing, SB (corresponding author), Auckland Univ Technol, Inst Appl Ecol New Zealand, Sch Appl Sci, Auckland 1010, New Zealand.;Pointing, SB (corresponding author), Univ Waikato, Sch Sci, Int Ctr Terr Antarctic Res, Hamilton 3240, New Zealand.;Pointing, SB (corresponding author), Kanazawa Univ, Inst Nat &amp; Environm Technol, Kakuma Machi, Kanazawa, Ishikawa 9201192, Japan.</t>
  </si>
  <si>
    <t>steve.pointing@aut.ac.nz</t>
  </si>
  <si>
    <t>Lee, Kevin/Z-5368-2019; Pointing, Stephen/JHT-2500-2023; de los Rios, Asuncion/L-3694-2014</t>
  </si>
  <si>
    <t>Lee, Kevin/0000-0003-0210-2628; de los Rios, Asuncion/0000-0002-0266-3516; Cary, Stephen/0000-0002-2876-2387</t>
  </si>
  <si>
    <t>NASA (EPSCoR-RID fund); Institute for Applied Ecology New Zealand; MINECO [CTM2012-38222-C02-02]; MEC, Spain [PRX15/00478]</t>
  </si>
  <si>
    <t>NASA (EPSCoR-RID fund); Institute for Applied Ecology New Zealand; MINECO(Spanish Government); MEC, Spain(Spanish Government)</t>
  </si>
  <si>
    <t>The authors wish to acknowledge Antarctica New Zealand for logistics and field support in Antarctica. Research was supported financially by NASA (EPSCoR-RID fund), the Institute for Applied Ecology New Zealand (www.aenz.aut.ac.nz) and Grants to Dr de los Rios (CTM2012-38222-C02-02 from the MINECO and PRX15/00478 Salvador Madariaga from the MEC, Spain).</t>
  </si>
  <si>
    <t>10.1007/s00300-016-2024-9</t>
  </si>
  <si>
    <t>WOS:000402123800004</t>
  </si>
  <si>
    <t>Velázquez, D; Jungblut, AD; Rochera, C; Rico, E; Camacho, A; Quesada, A</t>
  </si>
  <si>
    <t>Velazquez, David; Jungblut, Anne D.; Rochera, Carlos; Rico, Eugenio; Camacho, Antonio; Quesada, Antonio</t>
  </si>
  <si>
    <t>Trophic interactions in microbial mats on Byers Peninsula, maritime Antarctica</t>
  </si>
  <si>
    <t>Antarctic; Microbial mats; Cyanobacteria; Fungi; Trophic interactions; Food web</t>
  </si>
  <si>
    <t>FRESH-WATER ECOSYSTEMS; SOUTH SHETLAND ISLANDS; MCMURDO ICE SHELF; LIVINGSTON ISLAND; NATURAL ASSEMBLAGES; COMMUNITY STRUCTURE; MELTWATER PONDS; STABLE-ISOTOPES; DRY MASS; LENGTH</t>
  </si>
  <si>
    <t>Cyanobacteria-based microbial mats are common in Antarctic terrestrial freshwater ecosystems such as the extensive wetland seepages that cover Byers Peninsula on Livingston Island (South Shetland Islands), maritime Antarctica, where they play an important role in biomass generation and productivity. Although cyanobacteria, microfauna and fungal communities have been described for such microbial mats, to date, little is known about trophic interactions within the mats, which are likely important to overcome nutrient constraints in oligotrophic polar freshwater ecosystems. We therefore carried out a biomass assessment of the different taxonomic components and their trophic interactions using DNA analysis and stable isotope analysis, as well as physiological activities such as primary and secondary production and nitrogen uptake within the mat food web throughout an austral spring and summer season. Our results suggested, based on a Bayesian mixing model, that carbon flow from cyanobacteria to upper trophic levels was limited to tardigrades and rotifers, whereas fungal and bacterial activity were likely the main connectors between consumers and producers via a heterotrophic loop. This suggests that homeostatic state displayed in freshwater microbial mats from maritime Antarctica provides stability to the microbial mats under the fluctuating environmental conditions commonly found in permanently cold shallow terrestrial aquatic ecosystems in Antarctica.</t>
  </si>
  <si>
    <t>[Velazquez, David; Quesada, Antonio] Univ Autonoma Madrid, Fac Ciencias, Dept Biol, E-28049 Madrid, Spain; [Velazquez, David; Jungblut, Anne D.] Nat Hist Museum, Life Sci Dept, London SW7 5BD, England; [Rochera, Carlos; Camacho, Antonio] Univ Valencia, Inst Cavanilles Biodiversidad &amp; Biol Evolut, E-46100 Burjassot, Spain; [Rico, Eugenio] Univ Autonoma Madrid, Fac Ciencias, Dept Ecol, E-28049 Madrid, Spain; [Rochera, Carlos] Univ Castilla La Mancha, Reg Ctr Water Studies CREA, E-13071 Ciudad Real, Spain</t>
  </si>
  <si>
    <t>Autonomous University of Madrid; Natural History Museum London; University of Valencia; Autonomous University of Madrid; Universidad de Castilla-La Mancha</t>
  </si>
  <si>
    <t>Quesada, A (corresponding author), Univ Autonoma Madrid, Fac Ciencias, Dept Biol, E-28049 Madrid, Spain.</t>
  </si>
  <si>
    <t>antonio.quesada@uam.es</t>
  </si>
  <si>
    <t>Rochera, Carlos/M-2932-2014; Velazquez, David/M-2309-2017; Rico, Eugenio/L-2429-2013; Quesada, Antonio/L-2430-2013; Camacho, Antonio/I-3417-2015</t>
  </si>
  <si>
    <t>Rochera, Carlos/0000-0002-8294-4755; Velazquez, David/0000-0002-4127-8370; Rico, Eugenio/0000-0001-6978-645X; Quesada, Antonio/0000-0002-8913-5993; Camacho, Antonio/0000-0003-0841-2010</t>
  </si>
  <si>
    <t>Spanish Ministry of Science and Technology [CGL2005-06549-C02-01/ANT, CTM2011-28736]; European FEDER; EU SYNTHESIS project [GB-TAF-1842]; Generalitat Valenciana [APOSTD/2015/088]</t>
  </si>
  <si>
    <t>Spanish Ministry of Science and Technology(Spanish Government); European FEDER(European Union (EU)); EU SYNTHESIS project; Generalitat Valenciana(Center for Forestry Research &amp; Experimentation (CIEF))</t>
  </si>
  <si>
    <t>We wish to thank members of field teams from LIMNOPOLAR project, and we are also grateful to M. Thaler, M. Redondo-Nieto, Unidad Tecnica Marina (UTM) and Las Palmas Navy crew. The Spanish Ministry of Science and Technology financed this work through projects CGL2005-06549-C02-01/ANT and CTM2011-28736 to AQ, and CGL2005-06549-C02-02/ANT to AC, the later co-financed by European FEDER funds. Also, it has been funded by the EU SYNTHESIS project Grant GB-TAF-1842 to DV and CR is a recipient of a VALi+d postdoctoral contract of Generalitat Valenciana APOSTD/2015/088.</t>
  </si>
  <si>
    <t>10.1007/s00300-016-2039-2</t>
  </si>
  <si>
    <t>WOS:000402123800015</t>
  </si>
  <si>
    <t>Distribution, density and abundance of Antarctic ice seals off Queen Maud Land and the eastern Weddell Sea</t>
  </si>
  <si>
    <t>Crabeater seal; Leopard seal; Ross seal; Weddell seal; Antarctic Pack Ice Seal Program (APIS)</t>
  </si>
  <si>
    <t>PACK-ICE; DIVING BEHAVIOR; ROSS SEAL; CENSUS</t>
  </si>
  <si>
    <t>The Antarctic Pack Ice Seal (APIS) Program was initiated in 1994 to estimate the abundance of four species of Antarctic phocids: the crabeater seal Lobodon carcinophaga, Weddell seal Leptonychotes weddellii, Ross seal Ommatophoca rossii and leopard seal Hydrurga leptonyx and to identify ecological relationships and habitat use patterns. The Atlantic sector of the Southern Ocean (the eastern sector of the Weddell Sea) was surveyed by research teams from Germany, Norway and South Africa using a range of aerial methods over five austral summers between 1996-1997 and 2000-2001. We used these observations to model densities of seals in the area, taking into account haul-out probabilities, survey-specific sighting probabilities and covariates derived from satellite-based ice concentrations and bathymetry. These models predicted the total abundance over the area bounded by the surveys (30A degrees W and 10A degrees E). In this sector of the coast, we estimated seal abundances of: 514 (95 % CI 337-886) x 10(3) crabeater seals, 60.0 (43.2-94.4) x 10(3) Weddell seals and 13.2 (5.50-39.7) x 10(3) leopard seals. The crabeater seal densities, approximately 14,000 seals per degree longitude, are similar to estimates obtained by surveys in the Pacific and Indian sectors by other APIS researchers. Very few Ross seals were observed (24 total), leading to a conservative estimate of 830 (119-2894) individuals over the study area. These results provide an important baseline against which to compare future changes in seal distribution and abundance.</t>
  </si>
  <si>
    <t>[Gurarie, Eliezer; Bengtson, John L.; Cameron, Michael; Boveng, Peter] NOAA, Marine Mammal Lab, Alaska Fisheries Sci Ctr, 7600 Sand Point Way NE, Seattle, WA 98115 USA; [Gurarie, Eliezer] Univ Maryland, Dept Biol, College Pk, MD 20742 USA; [Bester, Marthan N.] Univ Pretoria, Mammal Res Inst, Dept Zool &amp; Entomol, Private Bag X20, ZA-0028 Pretoria, South Africa; [Bester, Marthan N.] Hanse Wissensch Kolleg, Lehmkuhlenbusch 4, D-27753 Delmenhorst, Germany; [Blix, Arnoldus Schytte; Nordoy, Erling S.] UiT Arctic Univ Norway, Dept Arctic &amp; Marine Biol, Tromso, Norway; [Bornemann, Horst; Ploetz, Joachim; Steinhage, Daniel] Helmholtz Zentrum Polar &amp; Meeresforsch, Alfred Wegener Inst, Handelschafen 12, D-27570 Bremerhaven, Germany</t>
  </si>
  <si>
    <t>Gurarie, E (corresponding author), NOAA, Marine Mammal Lab, Alaska Fisheries Sci Ctr, 7600 Sand Point Way NE, Seattle, WA 98115 USA.;Gurarie, E (corresponding author), Univ Maryland, Dept Biol, College Pk, MD 20742 USA.</t>
  </si>
  <si>
    <t>Bester, Marthán N/E-5387-2010; Gurarie, Eliezer/AGI-0958-2022</t>
  </si>
  <si>
    <t>Norwegian Research Council; Norwegian Polar Research Institute [NARE 1996/97]; University of Pretoria; South African National Research Foundation; Foundation for Research Development; Department of Environmental Affairs; Hanse-Wissenschaftskolleg in Delmenhorst, Germany</t>
  </si>
  <si>
    <t>Norwegian Research Council(Research Council of Norway); Norwegian Polar Research Institute; University of Pretoria; South African National Research Foundation(National Research Foundation - South Africa); Foundation for Research Development; Department of Environmental Affairs; Hanse-Wissenschaftskolleg in Delmenhorst, Germany</t>
  </si>
  <si>
    <t>The authors would like to thank Jeff Laake for invaluable comments on the data analysis, Monica Sundset for assistance in the field and Jay VerHoef for the Weddell seal haul-out correction. The research was supported in part by the Norwegian Research Council and the Norwegian Polar Research Institute (NARE 1996/97). The Alfred Wegener Institute provided generous helicopter support and berths on board the RV Polarstern during the EASIZ II cruise under the leadership of Wolf Arntz, as well as aircraft capacity during the EMAGE campaigns. The University of Pretoria, the South African National Research Foundation (then the Foundation for Research Development) and the Department of Environmental Affairs variously provided financial and logistical support for the South African contingent. The Hanse-Wissenschaftskolleg in Delmenhorst, Germany, kindly provided a Fellowship to MNB during the final write-up of this paper.</t>
  </si>
  <si>
    <t>10.1007/s00300-016-2029-4</t>
  </si>
  <si>
    <t>WOS:000402123800018</t>
  </si>
  <si>
    <t>Pasik, M; Kowalska, ME; Lapinski, S; Rajner, M; Bakula, K</t>
  </si>
  <si>
    <t>Pasik, Mariusz; Kowalska, Maria Elzbieta; Lapinski, Slawomir; Rajner, Marcin; Bakula, Krzysztof</t>
  </si>
  <si>
    <t>Large-scale map and 3D modelling of the Henryk Arctowski Polish Antarctic Station</t>
  </si>
  <si>
    <t>ISLAND</t>
  </si>
  <si>
    <t>This paper presents survey measurements carried out during the 39th Polish Antarctic Expedition to the Henryk Arctowski Polish Antarctic Station in March 2015. The measurements were used to create a map on a 1:500 scale and for 3D modelling of the station buildings and vicinity. The paper also presents the geodetic control network established around the station. We discuss the issue of creating a digital elevation model for the station and its surroundings. The elevation models were generated using terrestrial laser scanning data integrated with Global Navigation Satellite System real time kinematic and tacheometric surveying. The accuracy of these models was estimated using height differences in relation to survey data. The mean height difference was 0.03 m and root mean square error was 0.05 m. Furthermore, an analysis of changes to the coastline was conducted using archival cartographic materials to assess the threat of Admiralty Bay to the station buildings. The results are important for continued scientific activity and safety at Arctowski Station, and may be useful for future research on King George Island.</t>
  </si>
  <si>
    <t>[Pasik, Mariusz; Kowalska, Maria Elzbieta; Lapinski, Slawomir; Rajner, Marcin; Bakula, Krzysztof] Warsaw Univ Technol, Fac Geodesy &amp; Cartog, Pl Politech 1, PL-00661 Warsaw, Poland</t>
  </si>
  <si>
    <t>Warsaw University of Technology</t>
  </si>
  <si>
    <t>Kowalska, ME (corresponding author), Warsaw Univ Technol, Fac Geodesy &amp; Cartog, Pl Politech 1, PL-00661 Warsaw, Poland.</t>
  </si>
  <si>
    <t>m.kowalska@gik.pw.edu.pl</t>
  </si>
  <si>
    <t>Rajner, Marcin/AAE-2731-2019; Rajner, Marcin/AAE-2734-2019; Rajner, Marcin/B-4618-2019</t>
  </si>
  <si>
    <t>Kowalska, Maria/0000-0002-4434-7829; Bakula, Krzysztof/0000-0001-7137-1667; Lapinski, Slawomir/0000-0003-0403-7911; Rajner, Marcin/0000-0001-6105-6487</t>
  </si>
  <si>
    <t>statutory funds of the Faculty of Geodesy and Cartography Warsaw University of Technology</t>
  </si>
  <si>
    <t>This research received no specific grant from any funding agency or from commercial not-for-profit sectors. The publication is partly financed by the statutory funds of the Faculty of Geodesy and Cartography Warsaw University of Technology</t>
  </si>
  <si>
    <t>10.1017/S0032247417000122</t>
  </si>
  <si>
    <t>WOS:000402812400006</t>
  </si>
  <si>
    <t>Iverson, NA; Kalteyer, D; Dunbar, NW; Kurbatov, A; Yates, M</t>
  </si>
  <si>
    <t>Iverson, Nels A.; Kalteyer, Donna; Dunbar, Nelia W.; Kurbatov, Andrei; Yates, Martin</t>
  </si>
  <si>
    <t>Advancements and best practices for analysis and correlation of tephra and cryptotephra in ice</t>
  </si>
  <si>
    <t>QUATERNARY GEOCHRONOLOGY</t>
  </si>
  <si>
    <t>Sample preparation; Ice core; Microanalysis; Glass geochemistry; Tephrochronology; Cryptotephra</t>
  </si>
  <si>
    <t>ANTARCTIC ICE; CORE; RECORD; TEPHROCHRONOLOGY; DOME; MICROANALYSIS; VOLCANISM; ERUPTIONS; MOUNT; LAND</t>
  </si>
  <si>
    <t>Geochemical analysis of fine grained (&lt;20 mu m) tephra found in ice cores is inherently difficult, due to the typically low number and small size of available particles. Ice core tephra samples require specialized sample preparation techniques to maximize the amount of information that can be gained from these logistically limited samples that may provide important chronology to an ice record, as well as linking glacial, marine and terrestrial sediments. We have developed a flexible workflow for preparation of tephra and cryptotephra samples to allow accurate and robust geochemical fingerprinting, which is fundamental to tephrochronology. The samples can be prepared so that secondary electron imagery can be obtained for morphological characterization of the samples to ensure that the sample is tephrabearing and then the sample can be further prepared for quantitative electron microprobe analysis using wavelength dispersive techniques (EMP-WDS), scanning electron microscopy with energy dispersive spectrometry (SEM-EDS), laser ablation inductively coupled mass spectrometry (LA-ICP-MS) or secondary ion mass spectrometry (SIMS). Some samples may be too small for typical instrumentation conditions to be used (i.e. 20 mu m beam on the EMP) to analyze for geochemistry and we present other techniques that can be employed to obtain accurate, although less precise, geochemistry. Methods include analyzing unpolished tephra shards less than 5 mu m in diameter with a 1 mu m beam on an SEM; using the broad beam overlap EMP method on irregular particles less than 20 mu m in diameter, and analyzing microlitic shards as well as aphyric shards using EMP to increase the number of analyzed shards in low abundance tephra layers. The methods presented are flexible enough to be employed in other geological environments (terrestrial, marine and glacial) which will help maximize and integrate multiple environments into the overall tephra framework. (C) 2016 Elsevier B.V. All rights reserved.</t>
  </si>
  <si>
    <t>[Iverson, Nels A.] New Mexico Inst Min &amp; Technol, Dept Earth &amp; Environm Sci, Socorro, NM 87801 USA; [Kurbatov, Andrei; Yates, Martin] Univ Maine, Sch Earth &amp; Climate Sci, Orono, ME 04469 USA; [Dunbar, Nelia W.] New Mexico Inst Min &amp; Technol, New Mexico Bur Geol &amp; Mineral Resources, Socorro, NM 87801 USA; [Kalteyer, Donna; Kurbatov, Andrei] Univ Maine, Climate Change Inst, Orono, ME 04460 USA</t>
  </si>
  <si>
    <t>New Mexico Institute of Mining Technology; University of Maine System; University of Maine Orono; New Mexico Institute of Mining Technology; University of Maine System; University of Maine Orono</t>
  </si>
  <si>
    <t>Iverson, NA (corresponding author), New Mexico Inst Min &amp; Technol, Dept Earth &amp; Environm Sci, Socorro, NM 87801 USA.</t>
  </si>
  <si>
    <t>nels.iverson@student.nmt.edu</t>
  </si>
  <si>
    <t>Dunbar, Nelia W./HZL-8693-2023</t>
  </si>
  <si>
    <t>Dunbar, Nelia W./0000-0002-5181-937X; Yates, Martin/0000-0002-9407-470X; Iverson, Nels/0000-0002-7110-5040; Kurbatov, Andrei/0000-0002-9819-9251</t>
  </si>
  <si>
    <t>NSF Division of Polar Programs [PLR-1142115, 1142069, PLR-1142007, 1042883]; Directorate For Geosciences; Office of Polar Programs (OPP) [1142007, 1142069] Funding Source: National Science Foundation; Office of Polar Programs (OPP); Directorate For Geosciences [1042883] Funding Source: National Science Foundation</t>
  </si>
  <si>
    <t>NSF Division of Polar Programs(National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t>
  </si>
  <si>
    <t>Funding for this project was provided by the NSF Division of Polar Programs through Grants PLR-1142115, 1142069 to New Mexico Tech and PLR-1142007, 1042883 to the University of Maine. Thanks to Siwan Davies, Stephen Kuehn, Peter Abbott, Nick Pearce, Chris Hayward, Mike Hall, Chris Gerbi, and William McIntosh for discussion about preparation of fine grained tephra samples. Brent Alloway and Gregory Zielinsky provided samples of the Kawakawa/Orunanui tephra. A great thanks to WAIS Divide and the RICE core teams for their work collecting and characterizing the ice cores. A final thanks to Siwan Davies and Stephen Kuehn for their comments, which greatly improved the manuscript.</t>
  </si>
  <si>
    <t>1871-1014</t>
  </si>
  <si>
    <t>1878-0350</t>
  </si>
  <si>
    <t>QUAT GEOCHRONOL</t>
  </si>
  <si>
    <t>Quat. Geochronol.</t>
  </si>
  <si>
    <t>10.1016/j.quageo.2016.09.008</t>
  </si>
  <si>
    <t>EZ4SH</t>
  </si>
  <si>
    <t>WOS:000404702300006</t>
  </si>
  <si>
    <t>Flink, AE; Noormets, R; Fransner, O; Hogan, KA; ORegan, M; Jakobsson, M</t>
  </si>
  <si>
    <t>Flink, Anne E.; Noormets, Riko; Fransner, Oscar; Hogan, Kelly A.; ORegan, Matthew; Jakobsson, Martin</t>
  </si>
  <si>
    <t>Past ice flow in Wahlenbergfjorden and its implications for late Quaternary ice sheet dynamics in northeastern Svalbard</t>
  </si>
  <si>
    <t>Submarine glacial landforms; Ice flow; Deglaciation; Surging glaciers; Multibeam-bathymetric data</t>
  </si>
  <si>
    <t>LAST GLACIAL MAXIMUM; SUBMARINE LANDFORMS; BARENTS SEA; DEEP-SEA; SURGE; PLEISTOCENE; SPITSBERGEN; SEDIMENTS; EXAMPLE; STREAM</t>
  </si>
  <si>
    <t>Wahlenbergfjorden is a fjord situated in the western part of Nordaustlandet in northern Svalbard. It leads into the 400 m deep Hinlopen Strait located between Nordaustlandet and Spitsbergen. High-resolution multibeam bathymetric and sub-bottom data, as well as sediment cores are used to study the past extent and dynamics of glaciers in Wahlenbergfjorden and western Nordaustlandet. The submarine landform assemblage in Wahlenbergfjorden consists of landforms characteristic of subglacial, ice marginal and proglacial conditions. Glacial lineations indicate that Wahlenbergfjorden was occupied by streaming ice during the LGM and most likely acted as an ice stream onset zone. Westward ice flow in the fjord merged with the ice stream in Hinlopen Strait. Absence of ice recessional landforms in outer Wahlenbergfjorden suggests relatively fast deglaciation, possibly by flotation of the glacier front in the deeper parts of the fjord. The inner part of Wahlenbergfjorden and Palanderbukta are characterized by De Geer moraines, indicating episodic retreat of a grounded glacier front. In Palanderbukta, longer still stands of the glacier terminus resulted in the formation of larger terminal moraine ridges. The inner part of Wahlenbergfjorden was deglaciated prior to 11.3 +/- 55 Cal. ka BP. The submarine landform assemblages in front of Bodleybreen, Etonbreen, Idunbreen, Frazerbreen and Aldousbreen confirm that these glaciers have surged at least once during the Holocene. (C) 2017 Elsevier Ltd. All rights reserved.</t>
  </si>
  <si>
    <t>[Flink, Anne E.; Noormets, Riko; Fransner, Oscar] Univ Ctr Svalbard, Dept Arctic Geol, N-9170 Longyearbyen, Norway; [Hogan, Kelly A.] British Antarctic Survey, Madingley Rd, Cambridge, England; [ORegan, Matthew; Jakobsson, Martin] Stockholm Univ, Dept Geol Sci, S-10691 Stockholm, Sweden</t>
  </si>
  <si>
    <t>University Centre Svalbard (UNIS); UK Research &amp; Innovation (UKRI); Natural Environment Research Council (NERC); NERC British Antarctic Survey; Stockholm University</t>
  </si>
  <si>
    <t>Flink, AE (corresponding author), Univ Ctr Svalbard, POB 156, N-9171 Longyearbyen, Norway.</t>
  </si>
  <si>
    <t>AnneF@unis.no</t>
  </si>
  <si>
    <t>Jakobsson, Martin/F-6214-2010; Jakobsson, Martin/JAN-6828-2023; O'Regan, Matt/P-6277-2019</t>
  </si>
  <si>
    <t>O'Regan, Matt/0000-0002-6046-1488; Noormets, Riko/0000-0002-2832-386X; Jakobsson, Martin/0000-0002-9033-3559</t>
  </si>
  <si>
    <t>Natural Environment Research Council [bas0100030] Funding Source: researchfish; NERC [bas0100030] Funding Source: UKRI</t>
  </si>
  <si>
    <t>10.1016/j.quascirev.2017.03.021</t>
  </si>
  <si>
    <t>EU7GV</t>
  </si>
  <si>
    <t>WOS:000401204200010</t>
  </si>
  <si>
    <t>Groeneveld, J; Henderiks, J; Renema, W; McHugh, CM; De Vleeschouwer, D; Christensen, BA; Fulthorpe, CS; Reuning, L; Gallagher, SJ; Bogus, K; Auer, G; Ishiwa, T</t>
  </si>
  <si>
    <t>Groeneveld, Jeroen; Henderiks, Jorijntje; Renema, Willem; McHugh, Cecilia M.; De Vleeschouwer, David; Christensen, Beth A.; Fulthorpe, Craig S.; Reuning, Lars; Gallagher, Stephen J.; Bogus, Kara; Auer, Gerald; Ishiwa, Takeshige</t>
  </si>
  <si>
    <t>Expedition 356 Scientists</t>
  </si>
  <si>
    <t>Australian shelf sediments reveal shifts in Miocene Southern Hemisphere westerlies</t>
  </si>
  <si>
    <t>ANNULAR MODE; CLIMATE; MIDDLE; VARIABILITY; BASIN; TRENDS; RECORD</t>
  </si>
  <si>
    <t>Global climate underwent a major reorganization when the Antarctic ice sheet expanded similar to 14 million years ago (Ma) (1). This event affected global atmospheric circulation, including the strength and position of the westerlies and the Intertropical Convergence Zone (ITCZ), and, therefore, precipitation patterns (2-5). We present new shallow-marine sediment records from the continental shelf of Australia (International Ocean Discovery Program Sites U1459 and U1464) providing the first empirical evidence linking high-latitude cooling around Antarctica to climate change in the (sub) tropics during the Miocene. We show that Western Australia was arid during most of the Middle Miocene. Southwest Australia became wetter during the Late Miocene, creating a climate gradient with the arid interior, whereas northwest Australia remained arid throughout. Precipitation and river runoff in southwest Australia gradually increased from 12 to 8 Ma, which we relate to a northward migration or intensification of the westerlies possibly due to increased sea ice in the Southern Ocean (5). Abrupt aridification indicates that the westerlies shifted back to a position south of Australia after 8 Ma. Our midlatitude Southern Hemisphere data are consistent with the inference that expansion of sea ice around Antarctica resulted in a northward movement of the westerlies. In turn, this may have pushed tropical atmospheric circulation and the ITCZ northward, shifting the main precipitation belt over large parts of Southeast Asia (4).</t>
  </si>
  <si>
    <t>[Groeneveld, Jeroen; De Vleeschouwer, David] Univ Bremen, MARUM Ctr Marine &amp; Environm Sci, Dept Geosci, D-28359 Bremen, Germany; [Henderiks, Jorijntje] Uppsala Univ, Dept Earth Sci, Villavagen 16, S-75236 Uppsala, Sweden; [Renema, Willem] Nat Biodivers Ctr, POB 9517, NL-2300 RA Leiden, Netherlands; [McHugh, Cecilia M.] CUNY Queens Coll, Sch Earth &amp; Environm Sci, 65-30 Kissena Blvd, Flushing, NY 11367 USA; [Christensen, Beth A.] Adelphi Univ, Environm Studies, 1 South Ave SCB 201, Garden City, NY 11530 USA; [Fulthorpe, Craig S.] Univ Texas Austin, Inst Geophys, 10100 Burnet Rd R2200, Austin, TX 78758 USA; [Reuning, Lars] Univ Aachen, Rhein Westfal TH Aachen, Geol Inst, Energy &amp; Mineral Resources Grp EMR, Wuellnerstr, D-52056 Aachen, Germany; [Gallagher, Stephen J.] Univ Melbourne, Sch Earth Sci, Melbourne, Vic 3010, Australia; [Bogus, Kara] Texas A&amp;M Univ, Int Ocean Discovery Program, 1000 Discovery Dr, College Stn, TX 77845 USA; [Auer, Gerald] Graz Univ, Inst Earth Sci, Heinrichstr 26, A-8010 Graz, Austria; [Ishiwa, Takeshige] Univ Tokyo, Atmosphere &amp; Ocean Res Inst, 5-1-5 Kashiwanoha, Kashiwa, Chiba 2778564, Japan; [Auer, Gerald] Japan Agcy Marine Earth Sci &amp; Technol, Dept Biogeochem, 2-15 Natsushimacho, Yokosuka, Kanagawa 2370061, Japan</t>
  </si>
  <si>
    <t>University of Bremen; Uppsala University; Naturalis Biodiversity Center; City University of New York (CUNY) System; Queens College NY (CUNY); Adelphi University; University of Texas System; University of Texas Austin; RWTH Aachen University; University of Melbourne; Melbourne Bioinformatics; Texas A&amp;M University System; Texas A&amp;M University College Station; University of Graz; University of Tokyo; Japan Agency for Marine-Earth Science &amp; Technology (JAMSTEC)</t>
  </si>
  <si>
    <t>Groeneveld, J (corresponding author), Univ Bremen, MARUM Ctr Marine &amp; Environm Sci, Dept Geosci, D-28359 Bremen, Germany.</t>
  </si>
  <si>
    <t>jgroeneveld@uni-bremen.de</t>
  </si>
  <si>
    <t>Gallagher, Stephen/AFL-9448-2022; Henderiks, Jorijntje/ABB-1080-2020; Auer, Gerald/AAE-5730-2021; Fulthorpe, Craig/AEV-6014-2022; McHugh, Cecilia/GSI-9307-2022; Franco, Daniel R/J-8724-2012; Reuning, Lars/F-5594-2014; Henderiks, Jorijntje/JGL-6527-2023; Lee, Eun Young/AGT-7876-2022; Renema, Willem/E-2851-2016; De Vleeschouwer, David/ABA-6115-2020; Ishiwa, Takeshige/AAH-6406-2021; McGregor, Helen/I-1479-2013</t>
  </si>
  <si>
    <t>Gallagher, Stephen/0000-0002-5593-2740; Franco, Daniel R/0000-0002-7790-1224; Reuning, Lars/0000-0002-3796-2874; Lee, Eun Young/0000-0001-7334-2050; De Vleeschouwer, David/0000-0002-3323-807X; Ishiwa, Takeshige/0000-0002-7566-4421; Fulthorpe, Craig/0000-0002-4414-2938; McGregor, Helen/0000-0002-4031-2282; Auer, Gerald/0000-0002-2574-0027; Henderiks, Jorijntje/0000-0001-9486-6275; Christensen, Beth/0000-0003-4346-0851; Bogus, Kara/0000-0003-4690-0576</t>
  </si>
  <si>
    <t>German Research Council [GR 3528/3-1]; Swedish Research Council (VR grants) [2011-4866, 2016-04434]; ARC Basin GENESIS Hub; Australian Research Council; ANZIC office (HVM, Expedition 356 Scientists group); US Science Support Program; Ministry of Oceans and Fisheries, Korea (EYL); Swedish Research Council [2016-04434] Funding Source: Swedish Research Council; Grants-in-Aid for Scientific Research [17K14410, 16J04542] Funding Source: KAKEN</t>
  </si>
  <si>
    <t>German Research Council(German Research Foundation (DFG)); Swedish Research Council (VR grants)(Swedish Research Council); ARC Basin GENESIS Hub(Australian Research Council); Australian Research Council(Australian Research Council); ANZIC office (HVM, Expedition 356 Scientists group); US Science Support Program; Ministry of Oceans and Fisheries, Korea (EYL); Swedish Research Council(Swedish Research Council); Grants-in-Aid for Scientific Research(Ministry of Education, Culture, Sports, Science and Technology, Japan (MEXT)Japan Society for the Promotion of ScienceGrants-in-Aid for Scientific Research (KAKENHI))</t>
  </si>
  <si>
    <t>We thank the German Research Council (grant GR 3528/3-1; to J.G.); the Swedish Research Council (VR grants 2011-4866 and 2016-04434; to J.H.); the ARC Basin GENESIS Hub (to S.J.G.); the Australian Research Council and the ANZIC office (HVM, Expedition 356 Scientists group); the US Science Support Program (to C.M.M., Expedition 356 Scientists group); and the Ministry of Oceans and Fisheries, Korea (EYL).</t>
  </si>
  <si>
    <t>e1602567</t>
  </si>
  <si>
    <t>10.1126/sciadv.1602567</t>
  </si>
  <si>
    <t>EV7KW</t>
  </si>
  <si>
    <t>Green Submitted, gold, Green Published</t>
  </si>
  <si>
    <t>WOS:000401955300027</t>
  </si>
  <si>
    <t>Tong, JX; Hu, BX; Yang, JZ</t>
  </si>
  <si>
    <t>Tong Juxiu; Hu, Bill X.; Yang JinZhong</t>
  </si>
  <si>
    <t>Comparison between gradient based UCODE_2005 and the ensemble Kalman Filter for transient groundwater flow inverse modeling</t>
  </si>
  <si>
    <t>SCIENCE CHINA-EARTH SCIENCES</t>
  </si>
  <si>
    <t>Inverse methods; UCODE_2005; Ensemble Kalman Filter; Heterogeneous hydraulic conductivity; Filter divergence</t>
  </si>
  <si>
    <t>SEQUENTIAL SELF-CALIBRATION; DATA ASSIMILATION; SOLUTE TRANSPORT; SCHEME</t>
  </si>
  <si>
    <t>Gradient based UCODE_2005 and data assimilation based on the Ensemble Kalman Filter (EnKF) are two different inverse methods. A synthetic two-dimensional flow case with four no-flow boundaries is used to compare the UCODE_2005 with the Ensemble Kalman Filter (EnKF) for their efficiency to inversely calculate and calibrate a hydraulic conductivity field based on hydraulic head data. A zonal, random heterogeneous conductivity field is calibrated by assimilating the time series of heads observed in monitoring wells. The study results indicate that the two inverse methods, UCODE_2005 and EnKF, could be used to calibrate the hydraulic conductivity field to a certain degree. More available observations and information about the conductivity field, more accurate inverse results will be obtained for the UCODE_2005. On the other hand, for a realistic zonal heterogeneous hydraulic conductivity field, EnKF can only efficiently determine the hydraulic conductivity field at the first several assimilated time steps. The results obtained by the UCODE_2005 look better than those by the EnKF. This is possibly due to the fact that the UCODE_2005 uses observed head data at every time step, while EnKF can only use observed heads at first several steps due to the filter divergence problem.</t>
  </si>
  <si>
    <t>[Tong Juxiu; Hu, Bill X.] China Univ Geosci, Key Lab Groundwater Cycle &amp; Environm Evolut, Minist Educ, Beijing 100083, Peoples R China; [Tong Juxiu; Hu, Bill X.] China Univ Geosci, Sch Water Resources &amp; Environm, Beijing 100083, Peoples R China; [Hu, Bill X.] Florida State Univ, Dept Earth Ocean &amp; Atmospher Sci Geol Sci, 108 Carraway Bldg,909 Antarctic Way, Tallahassee, FL 32306 USA; [Yang JinZhong] Wuhan Univ, State Key Lab Water Resources &amp; Hydropower Engn S, Wuhan 430072, Peoples R China</t>
  </si>
  <si>
    <t>China University of Geosciences; China University of Geosciences; State University System of Florida; Florida State University; Wuhan University</t>
  </si>
  <si>
    <t>Hu, BX (corresponding author), China Univ Geosci, Key Lab Groundwater Cycle &amp; Environm Evolut, Minist Educ, Beijing 100083, Peoples R China.;Hu, BX (corresponding author), China Univ Geosci, Sch Water Resources &amp; Environm, Beijing 100083, Peoples R China.;Hu, BX (corresponding author), Florida State Univ, Dept Earth Ocean &amp; Atmospher Sci Geol Sci, 108 Carraway Bldg,909 Antarctic Way, Tallahassee, FL 32306 USA.</t>
  </si>
  <si>
    <t>bill.x.hu@gmail.com</t>
  </si>
  <si>
    <t>Basic Research Funds for the Central Universities [2652015116]; National Natural Science Foundation of China [51209187, 41530316, 91125024]; National Key Research and Development Program of China [2016YFC0402805]; Beijing Higher Education Young Elite Teacher Project [YETP0653]</t>
  </si>
  <si>
    <t>Basic Research Funds for the Central Universities; National Natural Science Foundation of China(National Natural Science Foundation of China (NSFC)); National Key Research and Development Program of China; Beijing Higher Education Young Elite Teacher Project</t>
  </si>
  <si>
    <t>Thanks give to Wouter Zijl for his helpful discussion and suggestion for this study. This work was partly supported by the Basic Research Funds for the Central Universities (Grant No. 2652015116), the National Natural Science Foundation of China (Grant Nos. 51209187, 41530316 &amp; 91125024), the National Key Research and Development Program of China (Grant No. 2016YFC0402805) and the Beijing Higher Education Young Elite Teacher Project (Grant No. YETP0653).</t>
  </si>
  <si>
    <t>1674-7313</t>
  </si>
  <si>
    <t>1869-1897</t>
  </si>
  <si>
    <t>SCI CHINA EARTH SCI</t>
  </si>
  <si>
    <t>Sci. China-Earth Sci.</t>
  </si>
  <si>
    <t>10.1007/s11430-015-0235-1</t>
  </si>
  <si>
    <t>ET8LT</t>
  </si>
  <si>
    <t>WOS:000400551600006</t>
  </si>
  <si>
    <t>Ansorge, IJ; Skelton, P; Bekker, A; de Bruyn, PJN; Butterworth, D; Cilliers, P; Cooper, J; Cowan, DA; Dorrington, R; Fawcett, S; Fietz, S; Findlay, KP; Froneman, PW; Grantham, GH; Greve, M; Hedding, D; Hofmeyr, GJG; Kosch, M; le Roux, PC; Lucas, M; MacHutchon, K; Meiklejohn, I; Nel, W; Pistorius, P; Ryan, PG; Stander, J; Swart, S; Treasure, A; Vichi, M; van Vuuren, BJ</t>
  </si>
  <si>
    <t>Ansorge, Isabelle J.; Skelton, Paul; Bekker, Annie; de Bruyn, P. J. Nico; Butterworth, Doug; Cilliers, Pierre; Cooper, John; Cowan, Don A.; Dorrington, Rosemary; Fawcett, Sarah; Fietz, Susanne; Findlay, Ken P.; Froneman, P. William; Grantham, Geoff H.; Greve, Michelle; Hedding, David; Hofmeyr, G. J. Greg; Kosch, Michael; le Roux, Peter C.; Lucas, Mike; MacHutchon, Keith; Meiklejohn, Ian; Nel, Werner; Pistorius, Pierre; Ryan, Peter G.; Stander, Johan; Swart, Sebastiaan; Treasure, Anne; Vichi, Marcello; van Vuuren, Bettine Jansen</t>
  </si>
  <si>
    <t>Exploring South Africa's southern frontier: A 20-year vision for polar research through the South African National Antarctic Programme</t>
  </si>
  <si>
    <t>SOUTH AFRICAN JOURNAL OF SCIENCE</t>
  </si>
  <si>
    <t>SANAP; marine Antarctic research strategy; Prince Edward Islands; Antarctica; Southern Ocean</t>
  </si>
  <si>
    <t>CLIMATE-CHANGE; MARION ISLAND; OCEAN; VARIABILITY; PHYLOGEOGRAPHY; REFLECTS; HISTORY; FLUXES; SINK; SEAL</t>
  </si>
  <si>
    <t>[Ansorge, Isabelle J.; Fawcett, Sarah; Swart, Sebastiaan; Treasure, Anne; Vichi, Marcello] Univ Cape Town, Dept Oceanog, Cape Town, South Africa; [Ansorge, Isabelle J.; Swart, Sebastiaan; Treasure, Anne; Vichi, Marcello] Univ Cape Town, Marine Res Inst Ma Re, Cape Town, South Africa; [Skelton, Paul] South African Inst Aquat Biodivers, Grahamstown, South Africa; [Bekker, Annie] Stellenbosch Univ, Dept Mech &amp; Mechatron Engn, Stellenbosch, South Africa; [de Bruyn, P. J. Nico; Treasure, Anne] Univ Pretoria, Dept Zool &amp; Entomol, Mammal Res Inst, Pretoria, South Africa; [Cowan, Don A.] Univ Cape Town, Dept Math &amp; Appl Math, Cape Town, South Africa; [Cilliers, Pierre; Kosch, Michael] South African Natl Space Agcy, Hermanus, South Africa; [Cooper, John] Stellenbosch Univ, Dept Bot &amp; Zool, Antarctic Legacy South Africa, Stellenbosch, South Africa; [Cowan, Don A.] Univ Pretoria, Ctr Microbial Ecol &amp; Genom, Pretoria, South Africa; [Dorrington, Rosemary] Rhodes Univ, Dept Biochem &amp; Microbiol, DST NRF Res Chair Marine Nat Prod, Grahamstown, South Africa; [Fietz, Susanne] Stellenbosch Univ, Dept Earth Sci, Stellenbosch, South Africa; [Findlay, Ken P.] Cape Peninsula Univ Technol, Dept Conservat &amp; Marine Sci, CPUT Res Chair Oceans Econ, Cape Town, South Africa; [Froneman, P. William] Rhodes Univ, Dept Zool &amp; Entomol, Southern Ocean Grp, Grahamstown, South Africa; [Grantham, Geoff H.] Univ Johannesburg, Dept Geol, Johannesburg, South Africa; [Greve, Michelle; le Roux, Peter C.] Univ Pretoria, Dept Plant &amp; Soil Sci, Pretoria, South Africa; [Hedding, David] Univ South Africa, Dept Geog, Pretoria, South Africa; [Hofmeyr, G. J. Greg] Port Elizabeth Museum, Port Elizabeth, South Africa; [Hofmeyr, G. J. Greg; Pistorius, Pierre] Nelson Mandela Univ, Dept Zool, Port Elizabeth, South Africa; [Lucas, Mike] Univ Cape Town, Dept Biol Sci, Cape Town, South Africa; [MacHutchon, Keith] Coastal Marine Technol Consulting Engineers, Cape Town, South Africa; [Meiklejohn, Ian] Rhodes Univ, Dept Geog, Grahamstown, South Africa; [Nel, Werner] Univ Ft Hare, Dept Environm Sci, Alice, South Africa; [Ryan, Peter G.] Univ Cape Town, FitzPatrick Inst African Ornithol, Cape Town, South Africa; [Stander, Johan] South African Weather Serv Marine Res, Cape Town, South Africa; [Swart, Sebastiaan] Univ Gothenburg, Dept Marine Sci, Gothenburg, Sweden; [van Vuuren, Bettine Jansen] Univ Johannesburg, Ctr Ecol Genom &amp; Wildlife Conservat, Johannesburg, South Africa</t>
  </si>
  <si>
    <t>University of Cape Town; University of Cape Town; National Research Foundation - South Africa; South African Institute for Aquatic Biodiversity; Stellenbosch University; University of Pretoria; University of Cape Town; Stellenbosch University; University of Pretoria; Rhodes University; Stellenbosch University; Cape Peninsula University of Technology; Rhodes University; University of Johannesburg; University of Pretoria; University of South Africa; Nelson Mandela University; University of Cape Town; Rhodes University; University of Fort Hare; University of Cape Town; University of Gothenburg; University of Johannesburg</t>
  </si>
  <si>
    <t>Ansorge, IJ (corresponding author), Univ Cape Town, Dept Oceanog, Cape Town, South Africa.;Ansorge, IJ (corresponding author), Univ Cape Town, Marine Res Inst Ma Re, Cape Town, South Africa.</t>
  </si>
  <si>
    <t>isabelle.ansorge@uct.ac.za</t>
  </si>
  <si>
    <t>Cilliers, Pierre/ABI-2944-2020; Hofmeyr, G. J. Greg/AAV-3286-2020; Hedding, David William/F-3044-2011; Jansen van Vuuren, Bettine/E-6227-2013; Froneman, William/C-9085-2012; Vichi, Marcello/B-8719-2008; Froneman, William/GLS-0460-2022; Meiklejohn, Ian/F-3183-2012; Cowan, Donald A/E-3991-2012; ANSORGE, ISABELLE/AAY-7396-2020; Swart, Sebastiaan/U-5498-2017; Vichi, Marcello/GLR-9823-2022; le Roux, Peter Christiaan/E-7784-2011; de Bruyn, P. J. Nico/E-4176-2010; Cilliers, Pierre/AAA-2032-2019; Grantham, Geoffrey/M-8637-2014; Fietz, Susanne/A-8695-2012; Findlay, Ken/A-5766-2019</t>
  </si>
  <si>
    <t>Cilliers, Pierre/0000-0003-3175-5134; Hofmeyr, G. J. Greg/0000-0003-0283-6058; Hedding, David William/0000-0002-9748-4499; Jansen van Vuuren, Bettine/0000-0002-5334-5358; Vichi, Marcello/0000-0002-0686-9634; Froneman, William/0000-0003-0615-1355; Meiklejohn, Ian/0000-0001-8890-2938; Cowan, Donald A/0000-0001-8059-861X; Vichi, Marcello/0000-0002-0686-9634; le Roux, Peter Christiaan/0000-0002-7941-7444; de Bruyn, P. J. Nico/0000-0002-9114-9569; Dorrington, Rosemary/0000-0002-8694-367X; Pistorius, Pierre/0000-0001-6561-7069; Bekker, Anriette/0000-0001-8697-6503; Ansorge, Isabelle/0000-0001-7071-8147; Fawcett, Sarah/0000-0002-0878-6496; Nel, Werner/0000-0002-3769-4937; Grantham, Geoffrey/0000-0001-9862-0547; Fietz, Susanne/0000-0003-0896-8385; Findlay, Ken/0000-0001-7154-8805; Treasure, Anne/0000-0002-8345-4811</t>
  </si>
  <si>
    <t>ACAD SCIENCE SOUTH AFRICA A S S AF</t>
  </si>
  <si>
    <t>LYNWOOD RIDGE</t>
  </si>
  <si>
    <t>PO BOX 72135, LYNWOOD RIDGE 0040, SOUTH AFRICA</t>
  </si>
  <si>
    <t>0038-2353</t>
  </si>
  <si>
    <t>1996-7489</t>
  </si>
  <si>
    <t>S AFR J SCI</t>
  </si>
  <si>
    <t>S. Afr. J. Sci.</t>
  </si>
  <si>
    <t>5-6</t>
  </si>
  <si>
    <t>a0205</t>
  </si>
  <si>
    <t>10.17159/sajs.2017/a0205</t>
  </si>
  <si>
    <t>EW2LH</t>
  </si>
  <si>
    <t>WOS:000402327600004</t>
  </si>
  <si>
    <t>Corsolini, S; Borghesi, N</t>
  </si>
  <si>
    <t>Corsolini, Simonetta; Borghesi, Nicoletta</t>
  </si>
  <si>
    <t>A comparative assessment of fatty acids in Antarctic organisms from the Ross Sea: Occurrence and distribution</t>
  </si>
  <si>
    <t>PUFAs; FAMEs; Antarctic fish and echinoderms; Adelie penguin; Ross Sea; Organic pollutants</t>
  </si>
  <si>
    <t>DICENTRARCHUS-LABRAX; ATLANTIC SALMON; FISH; PHOSPHOGLYCERIDES; TEMPERATURE; METABOLISM; SEABREAM; TELEOSTS; MUSCLE; GROWTH</t>
  </si>
  <si>
    <t>Lipids are important energy source and structural component for cellular membranes and tissues, involved in the osmoregulation and immune response, and are very important in the bioaccumulation of lipophilic chemicals too. Among lipids, fatty acids (FM) give information on diet of organisms, since FA of consumer lipids can be related to those of diet; plants and animals vary in their FA signature because of differences in the synthesis of lipids. In this study, lipid content and FA composition in tissues of Antarctic organisms from the Ross Sea (Odontaster validus, Sterechinus neumayeri, Chionodraco hamatus, Trematomus bernacchii, Pygoscelis adeliae) were assessed. Differences in lipid characterisation were found between both species and tissues. The lipid content was highest in C. hamatus liver (3.51%), and lowest in T. bernacchii muscle (0.16%). The polyunsaturated fatty acids (PUFAs) prevailed in the C hamatus muscle, and among FAs, the docosahexaenoic acid (DHA; C22:6n3) was the most abundant (20.93%). The C22:6n3 accumulated more in fish and penguin tissues than in invertebrate species. The high contribution of unsaturated fatty acids (&gt;74%) in fish tissues wats related to the low environmental temperature. The fatty acid profile and the essential fatty acids occurrence were also discussed in the light of physiological adaptations and feeding habits of organisms; the relationships with contaminant bioaccumulation were also assessed. To the best of our knowledge, this is the first report of fatty acid composition and fingerprint in a Ross Sea trophic web and their correlation with contaminant concentration. (C) 2017 Elsevier Ltd. All rights reserved.</t>
  </si>
  <si>
    <t>[Corsolini, Simonetta; Borghesi, Nicoletta] Univ Siena, Dept Phys Earth &amp; Environm Sci, Via Mattioli 4, I-53100 Siena, Italy</t>
  </si>
  <si>
    <t>University of Siena</t>
  </si>
  <si>
    <t>Italian Antarctic Research Program (PNRA) [2004/1.2]</t>
  </si>
  <si>
    <t>Italian Antarctic Research Program (PNRA)</t>
  </si>
  <si>
    <t>The Italian Antarctic Research Program (PNRA) funded this research (Project nos. 2004/1.2).The authors are very grateful to Valerio Volpi, Daniela Pellegrino, Gaetano Odierna, for their precious help during sampling, to Fabrizio Cancelli and Silvia Olmastroni for their help during the dissection of the penguin in the laboratory of taxidermy of the Accedemia dei Fisiocritici in Siena, Italy.</t>
  </si>
  <si>
    <t>10.1016/j.chemosphere.2017.02.031</t>
  </si>
  <si>
    <t>WOS:000397076000081</t>
  </si>
  <si>
    <t>Bock, C; Wermter, FC; Mintenbeck, K</t>
  </si>
  <si>
    <t>Bock, Christian; Wermter, Felizitas C.; Mintenbeck, Katja</t>
  </si>
  <si>
    <t>MRI and MRS on preserved samples as a tool in fish ecology</t>
  </si>
  <si>
    <t>MAGNETIC RESONANCE IMAGING</t>
  </si>
  <si>
    <t>Magnetic resonance imaging; NMR spectroscopy; Preserved samples; Formalin; Pleuragramma antarctica; Lipids</t>
  </si>
  <si>
    <t>FATTY-ACID COMPOSITION; BIOCHEMICAL-COMPOSITION; NOTOTHENIOID FISH; LIVER; QUANTIFICATION; LIFE</t>
  </si>
  <si>
    <t>Magnetic Resonance Imaging (MRI) and Magnetic Resonance Spectroscopy (MRS) gain increasing attention and importance as a tool in marine ecology. So far, studies were largely limited to morphological studies, e.g. for the creation of digital libraries. Here, the utility of MRI and MRS for ecologists is tested and exemplified using formalin preserved samples of the Antarctic silverfish, Pleuragramma antarctica. As this species lacks a swim bladder, buoyancy is attained by the deposition of large amounts of lipids that are mainly stored in subcutaneous and intermuscular lipid sacs. In this study MRI and MRS are not only used to study internal morphology, but additionally to investigate functional morphology and to measure parameters of high ecological interest. The data are compared with literature data obtained by means of traditional ecological methods. The results from this study show that MR scans are not only an alternative to histological sections (as shown before), but even allow the visualization of particular features in delicate soft tissues, such as Pleuragramma's lipid sacs. 3D rendering techniques proved to be a useful tool to study organ volumes and lipid content, which usually requires laborious chemical lipid extraction and analysis. Moreover, the application of MRS even allows for an analysis of lipids and fatty acids within lipid sacs, which wouldn't be possible using destructive methods. MRI and MRS, in particular when used in combination, have the capacity to provide useful data on parameters of high ecological relevance and thus have proven to be a highly valuable addition, if not alternative, to the classical methods. (C) 2016 Elsevier Inc. All rights reserved.</t>
  </si>
  <si>
    <t>[Bock, Christian; Wermter, Felizitas C.; Mintenbeck, Katja] Alfred Wegener Inst Helmholtz Ctr Polar &amp; Marine, Bremerhaven, Germany</t>
  </si>
  <si>
    <t>Bock, C (corresponding author), Alfred Wegener Inst Helmholtz Ctr Polar &amp; Marine, Integrat Ecophysiol, Handelshafen 12, D-27570 Bremerhaven, Germany.</t>
  </si>
  <si>
    <t>Christian.Bock@awi.de</t>
  </si>
  <si>
    <t>Bock, Christian/B-4421-2017</t>
  </si>
  <si>
    <t>Bock, Christian/0000-0003-0052-3090; Wermter, Felizitas Charlotte/0000-0002-7933-8447; Mintenbeck, Katja/0000-0002-3239-6308</t>
  </si>
  <si>
    <t>German Research Foundation (DFG) [SSP 1158, MI 1391/1-1]</t>
  </si>
  <si>
    <t>German Research Foundation (DFG)(German Research Foundation (DFG))</t>
  </si>
  <si>
    <t>We like to thank Prof. Dr. Rascher-Friesenhausen for providing a MeVis Lab software licence and the crew and officers of FS Polarstern during ANTXXVII/3 for their professional support. We also acknowledge the American Society of Ichthyologists and Herpetologists (ASIH), in particular the Editor of Copeia, Christopher Beachy, for granting permission to reprint Fig. 2A from Eastman &amp; DeVries [14] (Fig. 1C in this manuscript). Two anonymous reviewers provided helpful comments on an earlier version of the manuscript. This work including animal sampling and analyses were funded by the German Research Foundation (DFG, SSP 1158), grant MI 1391/1-1.</t>
  </si>
  <si>
    <t>STE 800, 230 PARK AVE, NEW YORK, NY 10169 USA</t>
  </si>
  <si>
    <t>0730-725X</t>
  </si>
  <si>
    <t>1873-5894</t>
  </si>
  <si>
    <t>MAGN RESON IMAGING</t>
  </si>
  <si>
    <t>Magn. Reson. Imaging</t>
  </si>
  <si>
    <t>10.1016/j.mri.2016.12.017</t>
  </si>
  <si>
    <t>Radiology, Nuclear Medicine &amp; Medical Imaging</t>
  </si>
  <si>
    <t>EQ3YA</t>
  </si>
  <si>
    <t>WOS:000398008700007</t>
  </si>
  <si>
    <t>Letessier, TB; Bouchet, PJ; Meeuwig, JJ</t>
  </si>
  <si>
    <t>Letessier, Tom B.; Bouchet, Phil J.; Meeuwig, Jessica J.</t>
  </si>
  <si>
    <t>Sampling mobile oceanic fishes and sharks: implications for fisheries and conservation planning</t>
  </si>
  <si>
    <t>pelagic sharks; tuna; migratory; MPA; RFMO; spatial management</t>
  </si>
  <si>
    <t>TUNA THUNNUS-ALBACARES; STABLE-ISOTOPE ANALYSIS; MARINE PROTECTED AREAS; YELLOWFIN TUNA; BLUEFIN TUNA; FISHING EFFORT; PACIFIC-OCEAN; INDIAN-OCEAN; BIGEYE TUNA; POPULATION-STRUCTURE</t>
  </si>
  <si>
    <t>Tuna, billfish, and oceanic sharks [hereafter referred to as 'mobile oceanic fishes and sharks' (MOFS)] are characterised by conservative life-history strategies and highly migratory behaviour across large, transnational ranges. Intense exploitation over the past 65 years by a rapidly expanding high-seas fishing fleet has left many populations depleted, with consequences at the ecosystem level due to top-down control and trophic cascades. Despite increases in both CITES and IUCN Red Listings, the demographic trajectories of oceanic sharks and billfish are poorly quantified and resolved at geographic and population levels. Amongst MOFS trajectories, those of tunas are generally considered better understood, yet several populations remain either overfished or of unknown status. MOFS population trends and declines therefore remain contentious, partly due to challenges in deriving accurate abundance and biomass indices. Two major management strategies are currently recognised to address conservation issues surrounding MOFS: (i) internationally ratified legal frameworks and their associated regional fisheries management organisations (RFMOs); and (ii) spatio-temporal fishery closures, including no-take marine protected areas (MPAs). In this context, we first review fishery-dependent studies relying on data derived from catch records and from material accessible through fishing extraction, under the umbrella of RFMO-administrated management. Challenges in interpreting catch statistics notwithstanding, we find that fishery-dependent studies have enhanced the accuracy of biomass indices and the management strategies they inform, by addressing biases in reporting and non-random effort, and predicting drivers of spatial variability across meso-and oceanic scales in order to inform stock assessments. By contrast and motivated by the increase in global MPA coverage restricting extractive activities, we then detail ways in which fishery-independent methods are increasingly improving and steering management by exploring facets of MOFS ecology thus far poorly grasped. Advances in telemetry are increasingly used to explore ontogenic and seasonal movements, and provide means to consider MOFS migration corridors and residency patterns. The characterisation of trophic relationships and prey distribution through biochemical analysis and hydro-acoustics surveys has enabled the tracking of dietary shifts and mapping of high-quality foraging grounds. We conclude that while a scientific framework is available to inform initial design and subsequent implementation ofMPAs, there is a shortage in the capacity to answer basic but critical questions about MOFS ecology (who, when, where?) required to track populations non-extractively, thereby presenting a barrier to assessing empirically the performance of MPA-based management for MOFS. This sampling gap is exacerbated by the increased establishment of large (&gt; 10000 km(2)) and very large MPAs (VLMPAs, &gt; 100000 km(2))-great expanses of ocean lacking effectivemonitoring strategies and survey regimes appropriate to those scales. To address this shortcoming, we demonstrate the use of a non-extractive protocol to measure MOFS population recovery and MPA efficiency. We further identify technological avenues for monitoring at the VLMPA scale, through the use of spotter planes, drones, satellite technology, and horizontal acoustics, and highlight their relevance to the ecosystem-based framework of MOFS management.</t>
  </si>
  <si>
    <t>[Letessier, Tom B.; Bouchet, Phil J.; Meeuwig, Jessica J.] Univ Western Australia M470, Ctr Marine Futures, Oceans Inst, 35 Stirling Highway, Crawley, WA 6009, Australia; [Letessier, Tom B.] Zool Soc London, Inst Zool, Regents Pk, London NW1 4RY, England; [Bouchet, Phil J.; Meeuwig, Jessica J.] Univ Western Australia M470, Sch Anim Biol, 35 Stirling Highway, Crawley, WA 6009, Australia</t>
  </si>
  <si>
    <t>University of Western Australia; Zoological Society of London; University of Western Australia</t>
  </si>
  <si>
    <t>Letessier, TB (corresponding author), Univ Western Australia M470, Ctr Marine Futures, Oceans Inst, 35 Stirling Highway, Crawley, WA 6009, Australia.;Letessier, TB (corresponding author), Zool Soc London, Inst Zool, Regents Pk, London NW1 4RY, England.</t>
  </si>
  <si>
    <t>tom.letessier@uwa.edu.au</t>
  </si>
  <si>
    <t>Bouchet, Phil J/I-4360-2019; Letessier, Tom Bech/AAV-2759-2020</t>
  </si>
  <si>
    <t>Bouchet, Phil J/0000-0002-2144-2049; Letessier, Tom Bech/0000-0003-4011-0207; Meeuwig, Jessica/0000-0003-1169-8785</t>
  </si>
  <si>
    <t>Marine Biodiversity Hub through the Australian Government's National Environmental Research Program (NERP); Bertarelli Foundation</t>
  </si>
  <si>
    <t>Marine Biodiversity Hub through the Australian Government's National Environmental Research Program (NERP)(Australian Government); Bertarelli Foundation</t>
  </si>
  <si>
    <t>T.B.L. and P.J.B. were supported by the Marine Biodiversity Hub through the Australian Government's National Environmental Research Program (NERP). T.B.L. and J.J.M. would like to acknowledge the support of the Bertarelli Foundation. Marine Biodiversity Hub partners include the Institute for Marine and Antarctic Studies, University of Tasmania; CSIRO, Geoscience Australia, Australian Institute of Marine Science, Museum Victoria, Charles Darwin University and the University of Western Australia. P.J.B. was the recipient of a scholarship for international research fees (SIRF) during the course of this work. We thank Heather Koldewey for ideas and concepts behind this review. We are grateful to Sara Maxwell and one anonymous reviewer for constructive comments.</t>
  </si>
  <si>
    <t>10.1111/brv.12246</t>
  </si>
  <si>
    <t>WOS:000398567200001</t>
  </si>
  <si>
    <t>Spinola, DN; Portes, RD; Schaefer, CEGR; Solleiro-Rebolledo, E; Pi-Puig, T; Kühn, P</t>
  </si>
  <si>
    <t>Spinola, Diogo Noses; Portes, Raquel de Castro; Goncalves Reynaud Schaefer, Carlos Ernesto; Solleiro-Rebolledo, Elizabeth; Pi-Puig, Theresa; Kuehn, Peter</t>
  </si>
  <si>
    <t>Eocene paleosols on King George Island, Maritime Antarctica: Macromorphology, micromorphology and mineralogy</t>
  </si>
  <si>
    <t>CATENA</t>
  </si>
  <si>
    <t>Red layers; Antarctic paleosols; Micromorphology; Paleosol identification; Eocene greenhouse</t>
  </si>
  <si>
    <t>CLAY-MINERALS; WEST ANTARCTICA; DESERT MARGIN; VOLCANIC ASH; SOILS; ORIGIN; GEOCHEMISTRY; PALEOCLIMATE; PEDOGENESIS; HORIZONS</t>
  </si>
  <si>
    <t>We investigated the origin of reddish layers between basalt flows in an Early Eocene volcanic succession in King George Island, Maritime Antarctica. Previous studies in the area classified these layers as regolith surfaces, baked zones and paleosols, but the properties of these layers and the reasons for their classification are not clarified. Since the Early Eocene epoch was one of the warmest phases on Earth during the Cenozoic, a proper investigation of these layers is crucial to obtain additional regional information about the paleoenvironment. The focus of this study is on three profiles located in the Admiralty Bay on King George Island. They were classified as paleosols based on field, micromorphological and mineralogical properties. Main soil forming processes identified by micromorphological analyses were clay neoformation, pedo-/bioturbation and a weak redoximorphosis. The occurrence of plant residues in all profiles was a reliable indicator that these soils formed a land surface during the Early Eocene. Abundant Weathered volcanic glass and pyroclasts May indicate andosolization although the main diagnostic features for Andosols, which are the presence of nanocrystalline minerals and organic matter accumulation, were not detected or only in small amounts, respectively. The long-term burial of the paleosol could be a reason for lacking of these diagnostic features. Clay minerals associated with moderately weathered volcanic soils (smectite) were detected in the X-ray diffraction analysis. A predominantly reddish colour of most of the soil horizons is given by hematite, confirmed by the determination of pedogenic oxides. Nevertheless, rubification was not solely a result of pedbgenesis but also of reddening of oxyhydroxides by dehydration during diagenesis. Other diagenetic processes were burial compaction, loss of organic matter and induration. In the horizons directly buried by a basalt flow, voids were filled by zeolite crystals, an effect related to lava cooling. Another possible diagenetic effect was the geochemical rejuvenation and homogenization of the profiles. Despite the occurrence of these features, the results are in agreement with previous studies, indicating a humid temperate paleoclimate for King George Island during the Early Eocene. (C) 2017 Elsevier B.V. All rights reserved.</t>
  </si>
  <si>
    <t>[Spinola, Diogo Noses; Kuehn, Peter] Eberhard Karis Univ Tubingen, Lab Soil Sci &amp; Geoecol, Res Area Geog Soil Sci &amp; Geomorphol, Rumelinstr 19-23, D-72070 Tubingen, Germany; [Portes, Raquel de Castro] Univ Zurich, Dept Geog, Winterthurerstr 190, CH-8057 Zurich, Switzerland; [Goncalves Reynaud Schaefer, Carlos Ernesto] Univ Fed Vicosa, Dept Soil Sci, BR-36570000 Vicosa, MG, Brazil; [Solleiro-Rebolledo, Elizabeth; Pi-Puig, Theresa] Univ Nacl Autonoma Mexico, Inst Geol, Circuito Invest Cient S-N, Mexico City 04510, DF, Mexico</t>
  </si>
  <si>
    <t>Eberhard Karls University of Tubingen; University of Zurich; Universidade Federal de Vicosa; Universidad Nacional Autonoma de Mexico</t>
  </si>
  <si>
    <t>Spinola, DN (corresponding author), Eberhard Karis Univ Tubingen, Lab Soil Sci &amp; Geoecol, Res Area Geog Soil Sci &amp; Geomorphol, Rumelinstr 19-23, D-72070 Tubingen, Germany.</t>
  </si>
  <si>
    <t>diogo.noses-spinola@geographie.uni-tuebingen.de</t>
  </si>
  <si>
    <t>Schaefer, Carlos Ernesto/AAY-4977-2020; Kühn, Peter/A-9146-2009; Spinola, Diogo/V-8593-2018</t>
  </si>
  <si>
    <t>Kühn, Peter/0000-0002-4417-5633; Solleiro Rebolledo, Elizabeth/0000-0001-7395-8429; Spinola, Diogo/0000-0003-3525-9461; Ernesto Goncalves Reynaud Schaefer, Carlos/0000-0001-5735-3227</t>
  </si>
  <si>
    <t>National Counsel of Technological and Scientific Development (CNPq), Brazil</t>
  </si>
  <si>
    <t>National Counsel of Technological and Scientific Development (CNPq), Brazil(Conselho Nacional de Desenvolvimento Cientifico e Tecnologico (CNPQ))</t>
  </si>
  <si>
    <t>The present work was possible with financial support of the National Counsel of Technological and Scientific Development (CNPq), Brazil. We thank the Brazilian Navy and the colleagues (38. Polska Wyprawa Antarktyczna) from the Henry Arctowski Station for all logistics and much additional support to realize the successful field work during the Antarctic expedition in the summer of 2013/2014. DNS is greatly indebted to Panagiotis Kritikakis (Tubingen University), who helped a lot with the production of the thin sections. We thank Dr. Ann-Kathrin Schatz (University of Tubingen) for comments and proofreading of the manuscript. We also are thankful to the three unknown reviewers for their helpful comments on an earlier version of the manuscript.</t>
  </si>
  <si>
    <t>0341-8162</t>
  </si>
  <si>
    <t>1872-6887</t>
  </si>
  <si>
    <t>Catena</t>
  </si>
  <si>
    <t>10.1016/j.catena.2017.01.004</t>
  </si>
  <si>
    <t>Geosciences, Multidisciplinary; Soil Science; Water Resources</t>
  </si>
  <si>
    <t>Geology; Agriculture; Water Resources</t>
  </si>
  <si>
    <t>EM3MF</t>
  </si>
  <si>
    <t>WOS:000395218600008</t>
  </si>
  <si>
    <t>Yu, PS; Kienast, M; Chen, MT; Cacho, I; Flores, JA</t>
  </si>
  <si>
    <t>Yu, Pai-Sen; Kienast, Markus; Chen, Min-Te; Cacho, Isabel; Flores, Jos Abel</t>
  </si>
  <si>
    <t>Surface hydrographic and water mass variability in the eastern equatorial Pacific during interglacial-like Marine Isotope Stage 14</t>
  </si>
  <si>
    <t>QUATERNARY INTERNATIONAL</t>
  </si>
  <si>
    <t>Eastern equatorial Pacific; Marine Isotope Stage (MIS) 14; Multiple sea surface temperature; Eastern equatorial Pacific cold tongue; ITCZ</t>
  </si>
  <si>
    <t>SOUTH CHINA SEA; MIDPLEISTOCENE CLIMATE TRANSITION; NORTH-ATLANTIC; FORAMINIFERAL MG/CA; CARBON-DIOXIDE; POLLEN RECORD; TROPICAL SST; PLEISTOCENE; CIRCULATION; DELTA-O-18</t>
  </si>
  <si>
    <t>Surface temperature and water masses variability in the Eastern Equatorial Pacific (EEP) is sensitive to global climate changes in response to either Northern/Southern Hemisphere forcing or low-latitude atmosphere-ocean feedback. High-latitude processes can influence tropical oceans via atmospheric bridges and oceanic tunnels, whereas perturbations in the low-latitude atmosphere-ocean modulate the behavior of low-latitude oceans. For climate paradoxes of prolonged warmth MIS (Marine Isotope Stage) 15-13, little has known about any causes or any possible tele-connections between the EEP and high-/ low-latitudes because lack of observations. To address this issue, multiple sea surface temperature (SST) records (i.e. faunal transfer function-based, Mg/Ca ratio on mono-species, and U-37(k)'-derived temperature estimates) and faunal-derived water masses are generated from the EEP core ODP 1240. Our results reveal a glacial EEP MIS 14 cooling (similar to 1-2 degrees C) with higher eastern boundary current faunal abundances as compared to adjacent interglacial stages. In a glacial MIS 14 scenario, we suggest that the EEP areas would receive more nutrient-rich, cold waters from high latitudes via the Peru-Chile Current. The atmospheric bridge of a northwardly Intertropical Convergence Zone (ITCZ) shift and the resulting heat/ moisture transport across the eastern equatorial Atlantic (EEA) would weaken the magnitude of the EEP cold tongue in MIS 14. We also think of another scenario in that the orbital variations in glacial MIS 14 was characterized by higher obliquity fluctuations, lower eccentricity/precession. The orbital variations shape an inter-hemispheric asymmetry with higher seasonality. This scenario could result in a stagnant/ an inactive Atlantic Meridional Ocean Circulation and northward shifts in the ITCZ/southward displacement of westerlies in the southeastern Pacific during MIS 14. The retreat of the West Antarctic sea ice and enhancement of the Antarctic Circumpolar Current would also bring less high-latitude cold upwelled water (the Subantarctic Mode Water/Antarctic Intermediate Water) into the eastern tropical Pacific/Atlantic Oceans. We suggest that a diminished La Nifia-like condition and a relatively weakened EEP/EEA cold tongue developed in glacial MIS 14 compared to other glacial MIS in the late Quaternary. The interglacial-like MIS 14 is therefore characterized by a small-magnitude of eastern tropical upweiling areas and greater extension of western Pacific/Atlantic warm surface waters. Such amplifications in glacial MIS 14 could lead to less fluctuation of Termination VI and persistent warmth in MIS 15-13. (C) 2016 Elsevier Ltd and INQUA. All rights reserved.</t>
  </si>
  <si>
    <t>[Yu, Pai-Sen] Taiwan Ocean Res Inst, Natl Appl Res Labs, Kaohsiung 801, Taiwan; [Kienast, Markus] Dalhousie Univ, Dept Oceanog, Halifax, NS, Canada; [Yu, Pai-Sen; Chen, Min-Te] Natl Taiwan Ocean Univ, Inst Appl Geosci, Keelung 20224, Taiwan; [Cacho, Isabel] Univ Barcelona, Dept Stratig Paleontol &amp; Marine Geosci, E-08028 Barcelona, Spain; [Flores, Jos Abel] Univ Salamanca, Dept Geol, E-37008 Salamanca, Spain</t>
  </si>
  <si>
    <t>National Applied Research Laboratories - Taiwan; Dalhousie University; National Taiwan Ocean University; University of Barcelona; University of Salamanca</t>
  </si>
  <si>
    <t>Yu, PS (corresponding author), Taiwan Ocean Res Inst, Natl Appl Res Labs, Kaohsiung 801, Taiwan.</t>
  </si>
  <si>
    <t>epson_yu@narlabs.org.tw</t>
  </si>
  <si>
    <t>Chen, Min-Te/AAD-5990-2021; Cacho, Isabel/H-4402-2013; Flores, José-Abel/D-4218-2009; Yu, Pai-Sen/ABE-6593-2020; Chen, Min-Te/ABF-2935-2020; Cacho, Isabel/AAX-2610-2021</t>
  </si>
  <si>
    <t>Chen, Min-Te/0000-0002-7552-1615; Cacho, Isabel/0000-0002-6512-0770; Flores, José-Abel/0000-0003-1909-293X; Yu, Pai-Sen/0000-0001-9638-0594; Cacho, Isabel/0000-0002-6512-0770</t>
  </si>
  <si>
    <t>National Taiwan Ocean University [NSC96-2611-M-019-008, NSC96-2611-M-019009]; Graduate Students Study Abroad Program [NSC-096-29174-019-101]; National Science Council (NSC)/Ministry of Science and Technology (MOST), Taiwan [NSC102-2116-M-492-002, MOST 103-2116-M-492-001]; NSERC Canada; CIFAR</t>
  </si>
  <si>
    <t>National Taiwan Ocean University; Graduate Students Study Abroad Program; National Science Council (NSC)/Ministry of Science and Technology (MOST), Taiwan; NSERC Canada(Natural Sciences and Engineering Research Council of Canada (NSERC)); CIFAR(Canadian Institute for Advanced Research (CIFAR))</t>
  </si>
  <si>
    <t>This study was supported by the National Taiwan Ocean University and grants (NSC96-2611-M-019-008 &amp; NSC96-2611-M-019009) to MTC, and by the Graduate Students Study Abroad Program (NSC-096-29174-019-101) and grants (NSC102-2116-M-492-002 &amp; MOST 103-2116-M-492-001) to PSY from the National Science Council (NSC)/Ministry of Science and Technology (MOST), Taiwan. MK acknowledges funding from NSERC Canada and CIFAR. The authors would like to thank the crew on the JOIDES Resolution during ODP Leg 202 for their drilling and curatorial assistance. We also thank the members who work in the Marine Core Repository and Laboratory at the Taiwan Ocean Research Institute (TORI), National Applied Research Laboratories (NARLabs) for helping us finish the sample processing for this study.</t>
  </si>
  <si>
    <t>1040-6182</t>
  </si>
  <si>
    <t>1873-4553</t>
  </si>
  <si>
    <t>QUATERN INT</t>
  </si>
  <si>
    <t>Quat. Int.</t>
  </si>
  <si>
    <t>APR 29</t>
  </si>
  <si>
    <t>10.1016/j.quaint.2016.12.021</t>
  </si>
  <si>
    <t>ES0ZH</t>
  </si>
  <si>
    <t>WOS:000399257200006</t>
  </si>
  <si>
    <t>Wagner, TJW; Eisenman, I</t>
  </si>
  <si>
    <t>Wagner, Till J. W.; Eisenman, Ian</t>
  </si>
  <si>
    <t>How climate model biases skew the distribution of iceberg meltwater</t>
  </si>
  <si>
    <t>GREENLAND ICE-SHEET; INTERACTIVE ICEBERGS; ANTARCTIC ICEBERGS; HEINRICH EVENTS; OCEAN; CIRCULATION; COLLAPSE; ATLANTIC; IMPACT; FLUXES</t>
  </si>
  <si>
    <t>The discharge of icebergs into the polar oceans is expected to increase over the coming century, which raises the importance of accurate representations of icebergs in global climate models (GCMs) used for future projections. Here we analyze the prospects for interactive icebergs in GCMs by forcing an iceberg drift and decay model with circulation and temperature fields from (i) state-of-the-art GCM output and (ii) an observational state estimate. The spread of meltwater is found to be smaller for the GCM than for the observational state estimate, despite a substantial high wind bias in the GCM-a bias that is similar to most current GCMs. We argue that this large-scale reduction in the spread of meltwater occurs primarily due to localized differences in ocean currents, which may be related to the coarseness of the horizontal resolution in the GCM. The high wind bias in the GCM is shown to have relatively little impact on the meltwater distribution, despite Arctic iceberg drift typically being dominated by the wind forcing. We find that this is due to compensating effects between faster drift under stronger winds and larger wind-driven wave erosion. These results may have implications for future changes in the Atlantic meridional overturning circulation simulated with iceberg-enabled GCMs. Plain Language Summary Recent reductions in the volume of the polar ice sheets highlight the importance of the question how ice sheet meltwater impacts the large-scale ocean circulation and global climate. For example, it has been argued that increased meltwater from Greenland will slow down the Atlantic meridional overturning circulation (AMOC) in the coming decades. The likelihood of this scenario depends on where the meltwater is released at the ocean surface. Icebergs, which carry up to half of this meltwater, play a crucial role in transporting meltwater equatorward in the North Atlantic. Our results suggest that climate models that include icebergs will underestimate this equatorward transport of meltwater, with potentially far-reaching implications for the AMOC.</t>
  </si>
  <si>
    <t>[Wagner, Till J. W.; Eisenman, Ian] Univ Calif San Diego, Scripps Inst Oceanog, La Jolla, CA 92093 USA</t>
  </si>
  <si>
    <t>Wagner, TJW (corresponding author), Univ Calif San Diego, Scripps Inst Oceanog, La Jolla, CA 92093 USA.</t>
  </si>
  <si>
    <t>tjwagner@ucsd.edu</t>
  </si>
  <si>
    <t>Eisenman, Ian/B-9329-2009</t>
  </si>
  <si>
    <t>Eisenman, Ian/0000-0003-0190-2869; Wagner, Till/0000-0003-4572-1285</t>
  </si>
  <si>
    <t>ONR grant [N00014-13-1-0469]; National Science Foundation [OCE-1357078]; Division Of Ocean Sciences; Directorate For Geosciences [1357078] Funding Source: National Science Foundation</t>
  </si>
  <si>
    <t>ONR grant; National Science Foundation(National Science Foundation (NSF)); Division Of Ocean Sciences; Directorate For Geosciences(National Science Foundation (NSF)NSF - Directorate for Geosciences (GEO))</t>
  </si>
  <si>
    <t>The authors thank Rebecca W. Dell for her contribution to the model development and Navid Constantinou for helpful discussions. Two anonymous reviewers are acknowledged for their highly constructive comments. This work was supported by ONR grant N00014-13-1-0469 and National Science Foundation grant OCE-1357078. The code to integrate the iceberg drift and decay model is available at http://eisenman.ucsd.edu/code.html.</t>
  </si>
  <si>
    <t>APR 28</t>
  </si>
  <si>
    <t>10.1002/2016GL071645</t>
  </si>
  <si>
    <t>EV5ZA</t>
  </si>
  <si>
    <t>WOS:000401847500030</t>
  </si>
  <si>
    <t>Smith, EC; Baird, AF; Kendall, JM; Martin, C; White, RS; Brisbourne, AM; Smith, AM</t>
  </si>
  <si>
    <t>Smith, Emma C.; Baird, Alan F.; Kendall, J. Michael; Martin, Carlos; White, Robert S.; Brisbourne, Alex M.; Smith, Andrew M.</t>
  </si>
  <si>
    <t>Ice fabric in an Antarctic ice stream interpreted from seismic anisotropy</t>
  </si>
  <si>
    <t>POLYCRYSTALLINE ICE; MANTLE DEFORMATION; WEST ANTARCTICA; FLOW-LAW; SHEET; MICROSTRUCTURE; ELASTICITY; RETREAT</t>
  </si>
  <si>
    <t>Here we present new measurements of an anisotropic ice fabric in a fast moving (377ma(-1)) ice stream in West Antarctica. We use similar to 6000 measurements of shear wave splitting observed in microseismic signals from the bed of Rutford Ice Stream, to show that in contrast to large-scale ice flow models, which assume that ice is isotropic, the ice in Rutford Ice Stream is dominated by a previously unobserved type of partial girdle fabric. This fabric has a strong directional contrast in mechanical properties, shearing 9.1 times more easily along the ice flow direction than across flow. This observed fabric is likely to be widespread and representative of fabrics in other ice streams and large glaciers, suggesting it is essential to consider anisotropy in data-driven models to correctly predict ice loss and future flow in these regions. We show how passive microseismic monitoring can be effectively used to provide these data.</t>
  </si>
  <si>
    <t>[Smith, Emma C.; Martin, Carlos; Brisbourne, Alex M.; Smith, Andrew M.] British Antarctic Survey, NERC, Cambridge, England; [Smith, Emma C.; White, Robert S.] Univ Cambridge, Dept Earth Sci, Bullard Labs, Cambridge, England; [Smith, Emma C.] Alfred Wegener Inst Polar &amp; Marine Res, Bremerhaven, Germany; [Baird, Alan F.; Kendall, J. Michael] Univ Bristol, Sch Earth Sci, Bristol, Avon, England</t>
  </si>
  <si>
    <t>UK Research &amp; Innovation (UKRI); Natural Environment Research Council (NERC); NERC British Antarctic Survey; University of Cambridge; Helmholtz Association; Alfred Wegener Institute, Helmholtz Centre for Polar &amp; Marine Research; University of Bristol</t>
  </si>
  <si>
    <t>Smith, EC (corresponding author), British Antarctic Survey, NERC, Cambridge, England.;Smith, EC (corresponding author), Univ Cambridge, Dept Earth Sci, Bullard Labs, Cambridge, England.;Smith, EC (corresponding author), Alfred Wegener Inst Polar &amp; Marine Res, Bremerhaven, Germany.</t>
  </si>
  <si>
    <t>emma.smith@awi.de</t>
  </si>
  <si>
    <t>Facility, NERC Geophysical Equipment/G-5260-2010; Smith, Emma/AAO-5329-2021; Baird, Alan F/H-6939-2013; Kendall, Michael/D-5973-2011; Brisbourne, Alex/E-6198-2013; Martin, Carlos/S-2778-2018</t>
  </si>
  <si>
    <t>Baird, Alan F/0000-0002-8740-9516; Kendall, Michael/0000-0002-1486-3945; Smith, Emma/0000-0002-8672-8259; SMITH, ANDREW/0000-0001-8577-482X; Brisbourne, Alex/0000-0002-9887-7120; Martin, Carlos/0000-0002-2661-169X; White, Robert/0000-0002-2972-397X</t>
  </si>
  <si>
    <t>Natural Environment Research Council (NERC) PhD Studentship through the British Antarctic Survey (BAS); UK Natural Environment Research Council [NE/B502287/1]; Natural Environment Research Council [bas0100034] Funding Source: researchfish; NERC [bas0100034] Funding Source: UKRI</t>
  </si>
  <si>
    <t>Natural Environment Research Council (NERC) PhD Studentship through the British Antarctic Survey (BAS); 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</si>
  <si>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E.C.S. was funded by a Natural Environment Research Council (NERC) PhD Studentship through the British Antarctic Survey (BAS). The work was supported by the UK Natural Environment Research Council under grant NE/B502287/1; equipment was provided by NERC Geophysical Equipment Facility (loan 852). We thank BAS Operations, H.D. Pritchard, and C. Griffiths for data collection. Data are available through NERC's Polar Data Centre (http://pdc.nerc.ac.uk/). Department of Earth Sciences, University of Cambridge contribution ESC3887.</t>
  </si>
  <si>
    <t>10.1002/2016GL072093</t>
  </si>
  <si>
    <t>Green Published, Green Accepted, Green Submitted</t>
  </si>
  <si>
    <t>WOS:000401847500032</t>
  </si>
  <si>
    <t>Jeanniard-du-Dot, T; Trites, AW; Arnould, JPY; Guinet, C</t>
  </si>
  <si>
    <t>Jeanniard-du-Dot, Tiphaine; Trites, Andrew W.; Arnould, John P. Y.; Guinet, Christophe</t>
  </si>
  <si>
    <t>Reproductive success is energetically linked to foraging efficiency in Antarctic fur seals</t>
  </si>
  <si>
    <t>ARCTOCEPHALUS-GAZELLA; PREY CONSUMPTION; METABOLIC-RATES; PINNIPED DIETS; MATERNAL SIZE; GROWTH-RATE; PUP GROWTH; ENERGY; BEHAVIOR; TIME</t>
  </si>
  <si>
    <t>The efficiency with which individuals extract energy from their environment defines their survival and reproductive success, and thus their selective contribution to the population. Individuals that forage more efficiently (i.e., when energy gained exceeds energy expended) are likely to be more successful at raising viable offspring than individuals that forage less efficiently. Our goal was to test this prediction in large long-lived mammals under free-ranging conditions. To do so, we equipped 20 lactating Antarctic fur seals (Arctocephalus gazella) breeding on Kerguelen Island in the Southern Ocean with tags that recorded GPS locations, depth and tri-axial acceleration to determine at-sea behaviours and detailed time-activity budgets during their foraging trips. We also simultaneously measured energy spent at sea using the doubly-labeled water (DLW) method, and estimated the energy acquired while foraging from 1) type and energy content of prey species present in scat remains, and 2) numbers of prey capture attempts determined from head acceleration. Finally, we followed the growth of 36 pups from birth until weaning ( of which 20 were the offspring of our 20 tracked mothers), and used the relative differences in body mass of pups at weaning as an index of first year survival and thus the reproductive success of their mothers. Our results show that females with greater foraging efficiencies produced relatively bigger pups at weaning. These mothers achieved greater foraging efficiency by extracting more energy per minute of diving rather than by reducing energy expenditure. This strategy also resulted in the females spending less time diving and less time overall at sea, which allowed them to deliver higher quality milk to their pups, or allowed their pups to suckle more frequently, or both. The linkage we demonstrate between reproductive success and the quality of individuals as foragers provides an individual-based quantitative framework to investigate how changes in the availability and accessibility of prey can affect fitness of animals.</t>
  </si>
  <si>
    <t>[Jeanniard-du-Dot, Tiphaine; Trites, Andrew W.] Univ British Columbia, Inst Oceans &amp; Fisheries, Marine Mammal Res Unit, Vancouver, BC, Canada; [Jeanniard-du-Dot, Tiphaine; Guinet, Christophe] CNRS, Ctr Etud Biol Chize, Villiers En Bois, France; [Arnould, John P. Y.] Deakin Univ, Sch Life &amp; Environm Sci, Burwood, Vic, Australia</t>
  </si>
  <si>
    <t>University of British Columbia; Centre National de la Recherche Scientifique (CNRS); Deakin University</t>
  </si>
  <si>
    <t>Jeanniard-du-Dot, T (corresponding author), Univ British Columbia, Inst Oceans &amp; Fisheries, Marine Mammal Res Unit, Vancouver, BC, Canada.;Jeanniard-du-Dot, T (corresponding author), CNRS, Ctr Etud Biol Chize, Villiers En Bois, France.</t>
  </si>
  <si>
    <t>Trites, Andrew/K-5648-2012; Guinet, Christophe/AAR-8457-2020; Jeanniard, Tiphaine/ABF-8836-2020</t>
  </si>
  <si>
    <t>Institut Paul-Emile Victor program [109]; NSERC; Natural Sciences and Engineering Research Council of Canada; Institut Polaire Francais Paul-Emile Victor</t>
  </si>
  <si>
    <t>Institut Paul-Emile Victor program; NSERC(Natural Sciences and Engineering Research Council of Canada (NSERC)); Natural Sciences and Engineering Research Council of Canada(Natural Sciences and Engineering Research Council of Canada (NSERC)CGIAR); Institut Polaire Francais Paul-Emile Victor</t>
  </si>
  <si>
    <t>The Natural Sciences and Engineering Research Council of Canada (http://www.nserc-crsng.gc.ca/index_eng.asp) and the Institut Polaire Francais Paul-Emile Victor (http://www.institut-polaire.fr/language/en/) help fund this project. The funders had no role in study design, data collection and analysis, decision to publish, or preparation of the manuscript.r We thank Nory El Ksabi and Jade Vacquie Garcia for their help in collecting the data. Field work was conducted as part of the Institut Paul-Emile Victor program No 109 (PI. H. Weimerkirch) who provided their logistic and financial support to the Kerguelen field season, and NSERC for funding part of this project. All data were collected under the University of British Columbia animal care permit # A10-0364 and the ethical regulations approval from the French Polar Institute (IPEV).</t>
  </si>
  <si>
    <t>e0174001</t>
  </si>
  <si>
    <t>10.1371/journal.pone.0174001</t>
  </si>
  <si>
    <t>ET6EO</t>
  </si>
  <si>
    <t>Green Published, Green Submitted, gold</t>
  </si>
  <si>
    <t>WOS:000400383900002</t>
  </si>
  <si>
    <t>Bart, PJ; Krogmeier, BJ; Bart, MP; Tulaczyk, S</t>
  </si>
  <si>
    <t>Bart, Philip J.; Krogmeier, Benjamin J.; Bart, Manon P.; Tulaczyk, Slawek</t>
  </si>
  <si>
    <t>The paradox of a long grounding during West Antarctic Ice Sheet retreat in Ross Sea</t>
  </si>
  <si>
    <t>PLEISTOCENE-HOLOCENE RETREAT; STREAM-B; BREAK-UP; SEDIMENT; EROSION; BENEATH; SHELF; RATES; LINE; DEFORMATION</t>
  </si>
  <si>
    <t>Marine geological data show that the West Antarctic Ice Sheet (WAIS) advanced to the eastern Ross Sea shelf edge during the Last Glacial Maximum (LGM) and eventually retreated -1000 km to the current grounding-line position on the inner shelf. During the early deglacial, the WAIS deposited a voluminous stack of overlapping grounding zone wedges (GZWs) on the outer shelf of the Whales Deep Basin. The large sediment volume of the GZW cluster suggests that the grounding-line position of the paleo-Bindschadler Ice Stream was relatively stationary for a significant time interval. We used an upper bound estimate of paleo-sediment flux to investigate the lower bound duration over which the ice stream would have deposited sediment to account for the GZW volume. Our calculations show that the cluster represents more than three millennia of ice-stream sedimentation. This long duration grounding was probably facilitated by rapid GZW growth. The subsequent punctuated large-distance (-200 km) grounding-line retreat may have been a highly non-linear ice sheet response to relatively continuous external forcing such as gradual climate warming or sea-level rise. These findings indicate that reliable predictions of future WAIS retreat may require incorporation of realistic calculations of sediment erosion, transport and deposition.</t>
  </si>
  <si>
    <t>[Bart, Philip J.; Krogmeier, Benjamin J.; Bart, Manon P.] Louisiana State Univ, Dept Geol &amp; Geophys, Baton Rouge, LA 70803 USA; [Tulaczyk, Slawek] Univ Calif Santa Cruz, Dept Earth &amp; Planetary Sci, Santa Cruz, CA 95064 USA</t>
  </si>
  <si>
    <t>Louisiana State University System; Louisiana State University; University of California System; University of California Santa Cruz</t>
  </si>
  <si>
    <t>Bart, PJ (corresponding author), Louisiana State Univ, Dept Geol &amp; Geophys, Baton Rouge, LA 70803 USA.</t>
  </si>
  <si>
    <t>pbart@lsu.edu</t>
  </si>
  <si>
    <t>Carreiras, Manuel/D-5267-2009; Baart, Martijn/L-2910-2013; Tulaczyk, Slawek/O-7375-2018; ARMSTRONG, BLAIR/AAH-8959-2019; Martin, Clara D./B-4563-2012</t>
  </si>
  <si>
    <t>Carreiras, Manuel/0000-0001-6726-7613; Baart, Martijn/0000-0002-5015-4265; ARMSTRONG, BLAIR/0000-0002-6345-0389; Martin, Clara D./0000-0003-2701-5045; Basque Center on Cognition, Brain and Language, BCBL./0000-0002-8345-6892; Frost, Ram/0000-0002-5625-0813</t>
  </si>
  <si>
    <t>NSF [1246357, 0839107]; Office of Polar Programs (OPP); Directorate For Geosciences [0839107] Funding Source: National Science Foundation; Office of Polar Programs (OPP); Directorate For Geosciences [1246357] Funding Source: National Science Foundation</t>
  </si>
  <si>
    <t>NSF(National Science Foundation (NSF)); Office of Polar Programs (OPP); Directorate For Geosciences(National Science Foundation (NSF)NSF - Directorate for Geosciences (GEO)); Office of Polar Programs (OPP); Directorate For Geosciences(National Science Foundation (NSF)NSF - Directorate for Geosciences (GEO))</t>
  </si>
  <si>
    <t>This study was funded by NSF grant 1246357 to P.J. Bart. Tulaczyk's contribution to this research was funded by NSF grant 0839107. We thank the captain and crew of the Nathaniel B. Palmer RVIB for their help in acquiring seismic data during expedition NBP1502B. We also thank the members of NBP1502A shipboard party for assisting our efforts in the field. We thank two anonymous reviewers whose comments improved the manuscript. Correspondence and material requests should be addressed to P.J. Bart.</t>
  </si>
  <si>
    <t>10.1038/s41598-017-01329-8</t>
  </si>
  <si>
    <t>ET4KA</t>
  </si>
  <si>
    <t>WOS:000400247600021</t>
  </si>
  <si>
    <t>Anderson, LG; Björk, G; Holby, O; Jutterström, S; Mörth, CM; O'Regan, M; Pearce, C; Semiletov, I; Stranne, C; Stöven, T; Tanhua, T; Ulfsbo, A; Jakobsson, M</t>
  </si>
  <si>
    <t>Anderson, Leif G.; Bjork, Goran; Holby, Ola; Jutterstrom, Sara; Morth, Carl Magnus; O'Regan, Matt; Pearce, Christof; Semiletov, Igor; Stranne, Christian; Stoven, Tim; Tanhua, Toste; Ulfsbo, Adam; Jakobsson, Martin</t>
  </si>
  <si>
    <t>Shelf-Basin interaction along the East Siberian Sea</t>
  </si>
  <si>
    <t>OCEAN SCIENCE</t>
  </si>
  <si>
    <t>ARCTIC-OCEAN; WATER; CARBON; HALOCLINE; MAKAROV; VARIABILITY; DYNAMICS; ADJACENT; STRAIT; REGION</t>
  </si>
  <si>
    <t>Extensive biogeochemical transformation of organic matter takes place in the shallow continental shelf seas of Siberia. This, in combination with brine production from sea-ice formation, results in cold bottom waters with relatively high salinity and nutrient concentrations, as well as low oxygen and pH levels. Data from the SWERUS-C3 expedition with icebreaker Oden, from July to September 2014, show the distribution of such nutrient-rich, cold bottom waters along the continental margin from about 140 to 180 degrees E. The water with maximum nutrient concentration, classically named the upper halocline, is absent over the Lomonosov Ridge at 140 degrees E, while it appears in the Makarov Basin at 150 degrees E and intensifies further eastwards. At the intercept between the Mendeleev Ridge and the East Siberian continental shelf slope, the nutrient maximum is still intense, but distributed across a larger depth interval. The nutrient-rich water is found here at salinities of up to similar to 34.5, i.e. in the water classically named lower halocline. East of 170 degrees E transient tracers show significantly less ventilated waters below about 150 m water depth. This likely results from a local isolation of waters over the Chukchi Abyssal Plain as the boundary current from the west is steered away from this area by the bathymetry of the Mendeleev Ridge. The water with salinities of similar to 34.5 has high nutrients and low oxygen concentrations as well as low pH, typically indicating decay of organic matter. A deficit in nitrate relative to phosphate suggests that this process partly occurs under hypoxia. We conclude that the high nutrient water with salinity similar to 34.5 are formed on the shelf slope in the Mendeleev Ridge region from interior basin water that is trapped for enough time to attain its signature through interaction with the sediment.</t>
  </si>
  <si>
    <t>[Anderson, Leif G.; Bjork, Goran; Ulfsbo, Adam] Univ Gothenburg, Dept Marine Sci, POB 461, S-40530 Gothenburg, Sweden; [Holby, Ola] Karlstad Univ, Dept Environm &amp; Energy Syst, S-65188 Karlstad, Sweden; [Jutterstrom, Sara] IVL Swedish Environm Res Inst, Box 530 21, S-40014 Gothenburg, Sweden; [Morth, Carl Magnus; O'Regan, Matt; Pearce, Christof; Jakobsson, Martin] Stockholm Univ, Dept Geol Sci, S-10691 Stockholm, Sweden; [Pearce, Christof] Aarhus Univ, Dept Geosci, Aarhus, Denmark; [Semiletov, Igor] Univ Alaska Fairbanks, Int Arctic Res Ctr, Fairbanks, AK 99775 USA; [Semiletov, Igor] Russian Acad Sci, Far Eastern Branch, Pacific Oceanol Inst, Vladivostok 690041, Russia; [Semiletov, Igor] Natl Res Tomsk Polytech Univ, Tomsk, Russia; [Stoven, Tim; Tanhua, Toste] GEOMAR, Helmholtz Ctr Ocean Res Kiel, Kiel, Germany; [Stranne, Christian] Ctr Coastal &amp; Ocean Mapping, Joint Hydrog Ctr, Durham, NH 03824 USA; [Ulfsbo, Adam] Duke Univ, Nicholas Sch Environm, Div Earth &amp; Ocean Sci, Durham, NC 27704 USA</t>
  </si>
  <si>
    <t>University of Gothenburg; Karlstad University; IVL Swedish Environmental Research Institute; Stockholm University; Aarhus University; University of Alaska System; University of Alaska Fairbanks; Russian Academy of Sciences; Ilichev Pacific Oceanological Institute; Tomsk Polytechnic University; Helmholtz Association; GEOMAR Helmholtz Center for Ocean Research Kiel; Duke University</t>
  </si>
  <si>
    <t>Anderson, LG (corresponding author), Univ Gothenburg, Dept Marine Sci, POB 461, S-40530 Gothenburg, Sweden.</t>
  </si>
  <si>
    <t>leif.anderson@marine.gu.se</t>
  </si>
  <si>
    <t>Jakobsson, Martin/F-6214-2010; Semiletov, Igor/CAJ-4412-2022; Tanhua, Toste/HLX-5402-2023; Jutterström, Sara/AAE-1833-2020; Jakobsson, Martin/JAN-6828-2023; Semiletov, Igor P/B-3616-2013; O'Regan, Matt/P-6277-2019; Ulfsbo, Adam/AFV-2256-2022; stranne, christian/L-4382-2013; Pearce, Christof/M-4852-2013</t>
  </si>
  <si>
    <t>O'Regan, Matt/0000-0002-6046-1488; Ulfsbo, Adam/0000-0001-7550-7381; stranne, christian/0000-0003-1004-5213; Jakobsson, Martin/0000-0002-9033-3559; Semiletov, Igor/0000-0003-1741-6734; Pearce, Christof/0000-0002-4866-3204</t>
  </si>
  <si>
    <t>Swedish Research Council [621-2013-5105]; Swedish Research Council Formas [214-2008-1383, 214-2014-1165]; Swedish Knut and AliceWallenberg Foundation (KAW); European Union [264879]; Russian Government [14.Z50.31.0012/03/19.2014]; Far Eastern Branch of the Russian Academy of Sciences; ICE-ARC-EU FP7; Deutsche Forschungsgemeinschaft</t>
  </si>
  <si>
    <t>Swedish Research Council(Swedish Research Council); Swedish Research Council Formas(Swedish Research Council Formas); Swedish Knut and AliceWallenberg Foundation (KAW); European Union(European Union (EU)); Russian Government; Far Eastern Branch of the Russian Academy of Sciences(Russian Academy of Sciences); ICE-ARC-EU FP7; Deutsche Forschungsgemeinschaft(German Research Foundation (DFG))</t>
  </si>
  <si>
    <t>This research was supported by grants from the Swedish Research Council (contract 621-2013-5105); the Swedish Research Council Formas (project reference 214-2008-1383, A.U. 214-2014-1165); the Swedish Knut and AliceWallenberg Foundation (KAW); the European Union FP7 project CarboChange (Under grant agreement no. 264879). I. Semiletov acknowledge support from the Russian Government (grant no. 14.Z50.31.0012/03/19.2014),the Far Eastern Branch of the Russian Academy of Sciences and the ICE-ARC-EU FP7 project. The transient tracer measurements were supported by the Deutsche Forschungsgemeinschaft in the framework of the Antarctic Research with comparative investigations in Arctic ice areas priority program by a grant to T. Tanhua and M. Hoppema; Carbon and transient tracers dynamics: a bi-polar view on Southern Ocean eddies and the changing Arctic Ocean (TA 317 = 5, HO 4680 = 1).</t>
  </si>
  <si>
    <t>1812-0784</t>
  </si>
  <si>
    <t>1812-0792</t>
  </si>
  <si>
    <t>OCEAN SCI</t>
  </si>
  <si>
    <t>Ocean Sci.</t>
  </si>
  <si>
    <t>APR 27</t>
  </si>
  <si>
    <t>10.5194/os-13-349-2017</t>
  </si>
  <si>
    <t>ET3HF</t>
  </si>
  <si>
    <t>Green Accepted, Green Submitted, gold</t>
  </si>
  <si>
    <t>WOS:000400167800001</t>
  </si>
  <si>
    <t>Arias-González, JE; Fung, T; Seymour, RM; Garza-Pérez, JR; Acosta-González, G; Bozec, YM; Johnson, CR</t>
  </si>
  <si>
    <t>Ernesto Arias-Gonzalez, Jesus; Fung, Tak; Seymour, Robert M.; Rodrigo Garza-Perez, Joaquin; Acosta-Gonzalez, Gilberto; Bozec, Yves-Marie; Johnson, Craig R.</t>
  </si>
  <si>
    <t>A coral-algal phase shift in Mesoamerica not driven by changes in herbivorous fish abundance</t>
  </si>
  <si>
    <t>MACROALGAL BLOOMS; NUTRIENT ENRICHMENT; SPATIAL-PATTERNS; LIMITED GROWTH; REEF; RESILIENCE; DYNAMICS; IMPACTS; COMMUNITIES; COMPETITION</t>
  </si>
  <si>
    <t>Coral-algal phase shifts in which coral cover declines to low levels and is replaced by algae have often been documented on coral reefs worldwide. This has motivated coral reef management responses that include restriction and regulation of fishing, e.g. herbivorous fish species. However, there is evidence that eutrophication and sedimentation can be at least as important as a reduction in herbivory in causing phase shifts. These threats arise from coastal development leading to increased nutrient and sediment loads, which stimulate algal growth and negatively impact corals respectively. Here, we first present results of a dynamic process-based model demonstrating that in addition to overharvesting of herbivorous fish, bottom-up processes have the potential to precipitate coral-algal phase shifts on Mesoamerican reefs. We then provide an empirical example that exemplifies this on coral reefs off Mahahual in Mexico, where a shift from coral to algal dominance occurred over 14 years, during which there was little change in herbivore biomass but considerable development of tourist infrastructure. Our results indicate that coastal development can compromise the resilience of coral reefs and that watershed and coastal zone management together with the maintenance of functional levels of fish herbivory are critical for the persistence of coral reefs in Mesoamerica.</t>
  </si>
  <si>
    <t>[Ernesto Arias-Gonzalez, Jesus] IPN, Lab Ecol Ecosistemas Arrecifes Coralinos, Ctr Invest &amp; Estudios Avanzados, Dept Recursos Mar,Unidad Merida, Carr Ant Progreso Km 6,AP 73 Cordemex, Merida, Yucatan, Mexico; [Fung, Tak] Natl Univ Singapore, Dept Biol Sci, 14 Sci Dr 4, Singapore, Singapore; [Seymour, Robert M.] UCL, Ctr Math &amp; Phys Life Sci &amp; Expt Biol, London, England; [Seymour, Robert M.] UCL, Dept Math, London, England; [Rodrigo Garza-Perez, Joaquin] Univ Nacl Autonoma Mexico, Fac Ciencias, Unidad Multidisciplinaria Docencia &amp; Invest Sisal, Puerto Abrigo S-N, Sisal, Yucatan, Mexico; [Acosta-Gonzalez, Gilberto] Ctr Invest Cient Yucatan AC, Unidad Ciencias Agua, Calle 8 29 Mza 39 SM 64, Cancun, Q Roo Cp, Mexico; [Bozec, Yves-Marie] Univ Queensland, Marine Spatial Ecol Lab, Sch Biol Sci, St Lucia, Qld, Australia; [Bozec, Yves-Marie] Univ Queensland, Australian Res Council Ctr Excellence Coral Reef, St Lucia, Qld, Australia; [Johnson, Craig R.] Univ Tasmania, Inst Marine &amp; Antarctic Studies, Private Bag 129, Hobart, Tas, Australia</t>
  </si>
  <si>
    <t>Instituto Politecnico Nacional - Mexico; National University of Singapore; University of London; University College London; University of London; University College London; Universidad Nacional Autonoma de Mexico; Centro de Investigacion Cientifica de Yucatan; University of Queensland; University of Queensland; University of Tasmania</t>
  </si>
  <si>
    <t>Arias-González, JE (corresponding author), IPN, Lab Ecol Ecosistemas Arrecifes Coralinos, Ctr Invest &amp; Estudios Avanzados, Dept Recursos Mar,Unidad Merida, Carr Ant Progreso Km 6,AP 73 Cordemex, Merida, Yucatan, Mexico.</t>
  </si>
  <si>
    <t>earias@cinvestav.mx</t>
  </si>
  <si>
    <t>Bozec, Yves-Marie/J-7168-2013</t>
  </si>
  <si>
    <t>Bozec, Yves-Marie/0000-0002-7190-5187; Arias-Gonzalez, Jesus Ernesto/0000-0003-4601-710X; Garza, Rodrigo/0000-0003-4209-3738</t>
  </si>
  <si>
    <t>Consejo Nacional de Ciencia Tecnologia grant; National University of Singapore grants [WBS R-154-000-603-112, R-154-000-560-651, R-154-000-A10-720, R-154-000-A10-597]</t>
  </si>
  <si>
    <t>Consejo Nacional de Ciencia Tecnologia grant; National University of Singapore grants(National University of Singapore)</t>
  </si>
  <si>
    <t>JEAG was supported by Consejo Nacional de Ciencia Tecnologia grant (http://www.conacyt.gob.mx); and TF by National University of Singapore grants WBS R-154-000-603-112, R-154-000-560-651, R-154-000-A10-720, and R-154-000-A10-597.</t>
  </si>
  <si>
    <t>APR 26</t>
  </si>
  <si>
    <t>e0174855</t>
  </si>
  <si>
    <t>10.1371/journal.pone.0174855</t>
  </si>
  <si>
    <t>ET5FI</t>
  </si>
  <si>
    <t>Green Published, Green Accepted, gold, Green Submitted</t>
  </si>
  <si>
    <t>WOS:000400309200012</t>
  </si>
  <si>
    <t>Strother, SL; Salzmann, U; Sangiorgi, F; Bijl, PK; Pross, J; Escutia, C; Salabarnada, A; Pound, MJ; Voss, J; Woodward, J</t>
  </si>
  <si>
    <t>Strother, Stephanie L.; Salzmann, Ulrich; Sangiorgi, Francesca; Bijl, Peter K.; Pross, Joerg; Escutia, Carlota; Salabarnada, Ariadna; Pound, Matthew J.; Voss, Jochen; Woodward, John</t>
  </si>
  <si>
    <t>A new quantitative approach to identify reworking in Eocene to Miocene pollen records from offshore Antarctica using red fluorescence and digital imaging</t>
  </si>
  <si>
    <t>BIOGEOSCIENCES</t>
  </si>
  <si>
    <t>WILKES LAND MARGIN; CONTINENTAL-MARGIN; EAST ANTARCTICA; VEGETATION; MICROSCOPY; EXTINCTION; ICEHOUSE; HISTORY</t>
  </si>
  <si>
    <t>Antarctic palaeoclimate evolution and vegetation history after the formation of a continent-scale cryosphere at the Eocene-Oligocene boundary, 33.9 million years ago, has remained a matter of controversy. In particular, the reconstruction of terrestrial climate and vegetation has been strongly hampered by uncertainties in unambiguously identifying non-reworked as opposed to reworked sporomorphs that have been transported into Antarctic marine sedimentary records by waxing and waning ice sheets. Whereas reworked sporomorph grains over longer non-successive geological timescales are easily identifiable within younger sporomorph assemblages (e.g. Permian sporomorphs in Pliocene sediments), distinguishing non-reworked from reworked material in palynological assemblages over successive geological time periods (e.g. Eocene sporomorphs in Oligocene sediments) has remained problematic. This study presents a new quantitative approach to identifying non-reworked pollen assemblages in marine sediment cores from circum-Antarctic waters. We measured the fluorescence colour signature, including red, green, and blue fluorescence; brightness; intensity; and saturation values of selected pollen and spore taxa from Eocene, Oligocene, and Miocene sediments from the Wilkes Land margin Site U1356 (East Antarctica) recovered during Integrated Ocean Drilling Program (IODP) Expedition 318. Our study identified statistically significant differences in red-fluorescence values of non-reworked sporomorph taxa against age. We conclude that red fluorescence is a reliable parameter for identifying the presence of non-reworked pollen and spores in Antarctic marine sediment records from the circum-Antarctic realm that are influenced by glaciation and extensive reworking. Our study provides a new tool to accurately reconstruct Cenozoic terrestrial climate change on Antarctica using fossil pollen and spores.</t>
  </si>
  <si>
    <t>[Strother, Stephanie L.; Salzmann, Ulrich; Pound, Matthew J.; Woodward, John] Northumbria Univ, Fac Engn &amp; Environm, Dept Geog, Ellison Bldg, Newcastle Upon Tyne NE1 8ST, Tyne &amp; Wear, England; [Sangiorgi, Francesca; Bijl, Peter K.] Univ Utrecht, Fac Geosci, Dept Earth Sci, Marine Palynol &amp; Paleoceanog,Lab Palaeobot &amp; Paly, Heidelberglaan 2, NL-3584 CS Utrecht, Netherlands; [Pross, Joerg] Heidelberg Univ, Inst Earth Sci, Paleoenvironm Dynam Grp, Neuenheimer Feld 234, D-69120 Heidelberg, Germany; [Escutia, Carlota; Salabarnada, Ariadna] Univ Granada, CSIC, Inst Andaluz Ciencias Tierra, Granada, Spain; [Voss, Jochen] Univ Leeds, Sch Math, Leeds LS2 9JT, W Yorkshire, England</t>
  </si>
  <si>
    <t>Northumbria University; Utrecht University; Ruprecht Karls University Heidelberg; University of Granada; Consejo Superior de Investigaciones Cientificas (CSIC); CSIC - Instituto Andaluz de Ciencias de la Tierra (IACT); University of Leeds</t>
  </si>
  <si>
    <t>Strother, SL; Salzmann, U (corresponding author), Northumbria Univ, Fac Engn &amp; Environm, Dept Geog, Ellison Bldg, Newcastle Upon Tyne NE1 8ST, Tyne &amp; Wear, England.</t>
  </si>
  <si>
    <t>slstrother2@gmail.com; ulrich.salzmann@northumbria.ac.uk</t>
  </si>
  <si>
    <t>Salzmann, Ulrich/H-9929-2017; Roset, Ariadna Salabarnada/L-8798-2014; Woodward, John/I-1046-2013; Escutia, Carlota/B-8614-2015; Voss, Jochen/F-9638-2012</t>
  </si>
  <si>
    <t>Salzmann, Ulrich/0000-0001-5598-5327; Roset, Ariadna Salabarnada/0000-0003-2239-2538; Escutia, Carlota/0000-0002-4932-8619; Salabarnada, Ariadna/0000-0003-0858-8083; Sangiorgi, Francesca/0000-0003-4233-6154; Voss, Jochen/0000-0002-2323-3814; Bijl, Peter/0000-0002-1710-4012; Pound, Matthew/0000-0001-8029-9548; Woodward, John/0000-0002-4980-4080</t>
  </si>
  <si>
    <t>Faculty of Engineering and Environment Research Studentship from Northumbria University; Natural Environment Research Council (NERC) [NE/H000984/1]; Dutch National Organisation for Scientific Research (NWO) for VENI grant [863.13.002]; MINECO [CTM2014-60451-C2-1-P]; German Science Foundation (DFG) [PR 651/10]; NERC [NE/H000984/1] Funding Source: UKRI; Natural Environment Research Council [NE/H000984/1] Funding Source: researchfish</t>
  </si>
  <si>
    <t>Faculty of Engineering and Environment Research Studentship from Northumbria University; Natural Environment Research Council (NERC)(UK Research &amp; Innovation (UKRI)Natural Environment Research Council (NERC)); Dutch National Organisation for Scientific Research (NWO) for VENI grant(Netherlands Organization for Scientific Research (NWO)); MINECO(Spanish Government); German Science Foundation (DFG)(German Research Foundation (DFG)); NERC(UK Research &amp; Innovation (UKRI)Natural Environment Research Council (NERC)); Natural Environment Research Council(UK Research &amp; Innovation (UKRI)Natural Environment Research Council (NERC))</t>
  </si>
  <si>
    <t>This study was funded by the Faculty of Engineering and Environment Research Studentship from Northumbria University. The samples used for this research were provided by the Integrated Ocean Drilling Program (IODP). Ulrich Salzmann acknowledges funding received from the Natural Environment Research Council (NERC grant NE/H000984/1). Francesca Sangiorgi thanks the Netherlands Organisation for Scientific Research (NWO) for NNPP Polar 866.10.110. Peter K. Bijl acknowledges the Dutch National Organisation for Scientific Research (NWO) for VENI grant no. 863.13.002. Carlota Escutia thanks the MINECO for scientific research grant CTM2014-60451-C2-1-P. Jorg Pross acknowledges support through the German Science Foundation (DFG; grant PR 651/10). We would finally like to thank the anonymous reviewer and Michael Hannah for their useful comments, which helped us to further improve this paper.</t>
  </si>
  <si>
    <t>1726-4170</t>
  </si>
  <si>
    <t>1726-4189</t>
  </si>
  <si>
    <t>Biogeosciences</t>
  </si>
  <si>
    <t>APR 24</t>
  </si>
  <si>
    <t>10.5194/bg-14-2089-2017</t>
  </si>
  <si>
    <t>ES9LW</t>
  </si>
  <si>
    <t>WOS:000399880700002</t>
  </si>
  <si>
    <t>Döös, K; Jönsson, B; Kjellsson, J</t>
  </si>
  <si>
    <t>Doos, Kristofer; Jonsson, Bror; Kjellsson, Joakim</t>
  </si>
  <si>
    <t>Evaluation of oceanic and atmospheric trajectory schemes in the TRACMASS trajectory model v6.0</t>
  </si>
  <si>
    <t>SURFACE DRIFTERS; WATER MASSES; BALTIC SEA; DIFFERENCE; EXCHANGE</t>
  </si>
  <si>
    <t>Three different trajectory schemes for oceanic and atmospheric general circulation models are compared in two different experiments. The theories of the trajectory schemes are presented showing the differential equations they solve and why they are mass conserving. One scheme assumes that the velocity fields are stationary for set intervals of time between saved model outputs and solves the trajectory path from a differential equation only as a function of space, i.e. stepwise stationary. The second scheme is a special case of the stepwise-stationary scheme, where velocities are assumed constant between general circulation model (GCM) outputs; it uses hence a fixed GCM time step. The third scheme uses a continuous linear interpolation of the fields in time and solves the trajectory path from a differential equation as a function of both space and time, i.e. a time-dependent scheme. The trajectory schemes are tested offline, i.e. using the already integrated and stored velocity fields from a GCM. The first comparison of the schemes uses trajectories calculated using the velocity fields from a high-resolution ocean general circulation model in the Agulhas region. The second comparison uses trajectories calculated using the wind fields from an atmospheric reanalysis. The study shows that using the time-dependent scheme over the stepwise-stationary scheme greatly improves accuracy with only a small increase in computational time. It is also found that with decreasing time steps the stepwise-stationary scheme becomes increasingly more accurate but at increased computational cost. The time-dependent scheme is therefore preferred over the stepwise-stationary scheme. However, when averaging over large ensembles of trajectories, the two schemes are comparable, as intrinsic variability dominates over numerical errors. The fixed GCM time step scheme is found to be less accurate than the stepwisestationary scheme, even when considering averages over large ensembles.</t>
  </si>
  <si>
    <t>[Doos, Kristofer] Stockholm Univ, Dept Meteorol, S-10691 Stockholm, Sweden; [Jonsson, Bror] Princeton Univ, Dept Geosci, Guyot Hall, Princeton, NJ 08544 USA; [Kjellsson, Joakim] Univ Oxford, Atmospher Ocean &amp; Planetary Phys, Oxford, England</t>
  </si>
  <si>
    <t>Stockholm University; Princeton University; University of Oxford</t>
  </si>
  <si>
    <t>Döös, K (corresponding author), Stockholm Univ, Dept Meteorol, S-10691 Stockholm, Sweden.</t>
  </si>
  <si>
    <t>doos@misu.su.se</t>
  </si>
  <si>
    <t>Kjellsson, Joakim/AAD-2684-2022; Doos, Kristofer/H-2838-2012</t>
  </si>
  <si>
    <t>Kjellsson, Joakim/0000-0002-6405-5276; Doos, Kristofer/0000-0002-1309-5921</t>
  </si>
  <si>
    <t>Bolin Centre for Climate Research; Swedish Research Council [2015-04442]; UK Natural Environment Research Council [NE/K012150/1]; Vinnova [2015-04442] Funding Source: Vinnova; NERC [NE/K012150/1] Funding Source: UKRI; Swedish Research Council [2015-04442] Funding Source: Swedish Research Council</t>
  </si>
  <si>
    <t>Bolin Centre for Climate Research; Swedish Research Council(Swedish Research Council); UK Natural Environment Research Council(UK Research &amp; Innovation (UKRI)Natural Environment Research Council (NERC)); Vinnova(Vinnova); NERC(UK Research &amp; Innovation (UKRI)Natural Environment Research Council (NERC)); Swedish Research Council(Swedish Research Council)</t>
  </si>
  <si>
    <t>The authors wish to thank Peter Lundberg for constructive comments. This work has been financially supported by the Bolin Centre for Climate Research and by the Swedish Research Council (Grant 2015-04442). Joakim Kjellsson is supported by the UK Natural Environment Research Council grant NE/K012150/1: Poles apart: why has Antarctic sea ice increased, and why can't coupled climate models reproduce observations?. The GCM integrations and the trajectory computations were performed using resources provided by the Swedish National Infrastructure for Computing (SNIC) at the National Supercomputer Centre at Linkoping University (NSC).</t>
  </si>
  <si>
    <t>10.5194/gmd-10-1733-2017</t>
  </si>
  <si>
    <t>ES9YW</t>
  </si>
  <si>
    <t>WOS:000399918900001</t>
  </si>
  <si>
    <t>Travnikov, O; Angot, H; Artaxo, P; Bencardino, M; Bieser, J; D'Amore, F; Dastoor, A; De Simone, F; Diéguez, MD; Dommergue, A; Ebinghaus, R; Feng, XB; Gencarelli, CN; Hedgecock, IM; Magand, O; Martin, L; Matthias, V; Mashyanov, N; Pirrone, N; Ramachandran, R; Read, KA; Ryjkov, A; Selin, NE; Sena, F; Song, S; Sprovieri, F; Wip, D; Wägberg, I; Yang, X</t>
  </si>
  <si>
    <t>Travnikov, Oleg; Angot, Helene; Artaxo, Paulo; Bencardino, Mariantonia; Bieser, Johannes; D'Amore, Francesco; Dastoor, Ashu; De Simone, Francesco; Dieguez, Mara del Carmen; Dommergue, Aurelien; Ebinghaus, Ralf; Feng, Xin Bin; Gencarelli, Christian N.; Hedgecock, Ian M.; Magand, Olivier; Martin, Lynwill; Matthias, Volker; Mashyanov, Nikolay; Pirrone, Nicola; Ramachandran, Ramesh; Read, Katie Alana; Ryjkov, Andrei; Selin, Noelle E.; Sena, Fabrizio; Song, Shaojie; Sprovieri, Francesca; Wip, Dennis; Wagberg, Ingvar; Yang, Xin</t>
  </si>
  <si>
    <t>Multi-model study of mercury dispersion in the atmosphere: atmospheric processes and model evaluation</t>
  </si>
  <si>
    <t>GASEOUS ELEMENTAL MERCURY; WET DEPOSITION; OXIDIZED MERCURY; DRY DEPOSITION; GLOBAL-MODEL; OXIDATION; SITES; TRANSPORT; EXCHANGE; HG</t>
  </si>
  <si>
    <t>Current understanding of mercury (Hg) behavior in the atmosphere contains significant gaps. Some key characteristics of Hg processes, including anthropogenic and geogenic emissions, atmospheric chemistry, and air-surface exchange, are still poorly known. This study provides a complex analysis of processes governing Hg fate in the atmosphere involving both measured data from ground-based sites and simulation results from chemical transport models. A variety of long-term measurements of gaseous elemental Hg (GEM) and reactive Hg (RM) concentration as well as Hg wet deposition flux have been compiled from different global and regional monitoring networks. Four contemporary global-scale transport models for Hg were used, both in their state-of-the-art configurations and for a number of numerical experiments to evaluate particular processes. Results of the model simulations were evaluated against measurements. As follows from the analysis, the interhemispheric GEM gradient is largely formed by the prevailing spatial distribution of anthropogenic emissions in the Northern Hemisphere. The contributions of natural and secondary emissions enhance the south-to-north gradient, but their effect is less significant. Atmospheric chemistry has a limited effect on the spatial distribution and temporal variation of GEM concentration in surface air. In contrast, RM air concentration and wet deposition are largely defined by oxidation chemistry. The Br oxidation mechanism can reproduce successfully the observed seasonal variation of the RM/GEM ratio in the near-surface layer, but it predicts a wet deposition maximum in spring instead of in summer as observed at monitoring sites in North America and Europe. Model runs with OH chemistry correctly simulate both the periods of maximum and minimum values and the amplitude of observed seasonal variation but shift the maximum RM/GEM ratios from spring to summer. O-3 chemistry does not predict significant seasonal variation of Hg oxidation. Hence, the performance of the Hg oxidation mechanisms under study differs in the extent to which they can reproduce the various observed parameters. This variation implies possibility of more complex chemistry and multiple Hg oxidation pathways occurring concurrently in various parts of the atmosphere.</t>
  </si>
  <si>
    <t>[Travnikov, Oleg] EMEP, Meteorol Synthesizing Ctr East, Moscow, Russia; [Angot, Helene; Dommergue, Aurelien] Univ Grenoble Alpes, CNRS, IRD, IGE, Grenoble, France; [Artaxo, Paulo] Univ Sao Paulo, Sao Paulo, Brazil; [Bencardino, Mariantonia; D'Amore, Francesco; De Simone, Francesco; Gencarelli, Christian N.; Hedgecock, Ian M.; Sprovieri, Francesca] CNR, Inst Atmospher Pollut Res, Arcavacata Di Rende, Italy; [Bieser, Johannes; Ebinghaus, Ralf; Matthias, Volker] Helmholtz Zentrum Geesthacht, Inst Coastal Res, Geesthacht, Germany; [Dastoor, Ashu; Ryjkov, Andrei] Environm &amp; Climate Change Canada, Air Qual Res Div, Dorval, PQ, Canada; [Dieguez, Mara del Carmen] UNComa, INIBIOMA, CONICET, San Carlos De Bariloche, Rio Negro, Argentina; [Dommergue, Aurelien; Magand, Olivier] CNRS, Lab Glaciol &amp; Geophys Environm, Grenoble, France; [Feng, Xin Bin] Chinese Acad Sci, Inst Geochem, State Key Lab Environm Geochem, Guiyang, Peoples R China; [Martin, Lynwill] South African Weather Serv, Cape Point GAW Stn, Climate &amp; Environm Res &amp; Monitoring, Stellenbosch, South Africa; [Mashyanov, Nikolay] St Petersburg State Univ, St Petersburg, Russia; [Pirrone, Nicola] CNR, Inst Atmospher Pollut Res, Rome, Italy; [Ramachandran, Ramesh] Anna Univ, Inst Ocean Management, Madras, Tamil Nadu, India; [Read, Katie Alana] Univ York, NCAS, York, N Yorkshire, England; [Selin, Noelle E.; Song, Shaojie] MIT, Dept Earth Atmospher &amp; Planetary Sci, Cambridge, MA USA; [Angot, Helene; Selin, Noelle E.] MIT, Inst Data Syst &amp; Soc, 77 Massachusetts Ave, Cambridge, MA 02139 USA; [Sena, Fabrizio] Joint Res Ctr, Ispra, Italy; [Wip, Dennis] Univ Suriname, Dept Phys, Paramaribo, Suriname; [Wagberg, Ingvar] IVL Swedish Environm Res Inst, Gothenburg, Sweden; [Yang, Xin] British Antarctic Survey, Cambridge, England</t>
  </si>
  <si>
    <t>Communaute Universite Grenoble Alpes; Universite Grenoble Alpes (UGA); Centre National de la Recherche Scientifique (CNRS); Institut de Recherche pour le Developpement (IRD); Universidade de Sao Paulo; Consiglio Nazionale delle Ricerche (CNR); Istituto Sull'inquinamento Atmosferico (IIA-CNR); Helmholtz Association; Helmholtz-Zentrum Hereon; Environment &amp; Climate Change Canada; Consejo Nacional de Investigaciones Cientificas y Tecnicas (CONICET); Communaute Universite Grenoble Alpes; Universite Grenoble Alpes (UGA); Centre National de la Recherche Scientifique (CNRS); Chinese Academy of Sciences; Institute of Geochemistry, CAS; South African Weather Service (SAWS); Saint Petersburg State University; Consiglio Nazionale delle Ricerche (CNR); Istituto Sull'inquinamento Atmosferico (IIA-CNR); Anna University; Anna University Chennai; University of York - UK; Massachusetts Institute of Technology (MIT); Massachusetts Institute of Technology (MIT); European Commission Joint Research Centre; EC JRC ISPRA Site; Anton de Kom Universiteit van Suriname; IVL Swedish Environmental Research Institute; UK Research &amp; Innovation (UKRI); Natural Environment Research Council (NERC); NERC British Antarctic Survey</t>
  </si>
  <si>
    <t>Travnikov, O (corresponding author), EMEP, Meteorol Synthesizing Ctr East, Moscow, Russia.</t>
  </si>
  <si>
    <t>oleg.travnikov@msceast.org</t>
  </si>
  <si>
    <t>Travnikov, Oleg/ACL-2820-2022; Hedgecock, Ian Michael/ITV-3348-2023; De Simone, Francesco/HDN-9081-2022; Bieser, Johannes/R-2583-2017; Ramachandran, Ramesh/AAI-1583-2020; Selin, Noelle E/A-4158-2008; Song, Shaojie/A-1948-2012; Yang, Xin/AGB-3514-2022; De Simone, Francesco/IZP-8333-2023; dommergue, aurelien/HLP-6539-2023; Bencardino, Mariantonia/AAA-1896-2021; Pirrone, Nicola/IXD-5019-2023; Feng, Xinbin/F-4512-2011; Artaxo, Paulo/E-8874-2010; Mashyanov, Nikolay/CAG-1241-2022; Ramachandran, Ramesh/B-4814-2018</t>
  </si>
  <si>
    <t>Travnikov, Oleg/0000-0002-4413-0777; Hedgecock, Ian Michael/0000-0002-3743-1870; Bieser, Johannes/0000-0003-2938-3124; Ramachandran, Ramesh/0000-0003-2471-7746; Selin, Noelle E/0000-0002-6396-5622; Song, Shaojie/0000-0001-6395-7422; Yang, Xin/0000-0002-3838-9758; dommergue, aurelien/0000-0002-8185-9604; Artaxo, Paulo/0000-0001-7754-3036; Read, Katie/0000-0002-4044-455X; Mashyanov, Nikolay/0000-0003-0108-064X; Martin, Lynwill/0000-0003-1330-2625; Ryjkov, Andrei/0000-0003-1020-1693; Dastoor, Ashu/0000-0002-3312-7484; De Simone, Francesco/0000-0003-0252-2382; Matthias, Volker/0000-0003-0519-8805; Dieguez, Maria/0000-0002-8241-3719</t>
  </si>
  <si>
    <t>EU [265113]; US National Science Foundation Atmospheric Chemistry Program [1053648]; French Polar Institute, IPEV [GMOstral 1028]; NERC [ncas10008, bas0100032, ncas10005, ncas10006] Funding Source: UKRI; Natural Environment Research Council [ncas10005, ncas10006, bas0100032, ncas10009, ncas10008] Funding Source: researchfish; Directorate For Geosciences; Div Atmospheric &amp; Geospace Sciences [1053648] Funding Source: National Science Foundation</t>
  </si>
  <si>
    <t>EU(European Union (EU)); US National Science Foundation Atmospheric Chemistry Program(National Science Foundation (NSF)); French Polar Institute, IPEV; NERC(UK Research &amp; Innovation (UKRI)Natural Environment Research Council (NERC)); Natural Environment Research Council(UK Research &amp; Innovation (UKRI)Natural Environment Research Council (NERC)); Directorate For Geosciences; Div Atmospheric &amp; Geospace Sciences(National Science Foundation (NSF)NSF - Directorate for Geosciences (GEO))</t>
  </si>
  <si>
    <t>The authors wish to thank David Gay from the National Atmospheric Deposition Program (NADP) and the principal investigators for the AMNet sites (E. Edgerton, W. Luke, J. Chaffin, R. Callison, B. Call, M. Pendleton, E. Miller, and M. Allen) for providing the Hg measured data used in this study. The authors also gratefully acknowledge the Canadian Air and Precipitation Monitoring Network (CAPMoN) for the data and the National Atmospheric Chemistry (NAtChem) Database and Analysis Facility of Environment Canada (www.ec.gc.ca/natchem) for internet provision of the data. This study was financially supported in part by the EU FP7-ENV-2010 project, Global Mercury Observation System (GMOS, grant agreement no. 265113). Noelle E. Selin and Shaojie Song also acknowledge the US National Science Foundation Atmospheric Chemistry Program (grant no. 1053648) for their financial support. Aurelien Dommergue and Olivier Magand acknowledge the French Polar Institute, IPEV (GMOstral 1028), for funding and logistics.</t>
  </si>
  <si>
    <t>10.5194/acp-17-5271-2017</t>
  </si>
  <si>
    <t>ES9XX</t>
  </si>
  <si>
    <t>gold, Green Published, Green Accepted, Green Submitted</t>
  </si>
  <si>
    <t>WOS:000399916400003</t>
  </si>
  <si>
    <t>Cianfarra, P; Maggi, M</t>
  </si>
  <si>
    <t>Cianfarra, Paola; Maggi, Matteo</t>
  </si>
  <si>
    <t>Cenozoic extension along the reactivated Aurora Fault System in the East Antarctic Craton</t>
  </si>
  <si>
    <t>TECTONOPHYSICS</t>
  </si>
  <si>
    <t>Aurora Fault System; East Antarctic Craton; Intraplate deformation; Far-field stresses; Cenozoic tectonics</t>
  </si>
  <si>
    <t>ICE-SHEET; DOME-C; SUBGLACIAL LAKE; VOSTOK REGION; VICTORIA LAND; EVOLUTION; INTRAPLATE; MOUNTAINS; GONDWANA; SURFACE</t>
  </si>
  <si>
    <t>The East Antarctic Craton is characterized by major intracontinental basins and highlands buried under the 34 Ma East Antarctic Ice Sheet. Their formation remains a major open question. Paleozoic to Cenozoic intraplate extensional tectonic activity has been proposed for their development and in this work the latter hypothesis is supported. Here we focus on the Aurora Trench (AT) within the Aurora Subglacial Basin (latitude 75 degrees-77 degrees S, longitude 117 degrees-118 degrees E) whose origin is still poorly constrained. The AT is an over 150-km-long, 25-km-wide sub glacial trough, elongated in the NNW-SSE direction. Geophysical campaigns allowed better definition of the AT physiography showing typical half-graben geometry. The rounded morphology of the western flank of the AT was simulated through tectonic numerical modelling. We consider the subglacial landscape to primarily reflect the locally preserved relict morphology of the tectonic processes affecting the interior of East Antarctica in the Cenozoic. The bedrock morphology was replicated through the activity of the listric Aurora Trench Fault, characterized by a basal detachment at 34 km (considered the base of the crust according to available geophysical interpretations) and vertical displacements ranging between 700 and 300 m. The predicted displacement is interpreted as the (partial) reactivation of a weaker zone along a major Precambrian crustal-scale tectonic boundary. We propose that the Aurora Trench Fault is the southern continuation of the &gt; 1000 km long Aurora Fault independently recognized by previous studies. Together they form the Aurora Fault System, a long lived tectonic boundary with poly-phased tectonic history within the EAC that bounds the eastern side of the Aurora Sub glacial Basin. The younger Cenozoic reactivation of the investigated segment of the Aurora Fault System relates to the intraplate propagation of far-field stresses associated to the plate-scale kinematics in the Southern Ocean. (C) 2017 Elsevier B.V. All rights reserved.</t>
  </si>
  <si>
    <t>[Cianfarra, Paola; Maggi, Matteo] Univ Roma Tre, Dipartimento Sci, Lgo SL Murialdo 1, I-00146 Rome, Italy</t>
  </si>
  <si>
    <t>Roma Tre University</t>
  </si>
  <si>
    <t>Cianfarra, P (corresponding author), Univ Roma Tre, Dipartimento Sci, Lgo SL Murialdo 1, I-00146 Rome, Italy.</t>
  </si>
  <si>
    <t>paola.cianfarra@uniroma3.it; matteo.maggi@uniroma3.it</t>
  </si>
  <si>
    <t>CIANFARRA, Paola/AAQ-5641-2020; CIANFARRA, Paola/JCE-5168-2023</t>
  </si>
  <si>
    <t>CIANFARRA, Paola/0000-0001-9396-4519</t>
  </si>
  <si>
    <t>PNRA Consortium [2009/A2.02]</t>
  </si>
  <si>
    <t>PNRA Consortium</t>
  </si>
  <si>
    <t>Research was carried out in the framework of the Project CABILA (Caratterizzazione Biogeochimica dei Laghi Subglaciali Antartici) of the PNRA-MIUR (Programma Nazionale diRicerche in Antartide-Ministry of Education, University and Research) and financed by the PNRA Consortium (project 2009/A2.02). ENEA (Agenzia Nazionale per le Nuove Tecnologie, L'Energia e lo Sviluppo Economico Sostenibile) provided the logistic support. We are grateful to Francesco Salvini for the useful discussions and suggestions to improve the manuscript. Finally we thank F. Ferraccioli and the other anonymous reviewer for their thorough reviews that improved the paper.</t>
  </si>
  <si>
    <t>0040-1951</t>
  </si>
  <si>
    <t>1879-3266</t>
  </si>
  <si>
    <t>Tectonophysics</t>
  </si>
  <si>
    <t>APR 22</t>
  </si>
  <si>
    <t>10.1016/j.tecto.2017.02.019</t>
  </si>
  <si>
    <t>ET3ZL</t>
  </si>
  <si>
    <t>WOS:000400218400010</t>
  </si>
  <si>
    <t>Mangoni, O; Saggiomo, V; Bolinesi, F; Margiotta, F; Budillon, G; Cotroneo, Y; Misic, C; Rivaro, P; Saggiomo, M</t>
  </si>
  <si>
    <t>Mangoni, Olga; Saggiomo, Vincenzo; Bolinesi, Francesco; Margiotta, Francesca; Budillon, Giorgio; Cotroneo, Yuri; Misic, Cristina; Rivaro, Paola; Saggiomo, Maria</t>
  </si>
  <si>
    <t>Phytoplankton blooms during austral summer in the Ross Sea, Antarctica: Driving factors and trophic implications</t>
  </si>
  <si>
    <t>FRAGILARIOPSIS-CYLINDRUS BACILLARIOPHYCEAE; NET COMMUNITY PRODUCTION; SOUTHERN-OCEAN; PHAEOCYSTIS-ANTARCTICA; QUANTUM YIELD; MESOSCALE VARIABILITY; TAXA PHOTOSYNTHESIS; IRON LIMITATION; CLIMATE-CHANGE; CARBON EXPORT</t>
  </si>
  <si>
    <t>During the austral summer of 2014, an oceanographic cruise was conducted in the Ross Sea in the framework of the RoME (Ross Sea Mesoscale Experiment) Project. Forty-three hydrological stations were sampled within three different areas: the northern Ross Sea (RoME 1), Terra Nova Bay (RoME 2), and the southern Ross Sea (RoME 3). The ecological and photophysiological characteristics of the phytoplankton were investigated (i.e., size structure, functional groups, PSII maximum quantum efficiency, photoprotective pigments), as related to hydrographic and chemical features. The aim was to identify the mechanisms that modulate phytoplankton blooms, and consequently, the fate of organic materials produced by the blooms. The observed biomass standing stocks were very high (e.g., integrated chlorophyll-a up to 371 mg m(-2) in the top 100 m). Large differences in phytoplankton community composition, relative contribution of functional groups and photosynthetic parameters were observed among the three subsystems. The diatoms (in different physiological status) were the dominant taxa in RoME 1 and RoME 3; in RoME 1, a post-bloom phase was identified, whereas in RoME 3, an active phytoplankton bloom occurred. In RoME 2, diatoms co-occurred with Phaeocystis antarctica, but were vertically segregated by the upper mixed layer, with senescent diatoms dominating in the upper layer, and P. antarctica blooming in the deeper layer. The dominance of the phytoplankton micro-fraction over the whole area and the high Chl-a suggested the prevalence of non-grazed large cells, independent of the distribution of the two functional groups. These data emphasise the occurrence of significant temporal changes in the phytoplankton biomass in the Ross Sea during austral summer. The mechanisms that drive such changes and the fate of the carbon production are probably related to the variations in the limiting factors induced by the concurrent hydrological modifications to the Ross Sea, and they remain to be fully clarified. The comparison of conditions observed during summer 2014 and those reported for previous years reveal considerably different ecological assets that might be the result of current climate change. This suggests that further changes can be expected in the future, even at larger oceanic scales.</t>
  </si>
  <si>
    <t>[Mangoni, Olga; Bolinesi, Francesco] Univ Napoli Federico II, Dipartimento Biol, Naples, Italy; [Saggiomo, Vincenzo; Margiotta, Francesca; Saggiomo, Maria] Stn Zool Anton Dohrn, Naples, Italy; [Budillon, Giorgio; Cotroneo, Yuri] Univ Parthenope, Dipartimento Sci &amp; Tecnol, Naples, Italy; [Misic, Cristina] Univ Genoa, Dipartimento Sci Terra Ambiente &amp; Vita, Genoa, Italy; [Rivaro, Paola] Univ Genoa, Dipartimento Chim &amp; Chim Ind, Genoa, Italy</t>
  </si>
  <si>
    <t>University of Naples Federico II; Stazione Zoologica Anton Dohrn di Napoli; Parthenope University Naples; University of Genoa; University of Genoa</t>
  </si>
  <si>
    <t>Mangoni, O (corresponding author), Univ Napoli Federico II, Dipartimento Biol, Naples, Italy.</t>
  </si>
  <si>
    <t>olga.mangoni@unina.it</t>
  </si>
  <si>
    <t>Cotroneo, Yuri/M-4010-2019; Margiotta, Francesca/IST-5703-2023</t>
  </si>
  <si>
    <t>Cotroneo, Yuri/0000-0002-0099-0142; Margiotta, Francesca/0000-0003-0757-5934; MANGONI, Olga/0000-0001-7789-0820; Saggiomo, Maria/0000-0001-5794-0050</t>
  </si>
  <si>
    <t>Italian National Program for Antarctic Research (PNRA) [2013/AN2.04]; Italian National Programme for Antarctic Research</t>
  </si>
  <si>
    <t>Italian National Program for Antarctic Research (PNRA); Italian National Programme for Antarctic Research</t>
  </si>
  <si>
    <t>This work was carried in the framework of the Project Ross Sea Mesoscale Experiments (RoME) funded by the Italian National Program for Antarctic Research (PNRA, 2013/AN2.04).; This study was carried out in the framework of the activities of the Italian National Programme for Antarctic Research, which provided financial and logistic support. We thank the officers, crew, and technical personnel on board the R/V Italica for their support during the seagoing operations. The authors are grateful to Federico Angelini and Giuseppe Arena for their help during the cruise, and Augusto Passarelli for logistic support in Italy. We are grateful to Antonio Pusceddu for valuable and constructive comments on the manuscript, and to anonymous referees for their suggestions. The authors thanks Fred Davey for according the use of Ross Sea bathymetry data [doi:10.1594/IEDA/100405].</t>
  </si>
  <si>
    <t>APR 21</t>
  </si>
  <si>
    <t>e0176033</t>
  </si>
  <si>
    <t>10.1371/journal.pone.0176033</t>
  </si>
  <si>
    <t>ES9KN</t>
  </si>
  <si>
    <t>WOS:000399876100026</t>
  </si>
  <si>
    <t>Polyakov, IV; Pnyushkov, AV; Alkire, MB; Ashik, IM; Baumann, TM; Carmack, EC; Goszczko, I; Guthrie, J; Ivanov, VV; Kanzow, T; Krishfield, R; Kwok, R; Sundfjord, A; Morison, J; Rember, R; Yulin, A</t>
  </si>
  <si>
    <t>Polyakov, Igor V.; Pnyushkov, Andrey V.; Alkire, Matthew B.; Ashik, Igor M.; Baumann, Till M.; Carmack, Eddy C.; Goszczko, Ilona; Guthrie, John; Ivanov, Vladimir V.; Kanzow, Torsten; Krishfield, Richard; Kwok, Ronald; Sundfjord, Arild; Morison, James; Rember, Robert; Yulin, Alexander</t>
  </si>
  <si>
    <t>Greater role for Atlantic inflows on sea-ice loss in the Eurasian Basin of the Arctic Ocean</t>
  </si>
  <si>
    <t>COLD HALOCLINE; HEAT; NORTH; SURFACE; LAYER; VARIABILITY; RETREAT; WATER; ZONE</t>
  </si>
  <si>
    <t>Arctic sea-ice loss is a leading indicator of climate change and can be attributed, in large part, to atmospheric forcing. Here, we show that recent ice reductions, weakening of the halocline, and shoaling of the intermediate-depth Atlantic Water layer in the eastern Eurasian Basin have increased winter ventilation in the ocean interior, making this region structurally similar to that of the western Eurasian Basin. The associated enhanced release of oceanic heat has reduced winter sea-ice formation at a rate now comparable to losses from atmospheric thermodynamic forcing, thus explaining the recent reduction in sea-ice cover in the eastern Eurasian Basin. This encroaching atlantification of the Eurasian Basin represents an essential step toward a new Arctic climate state, with a substantially greater role for Atlantic inflows.</t>
  </si>
  <si>
    <t>[Polyakov, Igor V.; Pnyushkov, Andrey V.; Baumann, Till M.; Rember, Robert] Univ Alaska Fairbanks, Int Arctic Res Ctr, 930 Koyukuk Dr, Fairbanks, AK 99775 USA; [Polyakov, Igor V.; Baumann, Till M.] Univ Alaska Fairbanks, Coll Nat Sci &amp; Math, 930 Koyukuk Dr, Fairbanks, AK 99775 USA; [Alkire, Matthew B.; Guthrie, John; Morison, James] Univ Washington, Polar Sci Ctr, Appl Phys Lab, 1013 Northeast 40th St, Seattle, WA 98105 USA; [Ashik, Igor M.; Ivanov, Vladimir V.; Yulin, Alexander] Arctic &amp; Antarctic Res Inst, 38 Bering St, St Petersburg 199397, Russia; [Carmack, Eddy C.] Fisheries &amp; Oceans Canada, Inst Ocean Sci, 9860 West Saanich Rd, Sidney, BC V8L 4B2, Canada; [Goszczko, Ilona] Polish Acad Sci, Inst Oceanol, Powstancow Warszawy 55, PL-81712 Sopot, Poland; [Ivanov, Vladimir V.] Univ Alaska Fairbanks, Int Arctic Res Ctr, 930 Koyukuk Dr, Fairbanks, AK 99775 USA; [Ivanov, Vladimir V.] Hydrometeorol Ctr Russia, 11-13 B, Moscow 1113, Russia; [Kanzow, Torsten] Alfred Wegener Inst, Helmholtz Ctr Polar &amp; Marine Res, Bussestr 24, D-27570 Bremerhaven, Germany; [Kanzow, Torsten] Univ Bremen, Dept Phys &amp; Elect Engn, D-28334 Bremen, Germany; [Krishfield, Richard] Woods Hole Oceanog Inst, 22 Water St, Woods Hole, MA 02543 USA; [Kwok, Ronald] CALTECH, Jet Prop Lab, 4800 Oak Grove Dr, Pasadena, CA 91109 USA; [Sundfjord, Arild] Norwegian Polar Res Inst, N-9296 Tromso, Norway</t>
  </si>
  <si>
    <t>University of Alaska System; University of Alaska Fairbanks; University of Alaska System; University of Alaska Fairbanks; University of Washington; University of Washington Seattle; Arctic &amp; Antarctic Research Institute; Fisheries &amp; Oceans Canada; Polish Academy of Sciences; Institute of Oceanology of the Polish Academy of Sciences; University of Alaska System; University of Alaska Fairbanks; Helmholtz Association; Alfred Wegener Institute, Helmholtz Centre for Polar &amp; Marine Research; University of Bremen; Woods Hole Oceanographic Institution; National Aeronautics &amp; Space Administration (NASA); NASA Jet Propulsion Laboratory (JPL); California Institute of Technology; Norwegian Polar Institute</t>
  </si>
  <si>
    <t>Polyakov, IV (corresponding author), Univ Alaska Fairbanks, Int Arctic Res Ctr, 930 Koyukuk Dr, Fairbanks, AK 99775 USA.;Polyakov, IV (corresponding author), Univ Alaska Fairbanks, Coll Nat Sci &amp; Math, 930 Koyukuk Dr, Fairbanks, AK 99775 USA.</t>
  </si>
  <si>
    <t>igor@iarc.uaf.edu</t>
  </si>
  <si>
    <t>Kwok, Ronald/L-3968-2019; Kwok, Ron/A-9762-2008; Pnyushkov, Andrey/M-3156-2019; Ivanov, Vladimir/J-5979-2014; Baumann, Till/AAX-3198-2020; Ivanov, Vladimir/AAX-6830-2020; Aleksandr, Yulin/Z-5911-2019; Ashik, Igor/J-5665-2014; Bloshkina, Ekaterina/I-6901-2015</t>
  </si>
  <si>
    <t>Kwok, Ronald/0000-0003-4051-5896; Kwok, Ron/0000-0003-4051-5896; Pnyushkov, Andrey/0000-0001-9112-6458; Ivanov, Vladimir/0000-0003-2569-6027; Baumann, Till/0000-0002-2887-205X; Goszczko, Ilona/0000-0002-5719-5860; Kanzow, Torsten/0000-0002-5786-3435; Ashik, Igor/0000-0003-1863-9462; Bloshkina, Ekaterina/0000-0002-2078-7459; Sundfjord, Arild/0000-0002-6913-3368; Alkire, Matthew/0000-0001-7324-3159</t>
  </si>
  <si>
    <t>NSF [1203473, 1249133]; National Oceanic and Atmospheric Administration [NA15OAR4310155]; Russian Science Foundation [14-37-00053]; A-TWAIN; Arctic Ocean program at the FRAM-High North Research Centre for Climate and the Environment; Russian Science Foundation [17-37-00006] Funding Source: Russian Science Foundation; Directorate For Geosciences; Office of Polar Programs (OPP) [1203473] Funding Source: National Science Foundation; Office of Polar Programs (OPP); Directorate For Geosciences [1249133, 1203146] Funding Source: National Science Foundation</t>
  </si>
  <si>
    <t>NSF(National Science Foundation (NSF)); National Oceanic and Atmospheric Administration(National Oceanic Atmospheric Admin (NOAA) - USA); Russian Science Foundation(Russian Science Foundation (RSF)); A-TWAIN; Arctic Ocean program at the FRAM-High North Research Centre for Climate and the Environment; Russian Science Foundation(Russian Science Foundation (RSF)); Directorate For Geosciences; Office of Polar Programs (OPP)(National Science Foundation (NSF)NSF - Directorate for Geosciences (GEO)); Office of Polar Programs (OPP); Directorate For Geosciences(National Science Foundation (NSF)NSF - Directorate for Geosciences (GEO))</t>
  </si>
  <si>
    <t>This study was supported by NSF grants 1203473 and 1249133 (A.V.P., I.V.P., M.B.A., R.R., and V.V.I.), National Oceanic and Atmospheric Administration grant NA15OAR4310155 (A.V.P., I.V.P., M.B.A., R.R., T.M.B., and V.V.I.), Russian Science Foundation grant 14-37-00053, and by the A-TWAIN project, funded by the Arctic Ocean program at the FRAM-High North Research Centre for Climate and the Environment. We thank Henriksen Shipping Service AS, for help with logistics. The mooring recovery and deployment was a great team effort by all onboard the research vessels Akademik Fedorov (2013) and Akademik Tryoshnikov (2015). We thank our colleagues from the Arctic and Antarctic Research Institute, Russia, particularly V. Vizitov, V. Zaitsev, and E. Morozova, for their help with cruise preparations. All mooring data used in this study are available on the web at https://arcticdata.io/catalog/#view/arctic-data.7792.4. All authors participated in data processing and preliminary analysis; A.V.P., I.M.A., I.V.P., R.R., and V.V.I. carried out statistical analysis of data; R.Kw. provided sea-ice information and processing; T.K. processed Fram Strait data; A.S. provided processing and analysis for Svalbard mooring data; A.Y. analyzed fast-ice thickness data; and T.M.B. worked with reanalysis data. All authors contributed to interpreting the data and writing the paper. The authors declare no competing financial interests.</t>
  </si>
  <si>
    <t>10.1126/science.aai8204</t>
  </si>
  <si>
    <t>ES4XQ</t>
  </si>
  <si>
    <t>WOS:000399540100054</t>
  </si>
  <si>
    <t>Grieman, MM; Aydin, M; Fritzsche, D; McConnell, JR; Opel, T; Sigl, M; Saltzman, ES</t>
  </si>
  <si>
    <t>Grieman, Mackenzie M.; Aydin, Murat; Fritzsche, Diedrich; McConnell, Joseph R.; Opel, Thomas; Sigl, Michael; Saltzman, Eric S.</t>
  </si>
  <si>
    <t>Aromatic acids in a Eurasian Arctic ice core: a 2600-year proxy record of biomass burning</t>
  </si>
  <si>
    <t>ASIAN WINTER MONSOON; NORTH-ATLANTIC CLIMATE; HIGH-RESOLUTION RECORD; PAST 2 MILLENNIA; SEVERNAYA-ZEMLYA; FOREST-FIRES; MASS-SPECTROMETRY; GREENLAND ICE; VEGETATION EMISSIONS; ORGANIC-COMPOUNDS</t>
  </si>
  <si>
    <t>Wildfires and their emissions have significant impacts on ecosystems, climate, atmospheric chemistry, and carbon cycling. Well-dated proxy records are needed to study the long-term climatic controls on biomass burning and the associated climate feedbacks. There is a particular lack of information about long-term biomass burning variations in Siberia, the largest forested area in the Northern Hemisphere. In this study we report analyses of aromatic acids (vanillic and para-hydroxybenzoic acids) over the past 2600 years in the Eurasian Arctic Akademii Nauk ice core. These compounds are aerosol-borne, semi-volatile organic compounds derived from lignin combustion. The analyses were made using ion chromatography with electrospray mass spectrometric detection. The levels of these aromatic acids ranged from below the detection limit (0.01 to 0.05 ppb; 1 ppb D 1000 ng L-1) to about 1 ppb, with roughly 30% of the samples above the detection limit. In the preindustrial late Holocene, highly elevated aromatic acid levels are observed during three distinct periods (650-300 BCE, 340-660 CE, and 1460-1660 CE). The timing of the two most recent periods coincides with the episodic pulsing of ice-rafted debris in the North Atlantic known as Bond events and a weakened Asian monsoon, suggesting a link between fires and large-scale climate variability on millennial timescales. Aromatic acid levels also are elevated during the onset of the industrial period from 1780 to 1860 CE, but with a different ratio of vanillic and para-hydroxybenzoic acid than is observed during the preindustrial period. This study provides the first millennial-scale record of aromatic acids. This study clearly demonstrates that coherent aromatic acid signals are recorded in polar ice cores that can be used as proxies for past trends in biomass burning.</t>
  </si>
  <si>
    <t>[Grieman, Mackenzie M.; Aydin, Murat; Saltzman, Eric S.] Univ Calif Irvine, Dept Earth Syst Sci, Irvine, CA 92697 USA; [Fritzsche, Diedrich; Opel, Thomas] Helmholtz Ctr Polar &amp; Marine Res, Alfred Wegener Inst, Potsdam, Germany; [McConnell, Joseph R.] Desert Res Inst, Div Hydrol Sci, Reno, NV USA; [Opel, Thomas] Univ Sussex, Dept Geog, Permafrost Lab, Brighton, E Sussex, England; [Sigl, Michael] Paul Scherrer Inst, Environm Chem Lab, Villigen, Switzerland</t>
  </si>
  <si>
    <t>University of California System; University of California Irvine; Helmholtz Association; Alfred Wegener Institute, Helmholtz Centre for Polar &amp; Marine Research; Nevada System of Higher Education (NSHE); Desert Research Institute NSHE; University of Sussex; Swiss Federal Institutes of Technology Domain; Paul Scherrer Institute</t>
  </si>
  <si>
    <t>Grieman, MM (corresponding author), Univ Calif Irvine, Dept Earth Syst Sci, Irvine, CA 92697 USA.</t>
  </si>
  <si>
    <t>mgrieman@uci.edu</t>
  </si>
  <si>
    <t>; Opel, Thomas/O-9037-2014</t>
  </si>
  <si>
    <t>McConnell, Joseph/0000-0001-9051-5240; Sigl, Michael/0000-0002-9028-9703; Opel, Thomas/0000-0003-1315-8256; Grieman, Mackenzie/0000-0001-9610-7141</t>
  </si>
  <si>
    <t>Antarctic Glaciology program of the National Science Foundation [ANT-0839122, PLR-1142517]; National Science Foundation; Deutsche Forschungsgemeinschaft [OP 217/2-1]; Antarctic Glaciology program of the National Science Foundation [ANT-0839122, PLR-1142517]; National Science Foundation; Deutsche Forschungsgemeinschaft [OP 217/2-1]; [ARC-1023672]</t>
  </si>
  <si>
    <t>Antarctic Glaciology program of the National Science Foundation(National Science Foundation (NSF)NSF - Directorate for Geosciences (GEO)); National Science Foundation(National Science Foundation (NSF)); Deutsche Forschungsgemeinschaft(German Research Foundation (DFG)); Antarctic Glaciology program of the National Science Foundation(National Science Foundation (NSF)NSF - Directorate for Geosciences (GEO)); National Science Foundation(National Science Foundation (NSF)); Deutsche Forschungsgemeinschaft(German Research Foundation (DFG));</t>
  </si>
  <si>
    <t>We would like to acknowledge O. Maselli, D. Pasteris, and N. Chellman of the Desert Research Institute for assistance in analyzing the Akademii Nauk ice core and collecting the ice core melt samples, T. Sutterley for help with coding, and J.-Y. Yu and K. Johnson for helpful comments on the manuscript. This research was supported by a generous donation from the Jenkins family to the Department of Earth System Science, University of California, Irvine, and by the Antarctic Glaciology program of the National Science Foundation (ANT-0839122; PLR-1142517). The National Science Foundation also provided support to Eric S. Saltzman through the Independent Research and Development program. Analysis of the Akademii Nauk at the Desert Research Institute was funded by ARC-1023672. This work furthermore contributes to the Eurasian Arctic Ice 4k project (grant OP 217/2-1 by Deutsche Forschungsgemeinschaft awarded to Thomas Opel).</t>
  </si>
  <si>
    <t>APR 20</t>
  </si>
  <si>
    <t>10.5194/cp-13-395-2017</t>
  </si>
  <si>
    <t>ES8IU</t>
  </si>
  <si>
    <t>WOS:000399801300002</t>
  </si>
  <si>
    <t>Bell, RE; Chu, WN; Kingslake, J; Das, I; Tedesco, M; Tinto, KJ; Zappa, CJ; Frezzotti, M; Boghosian, A; Lee, WS</t>
  </si>
  <si>
    <t>Bell, Robin E.; Chu, Winnie; Kingslake, Jonathan; Das, Indrani; Tedesco, Marco; Tinto, Kirsty J.; Zappa, Christopher J.; Frezzotti, Massimo; Boghosian, Alexandra; Lee, Won Sang</t>
  </si>
  <si>
    <t>Antarctic ice shelf potentially stabilized by export of meltwater in surface river</t>
  </si>
  <si>
    <t>SUPRAGLACIAL LAKES; WATER-FLOW; STREAMS; FIELD; ZONE</t>
  </si>
  <si>
    <t>Meltwater stored in ponds(1) and crevasses can weaken and fracture ice shelves, triggering their rapid disintegration(2). This ice-shelf collapse results in an increased flux of ice from adjacent glaciers(3) and ice streams, thereby raising sea level globally(4). However, surface rivers forming on ice shelves could potentially export stored meltwater and prevent its destructive effects. Here we present evidence for persistent active drainage networks-interconnected streams, ponds and rivers-on the Nansen Ice Shelf in Antarctica that export a large fraction of the ice shelf's meltwater into the ocean. We find that active drainage has exported water off the ice surface through waterfalls and dolines for more than a century. The surface river terminates in a 130-metre-wide waterfall that can export the entire annual surface melt over the course of seven days. During warmer melt seasons, these drainage networks adapt to changing environmental conditions by remaining active for longer and exporting more water. Similar networks are present on the ice shelf in front of Petermann Glacier, Greenland, but other systems, such as on the Larsen C and Amery Ice Shelves, retain surface water at present. The underlying reasons for export versus retention remain unclear. Nonetheless our results suggest that, in a future warming climate, surface rivers could export melt off the large ice shelves surrounding Antarctica-contrary to present Antarctic ice-sheet models(1), which assume that meltwater is stored on the ice surface where it triggers ice-shelf disintegration.</t>
  </si>
  <si>
    <t>[Bell, Robin E.; Chu, Winnie; Kingslake, Jonathan; Das, Indrani; Tedesco, Marco; Tinto, Kirsty J.; Zappa, Christopher J.; Boghosian, Alexandra] Columbia Univ, Lamont Doherty Earth Observ, New York, NY 10964 USA; [Chu, Winnie; Kingslake, Jonathan; Boghosian, Alexandra] Columbia Univ, Dept Earth &amp; Environm Sci, New York, NY 10964 USA; [Tedesco, Marco] NASA, Goddard Inst Space Studies, New York, NY 10021 USA; [Frezzotti, Massimo] Italian Natl Agcy New Technol Energy &amp; Sustainabl, Anguillarese 301, I-00123 Rome, Italy; [Lee, Won Sang] Korea Polar Res Inst KOPRI, Incheon 21990, South Korea; [Lee, Won Sang] Korea Univ Sci &amp; Technol, Daejeon 34113, South Korea</t>
  </si>
  <si>
    <t>Columbia University; Columbia University; National Aeronautics &amp; Space Administration (NASA); NASA Goddard Space Flight Center; Goddard Institute for Space Studies; Italian National Agency New Technical Energy &amp; Sustainable Economics Development; Korea Polar Research Institute (KOPRI); University of Science &amp; Technology (UST)</t>
  </si>
  <si>
    <t>Bell, RE (corresponding author), Columbia Univ, Lamont Doherty Earth Observ, New York, NY 10964 USA.</t>
  </si>
  <si>
    <t>robinb@ldeo.columbia.edu</t>
  </si>
  <si>
    <t>FREZZOTTI, Massimo/AAK-7275-2020</t>
  </si>
  <si>
    <t>FREZZOTTI, Massimo/0000-0002-2461-2883; Lee, Won Sang/0000-0002-1074-7672; Chu, Winnie/0000-0002-8107-7450; Zappa, Christopher J/0000-0003-0041-2913</t>
  </si>
  <si>
    <t>National Science Foundation [1443534, DGE-16-44869, 1341688]; NASA [IceBridge NNX16AJ65G, NNX14AH79G]; NASA Earth and Space Science fellowship [NNX15AN28H]; Old York Foundation; Korean Ministry of Oceans and Fisheries [PM16020]; NASA [798531, NNX15AN28H, 683635, NNX14AH79G] Funding Source: Federal RePORTER; Office of Polar Programs (OPP); Directorate For Geosciences [1443534] Funding Source: National Science Foundation; Office of Polar Programs (OPP); Directorate For Geosciences [1341688] Funding Source: National Science Foundation</t>
  </si>
  <si>
    <t>National Science Foundation(National Science Foundation (NSF)); NASA(National Aeronautics &amp; Space Administration (NASA)); NASA Earth and Space Science fellowship; Old York Foundation; Korean Ministry of Oceans and Fisheries; NASA(National Aeronautics &amp; Space Administration (NASA)); Office of Polar Programs (OPP); Directorate For Geosciences(National Science Foundation (NSF)NSF - Directorate for Geosciences (GEO)); Office of Polar Programs (OPP); Directorate For Geosciences(National Science Foundation (NSF)NSF - Directorate for Geosciences (GEO))</t>
  </si>
  <si>
    <t>This work benefited from input on the Northern Party historical documents from M. Hopper and D. Webster, in addition to assistance from the staff of the Scott Polar Research Institute, University of Cambridge, UK. This work was supported by the National Science Foundation under Rosetta Project award 1443534; a National Science Foundation Graduate Research Fellowship award (DGE-16-44869); a National Science Foundation award (1341688); two NASA awards (IceBridge NNX16AJ65G and NNX14AH79G); a NASA Earth and Space Science fellowship (NNX15AN28H); a grant from the Old York Foundation; and a grant from the Korean Ministry of Oceans and Fisheries (PM16020).</t>
  </si>
  <si>
    <t>10.1038/nature22048</t>
  </si>
  <si>
    <t>ES4SG</t>
  </si>
  <si>
    <t>WOS:000399524400035</t>
  </si>
  <si>
    <t>Kingslake, J; Ely, JC; Das, I; Bell, RE</t>
  </si>
  <si>
    <t>Kingslake, Jonathan; Ely, Jeremy C.; Das, Indrani; Bell, Robin E.</t>
  </si>
  <si>
    <t>Widespread movement of meltwater onto and across Antarctic ice shelves</t>
  </si>
  <si>
    <t>SURFACE MASS-BALANCE; DRONNING MAUD LAND; SUPRAGLACIAL LAKES; SHEET; DRAINAGE; MELT; EVOLUTION; PENINSULA; COLLAPSE; AREAS</t>
  </si>
  <si>
    <t>Surface meltwater drains across ice sheets, forming melt ponds that can trigger ice-shelf collapse(1,2), acceleration of grounded ice flow and increased sea-level rise(3-5). Numerical models of the Antarctic Ice Sheet that incorporate meltwater's impact on ice shelves, but ignore the movement of water across the ice surface, predict a metre of global sea-level rise this century(5) in response to atmospheric warming(6). To understand the impact of water moving across the ice surface a broad quantification of surface meltwater and its drainage is needed. Yet, despite extensive research in Greenland(7-10) and observations of individual drainage systems in Antarctica(10-17), we have little understanding of Antarctic-wide surface hydrology or how it will evolve. Here we show widespread drainage of meltwater across the surface of the ice sheet through surface streams and ponds (hereafter 'surface drainage') as far south as 85 degrees S and as high as 1,300 metres above sea level. Our findings are based on satellite imagery from 1973 onwards and aerial photography from 1947 onwards. Surface drainage has persisted for decades, transporting water up to 120 kilometres from grounded ice onto and across ice shelves, feeding vast melt ponds up to 80 kilometres long. Large-scale surface drainage could deliver water to areas of ice shelves vulnerable to collapse, as melt rates increase this century. While Antarctic surface melt ponds are relatively well documented on some ice shelves, we have discovered that ponds often form part of widespread, large-scale surface drainage systems. In a warming climate, enhanced surface drainage could accelerate future ice-mass loss from Antarctic, potentially via positive feedbacks between the extent of exposed rock, melting and thinning of the ice sheet.</t>
  </si>
  <si>
    <t>[Kingslake, Jonathan; Das, Indrani; Bell, Robin E.] Columbia Univ, Lamont Doherty Earth Observ, Palisades, NY 10964 USA; [Ely, Jeremy C.] Univ Sheffield, Dept Geog, Sheffield, S Yorkshire, England</t>
  </si>
  <si>
    <t>Columbia University; University of Sheffield</t>
  </si>
  <si>
    <t>Kingslake, J (corresponding author), Columbia Univ, Lamont Doherty Earth Observ, Palisades, NY 10964 USA.</t>
  </si>
  <si>
    <t>j.kingslake@columbia.edu</t>
  </si>
  <si>
    <t>Ely, Jeremy/0000-0003-4007-1500</t>
  </si>
  <si>
    <t>NASA [NNX14AH79G]; NSF [GG008566, 1443534]; Old York Foundation; NASA [NNX14AH79G, 683635] Funding Source: Federal RePORTER; Office of Polar Programs (OPP); Directorate For Geosciences [1443534] Funding Source: National Science Foundation</t>
  </si>
  <si>
    <t>NASA(National Aeronautics &amp; Space Administration (NASA)); NSF(National Science Foundation (NSF)); Old York Foundation; NASA(National Aeronautics &amp; Space Administration (NASA)); Office of Polar Programs (OPP); Directorate For Geosciences(National Science Foundation (NSF)NSF - Directorate for Geosciences (GEO))</t>
  </si>
  <si>
    <t>We acknowledge funding from NASA grant number NNX14AH79G, NSF grant numbers GG008566 and 1443534, and the Old York Foundation. We also thank I. Cordero for assisting with meltwater feature digitization. We thank J. Lenaerts for sharing RACMO2 climate model output.</t>
  </si>
  <si>
    <t>10.1038/nature22049</t>
  </si>
  <si>
    <t>WOS:000399524400036</t>
  </si>
  <si>
    <t>Ivanov, AV; Meffre, S; Thompson, J; Corfu, F; Kamenetsky, VS; Kamenetsky, MB; Demonterova, EI</t>
  </si>
  <si>
    <t>Ivanov, Alexei V.; Meffre, Sebastien; Thompson, Jay; Corfu, Fernando; Kamenetsky, Vadim S.; Kamenetsky, Maya B.; Demonterova, Elena I.</t>
  </si>
  <si>
    <t>Timing and genesis of the Karoo-Ferrar large igneous province: New high precision U-Pb data for Tasmania confirm short duration of the major magmatic pulse</t>
  </si>
  <si>
    <t>Karoo-Ferrar-Tasmania; Large igneous province; U-Pb dating; Subduction; Plume</t>
  </si>
  <si>
    <t>FLOOD-BASALT VOLCANISM; CLIMATIC-BIOLOGIC EVENTS; CANYON SANIDINE STANDARD; HOSTED MELT INCLUSIONS; K-40 DECAY CONSTANTS; DRONNING MAUD LAND; 40AR/39AR GEOCHRONOLOGY; IMPROVED ACCURACY; TRACE-ELEMENT; JOINT DETERMINATION</t>
  </si>
  <si>
    <t>The Karoo-Ferrar igneous province is one of the largest igneous provinces on Earth. It extends from South Africa, along the Trans-Antarctic Mountains to Tasmania and South Australia. Reconstruction of the continents back to the Gondwana configuration in the Early Jurassic reveals a total length of the Karoo-Ferrar province of &gt; 5000 km. New isotope dilution thermal ionization mass spectrometry (ID-TIMS) single grain U-Pb ages for zircon and baddeleyite from Tasmanian dolerites combined with ID-TIMS literature single grain U-Pb ages from the Ferrar and Karoo suites are consistent with the major pulse of synchronous magmatism throughout the province lasting about 1 Ma or less for the major pulse of magmatism at the time of the Toarcian mass extinction event. We argue that the mechanism of synchronization of magmatism over such a short period of time along such a long distance is the major question which has to be answered in search of the correct model for the origin of the Karoo-Ferrar large igneous province. It cannot be reconciled with the lower mantle plume head model with the plume impingement beneath the Karoo. Plume material could not spread beneath the lithosphere at a rate of similar to 5-10 m/yr (5000 km per 0.5-1 Myr), at least based on the current knowledge of the mantle physical properties. It seems unlikely that the entire Karoo-Ferrar large igneous province formed due to long distance magma migration through dykes from the same mantle plume irrespective on the proposed plume centre location. In such case, magma would have had to cross the boundaries (and thus weakness zones) between three future continents. In the framework of the dyke propagation model we would expect dykes to,follow these weakness zones, not cross them. In addition to this, the Karoo and Ferrar contain geochemically different igneous rocks, which Were not formed from the same magma source, preventing interpretations based on one single plume. Both the Karoo and Ferrar contain low-Ti tholeiites, which are similar by their trace element patterns to modern arc analogues - the Central Andes and Kamchatka, respectively. Thus, our preferred model for the origin of the Karoo-Ferrar large igneous province is associated with subduction of the Phoenix plate beneath the southern Gondwana. Probably, deep slab dehydration at the depth of the mantle transition zone modulated surface volcanism or the Toarcian tectonic event triggered voluminous but short-term melting of mantle, which was metasomatized by subduction-derived fluids. (C) 2016 Elsevier B.V. All rights reserved.</t>
  </si>
  <si>
    <t>[Ivanov, Alexei V.; Demonterova, Elena I.] Russian Acad Sci, Inst Earths Crust, Siberian Branch, 128 Lermontov St, Irkutsk 664033, Russia; [Meffre, Sebastien; Thompson, Jay; Kamenetsky, Vadim S.; Kamenetsky, Maya B.] Univ Tasmania, Sch Earth Sci, Hobart, Tas 7001, Australia; [Corfu, Fernando] Univ Oslo, Dept Geosci, Postboks 1047, N-0316 Oslo, Norway</t>
  </si>
  <si>
    <t>Russian Academy of Sciences; Irkutsk Science Centre of the Russian Academy of Sciences; Institute of Earth's Crust of Siberian Branch of the Russian Academy of Sciences; University of Tasmania; University of Oslo</t>
  </si>
  <si>
    <t>Ivanov, AV (corresponding author), Russian Acad Sci, Inst Earths Crust, Siberian Branch, 128 Lermontov St, Irkutsk 664033, Russia.</t>
  </si>
  <si>
    <t>aivanov@crust.irk.ru</t>
  </si>
  <si>
    <t>Ivanov, Alexei V./U-2454-2019; Kamenetsky, Vadim/K-2200-2019; Meffre, Sebastien/O-6896-2019; ivanov, Alexei/B-2933-2011; Kamenetsky, Vadim/CAF-7424-2022; Corfu, Fernando/U-3936-2019; Kamenetsky, Vadim/B-1019-2008; Demonterova, Elena/R-9470-2016</t>
  </si>
  <si>
    <t>Ivanov, Alexei V./0000-0002-6410-5237; Meffre, Sebastien/0000-0003-2741-6076; Corfu, Fernando/0000-0002-9370-4239; Kamenetsky, Vadim/0000-0002-2734-8790; Demonterova, Elena/0000-0001-9085-6125</t>
  </si>
  <si>
    <t>Russian Foundation for Basic Research grant [15-05-05130]; Russian Science Foundation [16-17-10145]</t>
  </si>
  <si>
    <t>Russian Foundation for Basic Research grant(Russian Foundation for Basic Research (RFBR)); Russian Science Foundation(Russian Science Foundation (RSF))</t>
  </si>
  <si>
    <t>Thanks to Nick Mortimer for providing the New Zealand sample which had no zircons and Justin Paine for providing the Kangaroo Island samples. We acknowledge critical comments and useful suggestions of Jussi Heinonen, David Peate and Ian Williams and editorial handling of Andrea Giuliani. The ARGUS VI mass-spectrometer was used in frame of the Center for Geodynamics and Geochronology at the Institute of the Earth's Crust, Siberian Branch of the Russian Academy of Sciences (Irkutsk) with financial support from Russian Foundation for Basic Research grant no 15-05-05130. Financial support from the Russian Science Foundation (grant 16-17-10145) was provided to V.S. Kamenetsky.</t>
  </si>
  <si>
    <t>10.1016/j.chemgeo.2016.10.008</t>
  </si>
  <si>
    <t>EZ9IM</t>
  </si>
  <si>
    <t>WOS:000405043600004</t>
  </si>
  <si>
    <t>Hogslund, S; Cedhagen, T; Bowser, SS; Risgaard-Petersen, N</t>
  </si>
  <si>
    <t>Hogslund, Signe; Cedhagen, Tomas; Bowser, Samuel S.; Risgaard-Petersen, Nils</t>
  </si>
  <si>
    <t>Sinks and Sources of Intracellular Nitrate in Gromiids</t>
  </si>
  <si>
    <t>Gromia; nitrate; denitrification; nitrification; aerobic respiration; protist; endobionts</t>
  </si>
  <si>
    <t>OXYGEN MINIMUM ZONE; MARINE-SEDIMENTS; ARABIAN SEA; DEEP-SEA; DENITRIFICATION; THIOPLOCA; REDUCTION; ACETYLENE; TRANSPORT; PROTISTA</t>
  </si>
  <si>
    <t>A substantial nitrate pool is stored within living cells in various benthic marine environments. The fate of this bioavailable nitrogen differs according to the organisms managing the intracellular nitrate (ICN). While some light has been shed on the nitrate carried by diatoms and foraminiferans, no study has so far followed the nitrate kept by gromiids. Gromiids are large protists and their ICN concentration can exceed 1000x the ambient nitrate concentration. In the present study we investigated gromiids from diverse habitats and showed that they contained nitrate at concentrations ranging from 1 to 370 mM. We used N-15 tracer techniques to investigate the source of this ICN, and found that it originated both from active nitrate uptake from the environment and from intracellular production, most likely through bacterial nitrification. Microsensor measurements showed that part of the ICN was denitrified to N-2 when gromiids were exposed to anoxia. Denitrification seemed to be mediated by endobiotic bacteria because antibiotics inhibited denitrification activity. The active uptake of nitrate suggests that ICN plays a role in gromiid physiology and is not merely a consequence of the gromiid hosting a diverse bacterial community. Measurements of aerobic respiration rates and modeling of oxygen consumption by individual gromiid cells suggested that gromiids may occasionally turn anoxic by their own respiration activity and thus need strategies for coping with this self-inflicted anoxia.</t>
  </si>
  <si>
    <t>[Hogslund, Signe; Cedhagen, Tomas; Risgaard-Petersen, Nils] Aarhus Univ, Dept Biosci, Aarhus, Denmark; [Bowser, Samuel S.] New York State Dept Hlth, Wadsworth Ctr, Albany, NY USA; [Risgaard-Petersen, Nils] Aarhus Univ, Ctr Geomicrobiol, Aarhus, Denmark</t>
  </si>
  <si>
    <t>Aarhus University; State University of New York (SUNY) System; Wadsworth Center; Aarhus University</t>
  </si>
  <si>
    <t>Risgaard-Petersen, N (corresponding author), Aarhus Univ, Dept Biosci, Aarhus, Denmark.;Risgaard-Petersen, N (corresponding author), Aarhus Univ, Ctr Geomicrobiol, Aarhus, Denmark.</t>
  </si>
  <si>
    <t>nils.risgaard-petersen@bios.au.dk</t>
  </si>
  <si>
    <t>Risgaard-Petersen, Nils/AAX-6747-2021; Cedhagen, Tomas/J-6426-2013</t>
  </si>
  <si>
    <t>Risgaard-Petersen, Nils/0000-0002-2767-2080; Cedhagen, Tomas/0000-0003-4550-8177; Hogslund, Signe/0000-0001-5926-8464</t>
  </si>
  <si>
    <t>Aarhus University Research Foundation; Danish National Research Foundation [DNRF104]; U.S. National Science Foundation [PLR1341612]; Directorate For Geosciences; Office of Polar Programs (OPP) [1341612] Funding Source: National Science Foundation</t>
  </si>
  <si>
    <t>Aarhus University Research Foundation; Danish National Research Foundation(Danmarks Grundforskningsfond); U.S. National Science Foundation(National Science Foundation (NSF)); Directorate For Geosciences; Office of Polar Programs (OPP)(National Science Foundation (NSF)NSF - Directorate for Geosciences (GEO))</t>
  </si>
  <si>
    <t>This study was supported by Aarhus University Research Foundation (SH, AU Ideas), the Danish National Research Foundation (NR-P, DNRF104), and the U.S. National Science Foundation (grant PLR1341612), the latter awarded to SB for collection of Antarctic specimens.</t>
  </si>
  <si>
    <t>PO BOX 110, EPFL INNOVATION PARK, BUILDING I, LAUSANNE, 1015, SWITZERLAND</t>
  </si>
  <si>
    <t>10.3389/fmicb.2017.00617</t>
  </si>
  <si>
    <t>ES4UH</t>
  </si>
  <si>
    <t>WOS:000399530100001</t>
  </si>
  <si>
    <t>Bylenga, CH; Cummings, VJ; Ryan, KG</t>
  </si>
  <si>
    <t>Bylenga, Christine H.; Cummings, Vonda J.; Ryan, Ken G.</t>
  </si>
  <si>
    <t>High resolution microscopy reveals significant impacts of ocean acidification and warming on larval shell development in Laternula elliptica</t>
  </si>
  <si>
    <t>SEAWATER ACIDIFICATION; TEMPORAL VARIABILITY; MARINE CALCIFIERS; ANTARCTIC BIVALVE; CARBONIC-ACID; GROWTH-RATE; FUTURE; TEMPERATURE; CO2; FERTILIZATION</t>
  </si>
  <si>
    <t>Environmental stressors impact marine larval growth rates, quality and sizes. Larvae of the Antarctic bivalve, Laternula elliptica, were raised to the D-larvae stage under temperature and pH conditions representing ambient and end of century projections (-1.6 degrees C to +0.4 degrees C and pH 7.98 to 7.65). Previous observations using light microscopy suggested pH had no influence on larval abnormalities in this species. Detailed analysis of the shell using SEM showed that reduced pH is in fact a major stressor during development for this species, producing D-larvae with abnormal shapes, deformed shell edges and irregular hinges, cracked shell surfaces and even uncalcified larvae. Additionally, reduced pH increased pitting and cracking on shell surfaces. Thus, apparently normal larvae may be compromised at the ultrastructural level and these larvae would be in poor condition at settlement, reducing juvenile recruitment and overall survival. Elevated temperatures increased prodissoconch II sizes. However, the overall impacts on larval shell quality and integrity with concurrent ocean acidification would likely overshadow any beneficial results from warmer temperatures, limiting populations of this prevalent Antarctic species.</t>
  </si>
  <si>
    <t>[Bylenga, Christine H.; Ryan, Ken G.] Victoria Univ Wellington, Sch Biol Sci, Wellington, New Zealand; [Cummings, Vonda J.] Natl Inst Water &amp; Atmospher Res NIWA, Wellington, New Zealand</t>
  </si>
  <si>
    <t>Victoria University Wellington; National Institute of Water &amp; Atmospheric Research (NIWA) - New Zealand</t>
  </si>
  <si>
    <t>Bylenga, CH (corresponding author), Victoria Univ Wellington, Sch Biol Sci, Wellington, New Zealand.</t>
  </si>
  <si>
    <t>Christine.bylenga@gmail.com</t>
  </si>
  <si>
    <t>Ryan, Ken/0000-0001-7075-0112; Cummings, Vonda/0000-0003-1076-3995</t>
  </si>
  <si>
    <t>VUW Grant [100241]; Victoria Doctoral Scholarship Fund; Royal Society of New Zealand Marsden Fund [NIW1101]</t>
  </si>
  <si>
    <t>VUW Grant; Victoria Doctoral Scholarship Fund; Royal Society of New Zealand Marsden Fund(Royal Society of New ZealandMarsden Fund (NZ))</t>
  </si>
  <si>
    <t>This research was funded by VUW Grant 100241 (KGR), the Victoria Doctoral Scholarship Fund (CHB), and the Royal Society of New Zealand Marsden Fund NIW1101 (VJC).</t>
  </si>
  <si>
    <t>APR 19</t>
  </si>
  <si>
    <t>e0175706</t>
  </si>
  <si>
    <t>10.1371/journal.pone.0175706</t>
  </si>
  <si>
    <t>ES9KK</t>
  </si>
  <si>
    <t>WOS:000399875600045</t>
  </si>
  <si>
    <t>Bajerski, F; Wagner, D; Mangelsdorf, K</t>
  </si>
  <si>
    <t>Bajerski, Felizitas; Wagner, Dirk; Mangelsdorf, Kai</t>
  </si>
  <si>
    <t>Cell Membrane Fatty Acid Composition of Chryseobacterium frigidisoli PB4T, Isolated from Antarctic Glacier Forefield Soils, in Response to Changing Temperature and pH Conditions</t>
  </si>
  <si>
    <t>bacterial cell membrane; fatty acid composition; cold temperature; physiological adaptation; Flavobacteriaceae; biogeochemical gradients; permafrost</t>
  </si>
  <si>
    <t>SP NOV.; LARSEMANN HILLS; RAPID METHOD; MARITIME ANTARCTICA; THERMAL ADAPTATION; LIVINGSTON ISLAND; ESCHERICHIA-COLI; EAST ANTARCTICA; BACTERIA; COMMUNITY</t>
  </si>
  <si>
    <t>Microorganisms in Antarctic glacier forefields are directly exposed to the hostile environment of their habitat characterized by extremely low temperatures and changing geochemical conditions. To survive under those stress conditions microorganisms adapt, among others, their cell membrane fatty acid inventory. However, only little is known about the adaptation potential of microorganisms from Antarctic soil environments. In this study, we examined the adaptation of the cell membrane polar lipid fatty acid inventory of Chryseobacterium frigidisoli PB4(T) in response to changing temperature (0 degrees C to 20 degrees C) and pH (5.5 to 8.5) regimes, because this new strain isolated from an Antarctic glacier forefield showed specific adaptation mechanisms during its detailed physiological characterization. Flavobacteriaceae including Chryseobacterium species occur frequently in extreme habitats such as ice-free oases in Antarctica. C. frigidisoli shows a complex restructuring of membrane derived fatty acids in response to different stress levels. Thus, from 20 degrees C to 10 degrees C a change from less iso-C-15:0 to more iso-C-17:1 omega 7 is observed. Below 10 degrees C temperature adaptation is regulated by a constant increase of anteiso-FAs and decrease of iso-FAs. An anteiso- and bis-unsaturated fatty acid, anteiso- heptadeca-9,13-dienoic acid, shows a continuous increase with decreasing cultivation temperatures underlining the particular importance of this fatty acid for temperature adaptation in C. frigidisoli. Concerning adaptation to changing pH conditions, most of the dominant fatty acids reveal constant relative proportions around neutral pH (pH 6-8). Strong variations are mainly observed at the pH extremes (pH 5.5 and 8.5). At high pH short chain saturated iso- and anteiso-FAs increase while longer chain unsaturated iso- and anteiso-FAs decrease. At low pH the opposite trend is observed. The study shows a complex interplay of different membrane components and provides, therefore, deep insights into adaptation strategies of microorganisms from extreme habitats to changing environmental conditions.</t>
  </si>
  <si>
    <t>[Bajerski, Felizitas] Alfred Wegener Inst, Helmholtz Ctr Polar &amp; Marine Res, Potsdam, Germany; [Wagner, Dirk] GFZ German Res Ctr Geosci, Helmholtz Ctr Potsdam, Sect Geomicrobiol 5 3, Potsdam, Germany; [Mangelsdorf, Kai] GFZ German Res Ctr Geosci, Helmholtz Ctr Potsdam, Sect Organ Geochem 3 2, Potsdam, Germany; [Bajerski, Felizitas] Leibniz Inst DSMZ, German Collect Microorganisms &amp; Cell Cultures, Braunschweig, Germany</t>
  </si>
  <si>
    <t>Helmholtz Association; Alfred Wegener Institute, Helmholtz Centre for Polar &amp; Marine Research; Helmholtz Association; Helmholtz-Center Potsdam GFZ German Research Center for Geosciences; Helmholtz Association; Helmholtz-Center Potsdam GFZ German Research Center for Geosciences; Leibniz Institut fur Deutsche Sammlung von Mikroorganismen und Zellkulturen (DSMZ)</t>
  </si>
  <si>
    <t>Bajerski, F (corresponding author), Alfred Wegener Inst, Helmholtz Ctr Polar &amp; Marine Res, Potsdam, Germany.;Bajerski, F (corresponding author), Leibniz Inst DSMZ, German Collect Microorganisms &amp; Cell Cultures, Braunschweig, Germany.</t>
  </si>
  <si>
    <t>felizitas.bajerski@dsmz.de</t>
  </si>
  <si>
    <t>Wagner, Dirk/C-3932-2012</t>
  </si>
  <si>
    <t>Wagner, Dirk/0000-0001-5064-497X</t>
  </si>
  <si>
    <t>Deutsche Forschungsgemeinschaft (DFG) in the framework of the priority program 'Antarctic Research with Comparative Investigations in Arctic Ice Areas' [WA 1554/9]</t>
  </si>
  <si>
    <t>Deutsche Forschungsgemeinschaft (DFG) in the framework of the priority program 'Antarctic Research with Comparative Investigations in Arctic Ice Areas'</t>
  </si>
  <si>
    <t>This study was supported by the Deutsche Forschungsgemeinschaft (DFG) in the framework of the priority program 'Antarctic Research with Comparative Investigations in Arctic Ice Areas' by a grant to DW (WA 1554/9).</t>
  </si>
  <si>
    <t>10.3389/fmicb.2017.00677</t>
  </si>
  <si>
    <t>ES4TT</t>
  </si>
  <si>
    <t>WOS:000399528600001</t>
  </si>
  <si>
    <t>Bolch, CJS; Bejoy, TA; Green, DH</t>
  </si>
  <si>
    <t>Bolch, Christopher J. S.; Bejoy, Thaila A.; Green, David H.</t>
  </si>
  <si>
    <t>Bacterial Associates Modify Growth Dynamics of the Dinoflagellate Gymnodinium catenatum</t>
  </si>
  <si>
    <t>dinoflagellate; bacteria; interaction; model; Gymnodinium catenatum; growth</t>
  </si>
  <si>
    <t>CHLOROPHYLL-A FLUORESCENCE; MARINE-BACTERIA; CYST FORMATION; CELL-DEATH; SP-NOV.; PHYTOPLANKTON; DIVERSITY; COMMUNITY; DIATOMS; ALGAE</t>
  </si>
  <si>
    <t>Marine phytoplankton cells grow in close association with a complex microbial associate community known to affect the growth, behavior, and physiology of the algal host. The relative scale and importance these effects compared to other major factors governing algal cell growth remain unclear. Using algal-bacteria co-culture models based on the toxic dinoflagellate Gymnodinium catenatum, we tested the hypothesis that associate bacteria exert an independent effect on host algal cell growth. Batch co-cultures of G. catenatum were grown under identical environmental conditions with simplified bacterial communities composed of one-, two-, or three-bacterial associates. Modification of the associate community membership and complexity induced up to four-fold changes in dinoflagellate growth rate, equivalent to the effect of a 5 ffi C change in temperature or an almost six-fold change in light intensity (20-115 moles photons PAR m(-2) s(-1)). Almost three-fold changes in both stationary phase cell concentration and death rate were also observed. Co-culture with Roseobacter sp. DG874 reduced dinoflagellate exponential growth rate and led to a more rapid death rate compared with mixed associate community controls or co-culture with either Marinobacter sp. DG879, Alcanivorax sp. DG881. In contrast, associate bacteria concentration was positively correlated with dinoflagellate cell concentration during the exponential growth phase, indicating growth was limited by supply of dinoflagellate-derived carbon. Bacterial growth increased rapidly at the onset of declining and stationary phases due to either increasing availability of algal-derived carbon induced by nutrient stress and autolysis, or at mid-log phase in Roseobacter co-cultures potentially due to the onset of bacterial-mediated cell lysis. Co-cultures with the three bacterial associates resulted in dinoflagellate and bacterial growth dynamics very similar to more complex mixed bacterial community controls, suggesting that three-way co-cultures are sufficient to model interaction and growth dynamics of more complex communities. This study demonstrates that algal associate bacteria independently modify the growth of the host cell under non-limiting growth conditions and supports the concept that algal-bacterial interactions are an important structuring mechanism in phytoplankton communities.</t>
  </si>
  <si>
    <t>[Bolch, Christopher J. S.; Bejoy, Thaila A.] Univ Tasmania, Inst Marine &amp; Antarctic Studies, Launceston, Tas, Australia; [Green, David H.] Scottish Marine Inst, Scottish Assoc Marine Sci, Oban, Argyll, Scotland; [Bejoy, Thaila A.] Curtin Univ, Sch Publ Hlth, Bentley, WA, Australia</t>
  </si>
  <si>
    <t>University of Tasmania; UHI Millennium Institute; Curtin University</t>
  </si>
  <si>
    <t>Bolch, CJS (corresponding author), Univ Tasmania, Inst Marine &amp; Antarctic Studies, Launceston, Tas, Australia.</t>
  </si>
  <si>
    <t>chris.bolch@utas.edu.au</t>
  </si>
  <si>
    <t>Bolch, Christopher J/J-7619-2014; Green, David/E-2533-2012</t>
  </si>
  <si>
    <t>Green, David/0000-0001-7499-6021</t>
  </si>
  <si>
    <t>University of Tasmania Internal Research Grant Scheme [B0015641]</t>
  </si>
  <si>
    <t>University of Tasmania Internal Research Grant Scheme</t>
  </si>
  <si>
    <t>This work was supported by University of Tasmania Internal Research Grant Scheme B0015641 awarded to CB.</t>
  </si>
  <si>
    <t>10.3389/fmicb.2017.00670</t>
  </si>
  <si>
    <t>ES4TR</t>
  </si>
  <si>
    <t>WOS:000399528400002</t>
  </si>
  <si>
    <t>Antony, R; Willoughby, AS; Grannas, AM; Catanzano, V; Sleighter, RL; Thamban, M; Hatcher, PG; Nair, S</t>
  </si>
  <si>
    <t>Antony, Runa; Willoughby, Amanda S.; Grannas, Amanda M.; Catanzano, Victoria; Sleighter, Rachel L.; Thamban, Meloth; Hatcher, Patrick G.; Nair, Shanta</t>
  </si>
  <si>
    <t>Molecular Insights on Dissolved Organic Matter Transformation by Supraglacial Microbial Communities</t>
  </si>
  <si>
    <t>ENVIRONMENTAL SCIENCE &amp; TECHNOLOGY</t>
  </si>
  <si>
    <t>MAJOR BACTERIAL CONTRIBUTION; MASS-SPECTROMETRY; BLACK CARBON; ANTARCTIC SNOW; WATER; ICE; DEGRADATION; ELECTROSPRAY; GLACIERS; SOIL</t>
  </si>
  <si>
    <t>Snow overlays the majority of Antarctica and is an important repository of dissolved organic matter (DOM). DOM transformations by supraglacial microbes are not well understood. We use ultrahigh resolution mass spectrometry to elucidate molecular changes in snowpack DOM by in situ microbial processes (up to SS days) in a coastal Antarctic site. Both autochthonous and allochthonous DOM is highly bioavailable and is transformed by resident microbial communities through parallel processes of degradation and synthesis. DOM thought to be of a more refractory nature, such as dissolved black carbon and carboxylic-rich alicyclic molecules, was also rapidly and extensively reworked. Microbially reworked DOM exhibits an increase in the number and magnitude of N-, S-, and P-containing formulas, is less oxygenated, and more aromatic when compared to the initial DOM. Shifts in the heteroatom composition suggest that microbial processes may be important in the cycling of not only C, but other elements such as N, S, and P. Microbial reworking also produces photoreactive compounds, with potential implications for DOM photochemistry. Refined measurements of supraglacial DOM and their cycling by microbes is critical for improving our understanding of supraglacial DOM cycling and the biogeochemical and ecological impacts of DOM export to downstream environments.</t>
  </si>
  <si>
    <t>[Antony, Runa; Thamban, Meloth] Natl Ctr Antarctic &amp; Ocean Res, Vasco Da Gama 403804, Goa, India; [Willoughby, Amanda S.; Sleighter, Rachel L.; Hatcher, Patrick G.] Old Dominion Univ, Dept Chem &amp; Biochem, Norfolk, VA 23529 USA; [Grannas, Amanda M.; Catanzano, Victoria] Villanova Univ, Dept Chem, Villanova, PA 19085 USA; [Sleighter, Rachel L.] FBSciences Inc, Res &amp; Dev, Norfolk, VA 23508 USA; [Nair, Shanta] Natl Inst Oceanog, Panaji 403004, Goa, India</t>
  </si>
  <si>
    <t>Ministry of Earth Sciences (MoES) - India; National Centre for Polar and Ocean Research (NCPOR); Old Dominion University; Villanova University; Council of Scientific &amp; Industrial Research (CSIR) - India; CSIR - National Institute of Oceanography (NIO)</t>
  </si>
  <si>
    <t>Antony, R (corresponding author), Natl Ctr Antarctic &amp; Ocean Res, Vasco Da Gama 403804, Goa, India.</t>
  </si>
  <si>
    <t>runa@ncaor.gov.in</t>
  </si>
  <si>
    <t>; Grannas, Amanda/F-4804-2010</t>
  </si>
  <si>
    <t>Thamban, Meloth/0000-0003-3379-8189; Sleighter, Rachel/0000-0003-1833-7050; Grannas, Amanda/0000-0003-4719-348X; Antony, Runa/0000-0003-4829-4207</t>
  </si>
  <si>
    <t>Ministry of Earth Sciences (India); Henry Dreyfus Teacher-Scholar Awards Program of the Camille and Henry Dreyfus Foundation; National Science Foundation [0739691]</t>
  </si>
  <si>
    <t>Ministry of Earth Sciences (India); Henry Dreyfus Teacher-Scholar Awards Program of the Camille and Henry Dreyfus Foundation; National Science Foundation(National Science Foundation (NSF))</t>
  </si>
  <si>
    <t>We thank the Ministry of Earth Sciences (India) and the Director, NCAOR for support. We are grateful for the support from the members and crew of the 33rd Indian Scientific Expedition to Antarctica. Shri M. J. Beg, Director (Logistics), NCAOR, is thanked for providing all necessary logistic support for the sampling, as well as, for the safe transport of samples to Old Dominion University. We thank Progress station (Russia) for providing the temperature data. We also thank the College of Sciences Major Instrumentation Cluster at ODU for their assistance with the FTICR-MS data acquisition. AMG also gratefully acknowledges the Henry Dreyfus Teacher-Scholar Awards Program of the Camille and Henry Dreyfus Foundation for financial support. The FTICR-MS analysis was funded by the National Science Foundation (Antarctic Glaciology Program #0739691). This is NCAOR contribution number 12/2017.</t>
  </si>
  <si>
    <t>0013-936X</t>
  </si>
  <si>
    <t>1520-5851</t>
  </si>
  <si>
    <t>ENVIRON SCI TECHNOL</t>
  </si>
  <si>
    <t>Environ. Sci. Technol.</t>
  </si>
  <si>
    <t>APR 18</t>
  </si>
  <si>
    <t>10.1021/acs.est.6b05780</t>
  </si>
  <si>
    <t>Engineering, Environmental; Environmental Sciences</t>
  </si>
  <si>
    <t>Engineering; Environmental Sciences &amp; Ecology</t>
  </si>
  <si>
    <t>ES9EU</t>
  </si>
  <si>
    <t>WOS:000399859700022</t>
  </si>
  <si>
    <t>Reid, IM; Spargo, AJ; Woithe, JM; Klekociuk, AR; Younger, JP; Sivjee, GG</t>
  </si>
  <si>
    <t>Reid, Iain M.; Spargo, Andrew J.; Woithe, Jonathan M.; Klekociuk, Andrew R.; Younger, Joel P.; Sivjee, Gulamabas G.</t>
  </si>
  <si>
    <t>Seasonal MLT-region nightglow intensities, temperatures, and emission heights at a Southern Hemisphere midlatitude site</t>
  </si>
  <si>
    <t>ANNALES GEOPHYSICAE</t>
  </si>
  <si>
    <t>Atmospheric composition and structure (airglow and aurora)</t>
  </si>
  <si>
    <t>INTERFEROMETRIC METEOR RADAR; ROTATIONAL TEMPERATURES; MESOSPHERIC TEMPERATURE; MESOPAUSE REGION; TRANSITION-PROBABILITIES; SEMIANNUAL OSCILLATION; OI NIGHTGLOW; OH; AIRGLOW; ADELAIDE</t>
  </si>
  <si>
    <t>We consider 5 years of spectrometer measurements of OH(6-2) and O-2(0-1) airglow emission intensities and temperatures made near Adelaide, Australia (35 degrees S, 138 degrees E), between September 2001 and August 2006 and compare them with measurements of the same parameters from at the same site using an airglow imager, with the intensities of the OH(8-3) and O(S-1) emissions made with a filter photometer, and with 2 years of Aura MLS (Microwave Limb Sounder) v3.3 temperatures and 4.5 years of TIMED SABER (Thermosphere Ionosphere Mesosphere Energetics and Dynamics Sounding of the Atmosphere using Broadband Emission Radiometry) v2.0 temperatures for the same site. We also consider whether we can recover the actual emission heights from the intercomparison of the ground-based and satellite observations. We find a significant improvement in the correlation between the spectrometer OH and SABER temperatures by interpolating the latter to constant density surfaces determined using a meteor radar.</t>
  </si>
  <si>
    <t>[Reid, Iain M.; Woithe, Jonathan M.; Younger, Joel P.] ATRAD Pty Ltd, 20 Phillips St, Thebarton 5031, Australia; [Reid, Iain M.; Spargo, Andrew J.; Klekociuk, Andrew R.; Younger, Joel P.] Univ Adelaide, Sch Phys Sci, Adelaide, SA 5000, Australia; [Klekociuk, Andrew R.] Antarctica &amp; Global Syst, Australian Antarctic Div, Dept Environm &amp; Energy, Kingston, Tas, Australia; [Sivjee, Gulamabas G.] Embry Riddle Aeronaut Univ, Dept Phys Sci, Daytona Beach, FL 32114 USA</t>
  </si>
  <si>
    <t>ATRAD Pty Ltd.; University of Adelaide; Australian Antarctic Division; Embry-Riddle Aeronautical University</t>
  </si>
  <si>
    <t>Reid, IM (corresponding author), ATRAD Pty Ltd, 20 Phillips St, Thebarton 5031, Australia.;Reid, IM (corresponding author), Univ Adelaide, Sch Phys Sci, Adelaide, SA 5000, Australia.</t>
  </si>
  <si>
    <t>ireid@atrad.com.au</t>
  </si>
  <si>
    <t>Reid, Iain/B-5681-2012; Klekociuk, Andrew/A-4498-2015; Younger, Joel/I-4601-2012</t>
  </si>
  <si>
    <t>Reid, Iain/0000-0003-2340-9047; Klekociuk, Andrew/0000-0003-3335-0034; Younger, Joel/0000-0003-2918-1709</t>
  </si>
  <si>
    <t>Australian Research Council grants [A69943065, DP0450787, DP0878144, DP1096901]; Adelaide University ARC Small Grants Scheme; ATRAD Pty Ltd; Australian Research Council [DP0450787, DP1096901] Funding Source: Australian Research Council</t>
  </si>
  <si>
    <t>Australian Research Council grants(Australian Research Council); Adelaide University ARC Small Grants Scheme(Australian Research Council); ATRAD Pty Ltd; Australian Research Council(Australian Research Council)</t>
  </si>
  <si>
    <t>Funding for this research was provided by the Australian Research Council grants A69943065, DP0450787, DP0878144, and DP1096901, by the Adelaide University ARC Small Grants Scheme, and by ATRAD Pty Ltd. The IDL wavelet analysis software was provided by C. Torrence and G. Compo, and is available at http://atoc.colorado.edu/research/wavelets/.</t>
  </si>
  <si>
    <t>0992-7689</t>
  </si>
  <si>
    <t>1432-0576</t>
  </si>
  <si>
    <t>ANN GEOPHYS-GERMANY</t>
  </si>
  <si>
    <t>Ann. Geophys.</t>
  </si>
  <si>
    <t>10.5194/angeo-35-567-2017</t>
  </si>
  <si>
    <t>Astronomy &amp; Astrophysics; Geosciences, Multidisciplinary; Meteorology &amp; Atmospheric Sciences</t>
  </si>
  <si>
    <t>Astronomy &amp; Astrophysics; Geology; Meteorology &amp; Atmospheric Sciences</t>
  </si>
  <si>
    <t>ES7SW</t>
  </si>
  <si>
    <t>WOS:000399752200001</t>
  </si>
  <si>
    <t>Campos, MC; Chiessi, CM; Voigt, I; Piola, AR; Kuhnert, H; Mulitza, S</t>
  </si>
  <si>
    <t>Campos, Marilia C.; Chiessi, Cristiano M.; Voigt, Ines; Piola, Alberto R.; Kuhnert, Henning; Mulitza, Stefan</t>
  </si>
  <si>
    <t>δ13C decreases in the upper western South Atlantic during Heinrich Stadials 3 and 2</t>
  </si>
  <si>
    <t>ANTARCTIC INTERMEDIATE WATER; CARBON ISOTOPIC COMPOSITION; ATMOSPHERIC CO2; PLANKTONIC-FORAMINIFERA; CLIMATE-CHANGE; GLOBIGERINA-BULLOIDES; TROPICAL ATLANTIC; CONVERGENCE ZONE; BRAZIL CURRENT; RAPID CHANGES</t>
  </si>
  <si>
    <t>Abrupt millennial-scale climate change events of the last deglaciation (i.e. Heinrich Stadial 1 and the Younger Dryas) were accompanied by marked increases in atmospheric CO2 (CO2atm) and decreases in its stable carbon isotopic ratios (delta C-13), i.e. delta(CO2atm)-C-13, presumably due to out-gassing from the ocean. However, information on the preceding Heinrich Stadials during the last glacial period is scarce. Here we present delta C-13 records from two species of planktonic foraminifera from the western South Atlantic that reveal major decreases (up to 1%) during Heinrich Stadials 3 and 2. These delta C-13 decreases are most likely related to millennial-scale periods of weakening of the Atlantic meridional overturning circulation and the consequent increase (decrease) in CO2atm (delta(CO2atm)-C-13). We hypothesise two mechanisms that could account for the decreases observed in our records, namely strengthening of Southern Ocean deep-water ventilation and weakening of the biological pump. Additionally, we suggest that air-sea gas exchange could have contributed to the observed delta C-13 decreases. Together with other lines of evidence, our data are consistent with the hypothesis that the CO2 added to the atmosphere during abrupt millennial-scale climate change events of the last glacial period also originated in the ocean and reached the atmosphere by outgassing. The temporal evolution of delta C-13 during Heinrich Stadials 3 and 2 in our records is characterized by two relative minima separated by a relative maximum. This w structure is also found in North Atlantic and South American records, further suggesting that such a structure is a pervasive feature of Heinrich Stadial 2 and, possibly, also Heinrich Stadial 3.</t>
  </si>
  <si>
    <t>[Campos, Marilia C.; Chiessi, Cristiano M.] Univ Sao Paulo, Sch Arts Sci &amp; Humanities, BR-03828000 Sao Paulo, Brazil; [Voigt, Ines; Kuhnert, Henning; Mulitza, Stefan] Univ Bremen, MARUM Ctr Marine Environm Sci, D-28359 Bremen, Germany; [Piola, Alberto R.] Serv Hidrog Naval, C1270ABV, Buenos Aires, DF, Argentina; [Piola, Alberto R.] Univ Buenos Aires, FCEN, Dept Ciencias Atmosfera &amp; Oceanos, C1428 EHA, Buenos Aires, DF, Argentina; [Piola, Alberto R.] Consejo Nacl Invest Cient &amp; Tecn, CNRS, Inst Franco Argentino Estudios Clima &amp; Sus Impact, C1428EGA, Buenos Aires, DF, Argentina</t>
  </si>
  <si>
    <t>Universidade de Sao Paulo; University of Bremen; Servicio de Hidrografia Naval; University of Buenos Aires; Consejo Nacional de Investigaciones Cientificas y Tecnicas (CONICET)</t>
  </si>
  <si>
    <t>Campos, MC (corresponding author), Univ Sao Paulo, Sch Arts Sci &amp; Humanities, BR-03828000 Sao Paulo, Brazil.</t>
  </si>
  <si>
    <t>marilia.carvalho.campos@usp.br</t>
  </si>
  <si>
    <t>Chiessi, Cristiano Mazur/JAZ-0806-2023; Piola, Alberto/HZI-5475-2023; Campos, Marília/AAC-8457-2019; Chiessi, Cristiano Mazur/E-1916-2012; Campos, Marília/AFL-1717-2022; Mulitza, Stefan/G-5357-2011; Piola, Alberto/O-2280-2013</t>
  </si>
  <si>
    <t>Chiessi, Cristiano Mazur/0000-0003-3318-8022; Campos, Marília/0000-0003-0059-9853; Chiessi, Cristiano Mazur/0000-0003-3318-8022; Campos, Marília/0000-0003-0059-9853; Mulitza, Stefan/0000-0002-3842-1447; Piola, Alberto/0000-0002-5003-8926; Kuhnert, Henning/0000-0001-5242-4495</t>
  </si>
  <si>
    <t>FAPESP [2013/25518-2, 2015/11016-0, 2012/17517-3]; CAPES [1976/2014, 564/2015]; DFG Research Centre, Cluster of Excellence The Ocean in the Earth System; Inter-American Institute for Global Change Research through the US National Science Foundation [CRN3070, GEO-1128040]; ICER; Directorate For Geosciences [1459322] Funding Source: National Science Foundation</t>
  </si>
  <si>
    <t>FAPESP(Fundacao de Amparo a Pesquisa do Estado de Sao Paulo (FAPESP)); CAPES(Coordenacao de Aperfeicoamento de Pessoal de Nivel Superior (CAPES)); DFG Research Centre, Cluster of Excellence The Ocean in the Earth System(German Research Foundation (DFG)); Inter-American Institute for Global Change Research through the US National Science Foundation; ICER; Directorate For Geosciences(National Science Foundation (NSF)NSF - Directorate for Geosciences (GEO))</t>
  </si>
  <si>
    <t>We thank Y. Zhang for help with the Bacon software. Logistic and technical assistance was provided by the captain and crew of the R/V Meteor. We thank the two anonymous reviewers and A. Schmittner for constructive comments that greatly improved this paper. M. C. Campos acknowledges the financial support from FAPESP (grants 2013/25518-2 and 2015/11016-0), and C. M. Chiessi acknowledges the financial support from FAPESP (grant 2012/17517-3) and CAPES (grants 1976/2014 and 564/2015). H. Kuhnert, S. Mulitza, and I. Voigt were funded through the DFG Research Centre, Cluster of Excellence The Ocean in the Earth System. A. R. Piola was funded by grant CRN3070 from the Inter-American Institute for Global Change Research through the US National Science Foundation grant GEO-1128040. Sample material was provided by the GeoB Core Repository at the MARUM - Center for Marine Environmental Sciences, University of Bremen, Germany.</t>
  </si>
  <si>
    <t>10.5194/cp-13-345-2017</t>
  </si>
  <si>
    <t>ES7TA</t>
  </si>
  <si>
    <t>WOS:000399752700001</t>
  </si>
  <si>
    <t>Farinotti, D; Brinkerhoff, DJ; Clarke, GKC; Fuerst, JJ; Frey, H; Gantayat, P; Gillet-Chaulet, F; Girard, C; Huss, M; Leclercq, PW; Linsbauer, A; Machguth, H; Martin, C; Maussion, F; Morlighem, M; Mosbeux, C; Pandit, A; Portmann, A; Rabatel, A; Ramsankaran, RAAJ; Reerink, TJ; Sanchez, O; Stentoft, PA; Kumari, SS; van Pelt, WJJ; Anderson, B; Benham, T; Binder, D; Dowdeswell, JA; Fischer, A; Helfricht, K; Kutuzov, S; Lavrentiev, I; McNabb, R; Gudmundsson, GH; Li, H; Andreassen, LM</t>
  </si>
  <si>
    <t>Farinotti, Daniel; Brinkerhoff, Douglas J.; Clarke, Garry K. C.; Fuerst, Johannes J.; Frey, Holger; Gantayat, Prateek; Gillet-Chaulet, Fabien; Girard, Claire; Huss, Matthias; Leclercq, Paul W.; Linsbauer, Andreas; Machguth, Horst; Martin, Carlos; Maussion, Fabien; Morlighem, Mathieu; Mosbeux, Cyrille; Pandit, Ankur; Portmann, Andrea; Rabatel, Antoine; Ramsankaran, Raaj; Reerink, Thomas J.; Sanchez, Olivier; Stentoft, Peter A.; Kumari, Sangita Singh; van Pelt, Ward J. J.; Anderson, Brian; Benham, Toby; Binder, Daniel; Dowdeswell, Julian A.; Fischer, Andrea; Helfricht, Kay; Kutuzov, Stanislav; Lavrentiev, Ivan; McNabb, Robert; Gudmundsson, G. Hilmar; Li, Huilin; Andreassen, Liss M.</t>
  </si>
  <si>
    <t>How accurate are estimates of glacier ice thickness? Results from ITMIX, the Ice Thickness Models Intercomparison eXperiment</t>
  </si>
  <si>
    <t>MASS-BALANCE; SUBGLACIAL TOPOGRAPHY; COLUMBIA GLACIER; BED TOPOGRAPHY; VOLUME; ALASKA; FLOW; SENSITIVITY; INVENTORY</t>
  </si>
  <si>
    <t>Knowledge of the ice thickness distribution of glaciers and ice caps is an important prerequisite for many glaciological and hydrological investigations. A wealth of approaches has recently been presented for inferring ice thickness from characteristics of the surface. With the Ice Thickness Models Intercomparison eXperiment (ITMIX) we performed the first coordinated assessment quantifying individual model performance. A set of 17 different models showed that individual ice thickness estimates can differ considerably - locally by a spread comparable to the observed thickness. Averaging the results of multiple models, however, significantly improved the results: on average over the 21 considered test cases, comparison against direct ice thickness measurements revealed deviations on the order of 10 +/- 24% of the mean ice thickness (1 sigma estimate). Models relying on multiple data sets - such as surface ice velocity fields, surface mass balance, or rates of ice thickness change -showed high sensitivity to input data quality. Together with the requirement of being able to handle large regions in an automated fashion, the capacity of better accounting for uncertainties in the input data will be a key for an improved next generation of ice thickness estimation approaches.</t>
  </si>
  <si>
    <t>[Farinotti, Daniel; Huss, Matthias] Swiss Fed Inst Technol, Lab Hydraul Hydrol &amp; Glaciol VAW, Zurich, Switzerland; [Farinotti, Daniel; Portmann, Andrea] Swiss Fed Inst Forest Snow &amp; Landscape Res WSL, Birmensdorf, Switzerland; [Brinkerhoff, Douglas J.; McNabb, Robert] Univ Alaska Fairbanks, Inst Geophys, Fairbanks, AK 99775 USA; [Clarke, Garry K. C.] Univ British Columbia, Dept Earth Ocean &amp; Atmospher Sci, Vancouver, BC, Canada; [Fuerst, Johannes J.] Friedrich Alexander Univ Erlangen Nuremberg FAU, Inst Geog, Erlangen, Germany; [Frey, Holger; Linsbauer, Andreas; Machguth, Horst] Univ Zurich, Dept Geog, Zurich, Switzerland; [Gantayat, Prateek] Indian Inst Sci, Divecha Ctr Climate Change, Bangalore, Karnataka, India; [Gillet-Chaulet, Fabien; Mosbeux, Cyrille; Rabatel, Antoine; Sanchez, Olivier] Univ Grenoble Alpes, CNRS, IRD, IGE, Grenoble, France; [Girard, Claire; Morlighem, Mathieu] Univ Calif Irvine, Dept Earth Syst Sci, Irvine, CA USA; [Huss, Matthias; Linsbauer, Andreas; Machguth, Horst] Univ Fribourg, Dept Geosci, Fribourg, Switzerland; [Leclercq, Paul W.; McNabb, Robert] Univ Oslo, Dept Geosci, Oslo, Norway; [Martin, Carlos; Gudmundsson, G. Hilmar] British Antarctic Survey, Nat Environm Res Council, Cambridge, England; [Maussion, Fabien] Univ Innsbruck, Inst Atmospher &amp; Cryospher Sci, Innsbruck, Austria; [Pandit, Ankur; Ramsankaran, Raaj; Kumari, Sangita Singh] Indian Inst Technol, Dept Civil Engn, Bombay, Maharashtra, India; [Reerink, Thomas J.] Univ Utrecht, Inst Marine &amp; Atmospher Res IMAU, Utrecht, Netherlands; [Stentoft, Peter A.] Tech Univ Denmark, Arctic Technol Ctr ARTEK, Lyngby, Denmark; [van Pelt, Ward J. J.] Uppsala Univ, Dept Earth Sci, Uppsala, Sweden; [Anderson, Brian] Victoria Univ Wellington, Antarctic Res Ctr, Wellington, New Zealand; [Benham, Toby; Dowdeswell, Julian A.] Univ Cambridge, Scott Polar Res Inst, Cambridge, England; [Binder, Daniel] Cent Inst Meteorol &amp; Geodynam ZAMG, Vienna, Austria; [Fischer, Andrea; Helfricht, Kay] Austrian Acad Sci, Inst Interdisciplinary Mt Res, Innsbruck, Austria; [Kutuzov, Stanislav; Lavrentiev, Ivan] Russian Acad Sci, Inst Geog, Lab Glaciol, Moscow, Russia; [Li, Huilin] Chinese Acad Sci, CAREERI, Tian Shan Glaciol Stn, State Key Lab Cryospher Sci, Lanzhou, Peoples R China; [Andreassen, Liss M.] Norwegian Water Resources &amp; Energy Directorate NV, Oslo, Norway</t>
  </si>
  <si>
    <t>Swiss Federal Institutes of Technology Domain; ETH Zurich; Swiss Federal Institutes of Technology Domain; Swiss Federal Institute for Forest, Snow &amp; Landscape Research; University of Alaska System; University of Alaska Fairbanks; University of British Columbia; University of Erlangen Nuremberg; University of Zurich; Indian Institute of Science (IISC) - Bangalore; Institut de Recherche pour le Developpement (IRD); Centre National de la Recherche Scientifique (CNRS); Communaute Universite Grenoble Alpes; Universite Grenoble Alpes (UGA); University of California System; University of California Irvine; University of Fribourg; University of Oslo; UK Research &amp; Innovation (UKRI); Natural Environment Research Council (NERC); NERC British Antarctic Survey; University of Innsbruck; Indian Institute of Technology System (IIT System); Indian Institute of Technology (IIT) - Bombay; Utrecht University; Technical University of Denmark; Uppsala University; Victoria University Wellington; University of Cambridge; Austrian Academy of Sciences; Russian Academy of Sciences; Institute of Geography, Russian Academy of Sciences; Chinese Academy of Sciences; Cold &amp; Arid Regions Environmental &amp; Engineering Research Institute, CAS; Norwegian Water Resources &amp; Energy Directorate</t>
  </si>
  <si>
    <t>Farinotti, D (corresponding author), Swiss Fed Inst Technol, Lab Hydraul Hydrol &amp; Glaciol VAW, Zurich, Switzerland.;Farinotti, D (corresponding author), Swiss Fed Inst Forest Snow &amp; Landscape Res WSL, Birmensdorf, Switzerland.</t>
  </si>
  <si>
    <t>daniel.farinotti@ethz.ch</t>
  </si>
  <si>
    <t>Morlighem, Mathieu/O-9942-2014; Lavrentiev, Ivan/AAG-8519-2021; Ramsankaran, RAAJ/B-9198-2008; Gudmundsson, Gudmundur Hilmar/AAU-5987-2020; Helfricht, Kay/C-9005-2015; Gudmundsson, Gudmundur Hilmar/F-6499-2012; Frey, Holger/E-7545-2012; Huss, Matthias/JLL-6340-2023; Kutuzov, Stanislav/A-2775-2013; Rabatel, Antoine/AAA-1413-2021; Rabatel, Antoine/L-5249-2015; Rabatel, Antoine/AAA-1769-2022; Binder, Daniel/GYK-1427-2022; Huss, Matthias/O-1399-2019; Maussion, Fabien/B-9814-2013; Fischer, Andrea/A-9366-2012; Martin, Carlos/S-2778-2018</t>
  </si>
  <si>
    <t>Morlighem, Mathieu/0000-0001-5219-1310; Lavrentiev, Ivan/0000-0002-6902-7186; Gudmundsson, Gudmundur Hilmar/0000-0003-4236-5369; Helfricht, Kay/0000-0002-8843-7594; Gudmundsson, Gudmundur Hilmar/0000-0003-4236-5369; Kutuzov, Stanislav/0000-0003-2007-0922; Rabatel, Antoine/0000-0002-5304-1055; Binder, Daniel/0000-0002-9939-688X; Huss, Matthias/0000-0002-2377-6923; Maussion, Fabien/0000-0002-3211-506X; Dowdeswell, Julian/0000-0003-1369-9482; Benham, Toby/0000-0003-2723-1880; Fischer, Andrea/0000-0003-1291-8524; Machguth, Horst/0000-0001-5924-0998; Martin, Carlos/0000-0002-2661-169X; Frey, Holger/0000-0003-0705-3570; Farinotti, Daniel/0000-0003-3417-4570; Mosbeux, Cyrille/0009-0005-3075-7754; Furst, Johannes/0000-0003-3988-5849; Ramsankaran, RAAJ/0000-0001-8602-1934; Tomar, Sangita Singh/0000-0003-0633-5250; Reerink, Thomas/0000-0002-9983-6195; van Pelt, Ward/0000-0003-4839-7900; McNabb, Robert/0000-0003-0016-493X</t>
  </si>
  <si>
    <t>Swiss National Science Foundation (SNSF); National Aeronautics and Space Administration, Cryospheric Sciences Program [NNX15AD55G]; European Research Council under the European Union [320816]; UK Natural Environment Research Council [GR3/4663, GR3/9958, GR3/12469, NE/K004999/1]; VIP_ Mont-Blanc project [ANR-14-CE03-0006-03]; French National Research Agency (ANR) [ANR-12BS06-0018]; NERC [NE/H020667/1, bas0100034, NE/K004999/1] Funding Source: UKRI; Natural Environment Research Council [NE/H020667/1, bas0100034, NE/K004999/1] Funding Source: researchfish</t>
  </si>
  <si>
    <t>Swiss National Science Foundation (SNSF)(Swiss National Science Foundation (SNSF)); National Aeronautics and Space Administration, Cryospheric Sciences Program; European Research Council under the European Union(European Research Council (ERC)); UK Natural Environment Research Council(UK Research &amp; Innovation (UKRI)Natural Environment Research Council (NERC)); VIP_ Mont-Blanc project; French National Research Agency (ANR)(Agence Nationale de la Recherche (ANR)Norwegian Agency for Development Cooperation - NORAD); NERC(UK Research &amp; Innovation (UKRI)Natural Environment Research Council (NERC)); Natural Environment Research Council(UK Research &amp; Innovation (UKRI)Natural Environment Research Council (NERC))</t>
  </si>
  <si>
    <t>ITMIX was made possible by the International Association of Cryospheric Sciences (IACS). We are indebted to the European Space Agency's project Glaciers_ cci as well as to Elisa Bjerre, Emiliano Cimoli, Gwenn Flowers, Marco Marcer, Geir Moholdt, Johnny Sanders, Marius Schafer, Konrad Schindler, Tazio Strozzi, and Christoph Vogel for providing data necessary for the experiment. D. Farinotti acknowledges support from the Swiss National Science Foundation (SNSF). M. Morlighem and C. Girard were funded by the National Aeronautics and Space Administration, Cryospheric Sciences Program, grant NNX15AD55G. P. W. Leclercq was funded by the European Research Council under the European Union's Seventh Framework Programme (FP/2007-2013)/ERC grant agreement no. 320816. J. A. Dowdeswell acknowledges the UK Natural Environment Research Council for supporting the airborne radio-echo sounding surveys of the three Arctic ice caps included in the experiment (grants GR3/4663, GR3/9958, GR3/12469, and NE/K004999/1). A. Rabatel and O. Sanchez acknowledge the contribution of Labex OSUG@ 2020 (Investissements d'avenir -ANR10 LABX56) and the VIP_ Mont-Blanc project (ANR-14-CE03-0006-03). F. GilletChaulet and C. Mosbeux acknowledge support from French National Research Agency (ANR) under the SUMER (Blanc SIMI 6) 2012 project ANR-12BS06-0018. The constructive comments by Shin Sugiyama and an anonymous referee helped to improve the manuscript.</t>
  </si>
  <si>
    <t>10.5194/tc-11-949-2017</t>
  </si>
  <si>
    <t>ES7UW</t>
  </si>
  <si>
    <t>Green Published, Green Accepted, Green Submitted, gold</t>
  </si>
  <si>
    <t>WOS:000399757900001</t>
  </si>
  <si>
    <t>Cornwall, CE; Revill, AT; Hall-Spencer, JM; Milazzo, M; Raven, JA; Hurd, CL</t>
  </si>
  <si>
    <t>Cornwall, Christopher E.; Revill, Andrew T.; Hall-Spencer, Jason M.; Milazzo, Marco; Raven, John A.; Hurd, Catriona L.</t>
  </si>
  <si>
    <t>Inorganic carbon physiology underpins macroalgal responses to elevated CO2</t>
  </si>
  <si>
    <t>OCEAN ACIDIFICATION; CONCENTRATING MECHANISMS; ISOTOPE FRACTIONATION; MARINE MACROALGAE; CORALLINE ALGAE; CLIMATE-CHANGE; DIOXIDE; GROWTH; TEMPERATE; COMMUNITY</t>
  </si>
  <si>
    <t>Beneficial effects of CO2 on photosynthetic organisms will be a key driver of ecosystem change under ocean acidification. Predicting the responses of macroalgal species to ocean acidification is complex, but we demonstrate that the response of assemblages to elevated CO2 are correlated with inorganic carbon physiology. We assessed abundance patterns and a proxy for CO2: HCO3- use (delta C-13 values) of macroalgae along a gradient of CO2 at a volcanic seep, and examined how shifts in species abundance at other Mediterranean seeps are related to macroalgal inorganic carbon physiology. Five macroalgal species capable of using both HCO3- and CO2 had greater CO2 use as concentrations increased. These species (and one unable to use HCO3-) increased in abundance with elevated CO2 whereas obligate calcifying species, and non-calcareous macroalgae whose CO2 use did not increase consistently with concentration, declined in abundance. Physiological groupings provide a mechanistic understanding that will aid us in determining which species will benefit from ocean acidification and why.</t>
  </si>
  <si>
    <t>[Cornwall, Christopher E.; Hurd, Catriona L.] Univ Tasmania, Inst Marine &amp; Antarctic Studies, Hobart, Tas 7001, Australia; [Cornwall, Christopher E.] Univ Western Australia, Sch Earth Sci, Oceans Inst, Crawley, WA 6009, Australia; [Cornwall, Christopher E.] Univ Western Australia, ARC Ctr Excellence Coral Reef Studies, Crawley, WA 6009, Australia; [Revill, Andrew T.] CSIRO Oceans &amp; Atmosphere, Hobart, Tas 7000, Australia; [Hall-Spencer, Jason M.] Plymouth Univ, Marine Biol &amp; Ecol Res Ctr, Plymouth, Devon, England; [Hall-Spencer, Jason M.] Univ Tsukuba, Shimoda Marine Res Ctr, Tsukuba, Ibaraki, Japan; [Milazzo, Marco] Univ Palermo, CoNISMa, DiSTeM, Palermo, Italy; [Raven, John A.] Univ Dundee, James Hutton Inst, Div Plant Sci, Dundee DD2 5DA, Scotland; [Raven, John A.] Univ Western Australia, Sch Plant Biol, Crawley, WA 6009, Australia</t>
  </si>
  <si>
    <t>University of Tasmania; University of Western Australia; University of Western Australia; Commonwealth Scientific &amp; Industrial Research Organisation (CSIRO); University of Plymouth; University of Tsukuba; CoNISMa; University of Palermo; University of Dundee; James Hutton Institute; University of Western Australia</t>
  </si>
  <si>
    <t>Cornwall, CE (corresponding author), Univ Tasmania, Inst Marine &amp; Antarctic Studies, Hobart, Tas 7001, Australia.;Cornwall, CE (corresponding author), Univ Western Australia, Sch Earth Sci, Oceans Inst, Crawley, WA 6009, Australia.;Cornwall, CE (corresponding author), Univ Western Australia, ARC Ctr Excellence Coral Reef Studies, Crawley, WA 6009, Australia.</t>
  </si>
  <si>
    <t>Christopher.cornwall@uwa.edu.au</t>
  </si>
  <si>
    <t>Milazzo, Marco/F-8596-2012; Raven, John/JFS-3447-2023; Hall-Spencer, Jason M/F-9179-2013; Hall-Spencer, Jason/AFN-7866-2022; Milazzo, Marco/AAY-9990-2021; Cornwall, Christopher Edward/J-3982-2012; Revill, Andrew/B-8733-2011; Hurd, Catriona/J-2411-2013</t>
  </si>
  <si>
    <t>Milazzo, Marco/0000-0002-2202-0542; Hall-Spencer, Jason/0000-0002-6915-2518; Cornwall, Christopher Edward/0000-0002-6154-4082; Revill, Andrew/0000-0003-2486-5976; Hurd, Catriona/0000-0001-9965-4917</t>
  </si>
  <si>
    <t>10.1038/srep46297</t>
  </si>
  <si>
    <t>ES5CY</t>
  </si>
  <si>
    <t>WOS:000399555200001</t>
  </si>
  <si>
    <t>Aoki, S</t>
  </si>
  <si>
    <t>Aoki, S.</t>
  </si>
  <si>
    <t>Breakup of land-fast sea ice in Lutzow-Holm Bay, East Antarctica, and its teleconnection to tropical Pacific sea surface temperatures</t>
  </si>
  <si>
    <t>land-fast sea ice; ice breakup; East Antarctica; teleconnection; glacier advance and retreat</t>
  </si>
  <si>
    <t>SAMPLE-SIZE; VARIABILITY</t>
  </si>
  <si>
    <t>A large land-fast sea ice breakup occurred in 2016 in Lutzow-Holm Bay, East Antarctica. The breakup caused calving from the Shirase Glacier Tongue. Although similar breakups and calving have been observed in the past, the timing and magnitudes are not well-constrained. The ice's breakup latitude during 1997-2016 was analyzed to investigate the variables controlling breakup and examine correlation with local calving for a longer period. The breakup latitude in April had a persistently high correlation with sea surface temperature (SST) in the tropical Pacific, which exceeds correlations with local atmospheric variables. The years of five out of six observed calving events from the mid-20th century can correspond to those of warm SST episodes and calving-front retreat in the 1980s to warmer SST shift. Our proposed teleconnection between tropical SST and Antarctic sea ice could lead to better predictions of breakup and might impact the glacier flux for a wider region. Plain Language Summary Land-fast sea ice forms along the Antarctic coast, and it occasionally breaks up significantly. The breakup event influences the flow of glaciers, which is otherwise held back by the fast ice. The breakup of land-fast sea ice and the discharge of glaciers have significant multidecadal variability as well as interannual variability. This study explores what controls the breakup phenomena of land-fast sea ice in Antarctica and finds the linkage with tropical sea surface temperatures. We find the environmental factors which are relevant to the ice breakup, and those variables are originally driven by the teleconnection from the tropical Pacific. We believe that our study makes a significant contribution in climate science by offering a causal mechanism that explains the previously observed multidecadal variability in ice extent in this region. Our model can explain five out of the last six calving events in a major glacier connected to this bay, offering hope for future predictions of ice behavior. This will also merit the logistics to Antarctic research stations.</t>
  </si>
  <si>
    <t>[Aoki, S.] Hokkaido Univ, Inst Low Temp Sci, Grad Sch Environm Sci, Sapporo, Hokkaido, Japan</t>
  </si>
  <si>
    <t>Hokkaido University</t>
  </si>
  <si>
    <t>Aoki, S (corresponding author), Hokkaido Univ, Inst Low Temp Sci, Grad Sch Environm Sci, Sapporo, Hokkaido, Japan.</t>
  </si>
  <si>
    <t>shigeru@lowtem.hokudai.ac.jp</t>
  </si>
  <si>
    <t>Aoki, Shigeru/D-9105-2012</t>
  </si>
  <si>
    <t>MEXT of the Japanese government [25281001]; Grants-in-Aid for Scientific Research [25281001] Funding Source: KAKEN</t>
  </si>
  <si>
    <t>MEXT of the Japanese government(Ministry of Education, Culture, Sports, Science and Technology, Japan (MEXT)); Grants-in-Aid for Scientific Research(Ministry of Education, Culture, Sports, Science and Technology, Japan (MEXT)Japan Society for the Promotion of ScienceGrants-in-Aid for Scientific Research (KAKENHI))</t>
  </si>
  <si>
    <t>The author thanks Shuki Ushio for his invaluable comments and efforts in compiling existing data. The author thanks the National Institute of Polar Research for providing NOAA AVHRR images (http://polaris.nipr.ac.jp/similar to noaa/noaa_view.html). The atmospheric observations were provided by Japan Meteorological Agency (http://www.data.jma.go.jp/obd/stats/etrn), and aerial photography are obtained by the Geospatial Information Authority of Japan (http://antarctic.gsi.go.jp/index.html). OISSTv2 and ERSSTv4 were obtained from NOAA (http://www.esrl.noaa.gov/psd/data/gridded/data.noaa.oisst.v2.html and https://www1.ncdc.noaa.gov/pub/data/cmb/ersst/v4/netcdf/). Aqua MODIS images were available from NASA (https://worldview.earthdata.nasa.gov/). HadSST3 were obtained from Hadley Center (http://www.metoffice.gov.uk/hadobs/hadsst3/data/download.html). ENSO and AAO indices were provided by NOAA (https://www.ncdc.noaa.gov/teleconnections/enso/indicators/soi/, http://www.cpc.ncep.noaa.gov/data/indices/, and http://www.cpc.ncep.noaa.gov/products/precip/CWlink/daily_ao_index/aao/aao_index.html). Sea ice concentration was obtained at http://nsidc.org/data/docs/daac/nsidc0079_bootstrap_seaice.gd.html. This work was supported by the Grant-in-Aid for Scientific Research (25281001) of the MEXT of the Japanese government.</t>
  </si>
  <si>
    <t>APR 16</t>
  </si>
  <si>
    <t>10.1002/2017GL072835</t>
  </si>
  <si>
    <t>ET3NQ</t>
  </si>
  <si>
    <t>WOS:000400186500029</t>
  </si>
  <si>
    <t>Calvo, N; Garcia, RR; Kinnison, DE</t>
  </si>
  <si>
    <t>Calvo, N.; Garcia, R. R.; Kinnison, D. E.</t>
  </si>
  <si>
    <t>Revisiting Southern Hemisphere polar stratospheric temperature trends in WACCM: The role of dynamical forcing</t>
  </si>
  <si>
    <t>temperature trends; Brewer-Dobson circulation; chemistry-climate model; WACCM</t>
  </si>
  <si>
    <t>CLIMATE-CHANGE; 20TH-CENTURY; ATMOSPHERE; OZONE; MODEL</t>
  </si>
  <si>
    <t>The latest version of the Whole Atmosphere Community Climate Model (WACCM), which includes a new chemistry scheme and an updated parameterization of orographic gravity waves, produces temperature trends in the Antarctic lower stratosphere in excellent agreement with radiosonde observations for 1969-1998 as regards magnitude, location, timing, and persistence. The maximum trend, reached in November at 100hPa, is -4.42.8Kdecade(-1), which is a third smaller than the largest trend in the previous version of WACCM. Comparison with a simulation without the updated orographic gravity wave parameterization, together with analysis of the model's thermodynamic budget, reveals that the reduced trend is due to the effects of a stronger Brewer-Dobson circulation in the new simulations, which warms the polar cap. The effects are both direct (a trend in adiabatic warming in late spring) and indirect (a smaller trend in ozone, hence a smaller reduction in shortwave heating, due to the warmer environment).</t>
  </si>
  <si>
    <t>[Calvo, N.] Univ Complutense Madrid, Fac Ciencias Fis, Dept Fis Tierra 2, Madrid, Spain; [Calvo, N.; Garcia, R. R.; Kinnison, D. E.] Natl Ctr Atmospher Res, Atmospher Chem Observat &amp; Modeling Lab, POB 3000, Boulder, CO 80307 USA</t>
  </si>
  <si>
    <t>Complutense University of Madrid; National Center Atmospheric Research (NCAR) - USA</t>
  </si>
  <si>
    <t>Calvo, N (corresponding author), Univ Complutense Madrid, Fac Ciencias Fis, Dept Fis Tierra 2, Madrid, Spain.;Calvo, N (corresponding author), Natl Ctr Atmospher Res, Atmospher Chem Observat &amp; Modeling Lab, POB 3000, Boulder, CO 80307 USA.</t>
  </si>
  <si>
    <t>nataliac@fis.ucm.es</t>
  </si>
  <si>
    <t>Kinnison, Douglas/0000-0002-3418-0834; CALVO FERNANDEZ, NATALIA/0000-0001-6213-1864</t>
  </si>
  <si>
    <t>U.S. National Science Foundation (NSF); Spanish Ministry of Economy and Competitiveness through the PALEOSTRAT [CGL2015-69699-R]; NASA [X09AJ83G]; NSF Frontiers in Earth System Dynamics grant [OCE-1338814]; NSF; Office of Science of the U.S. Department of Energy; [603557-STRATOCLIM]; [FP7-ENV.2013.6.1-2]</t>
  </si>
  <si>
    <t>U.S. National Science Foundation (NSF)(National Science Foundation (NSF)); Spanish Ministry of Economy and Competitiveness through the PALEOSTRAT; NASA(National Aeronautics &amp; Space Administration (NASA)); NSF Frontiers in Earth System Dynamics grant; NSF(National Science Foundation (NSF)); Office of Science of the U.S. Department of Energy(United States Department of Energy (DOE)); ;</t>
  </si>
  <si>
    <t>We thank W.J. Randel and two anonymous reviewers for their comments, which have resulted in an improved paper. The National Center for Atmospheric Research (NCAR) is sponsored by the U.S. National Science Foundation (NSF). N. Calvo acknowledges partial support from the European Project 603557-STRATOCLIM under program FP7-ENV.2013.6.1-2 and from the Spanish Ministry of Economy and Competitiveness through the PALEOSTRAT (CGL2015-69699-R) project. R.R. Garcia was supported in part by NASA grant X09AJ83G; and D.E. Kinnison was supported in part by NSF Frontiers in Earth System Dynamics grant OCE-1338814. WACCM is a component of NCAR's CESM, which is supported by the NSF and the Office of Science of the U.S. Department of Energy. Computing resources were provided by NCAR's Climate Simulation Laboratory, sponsored by NSF and other agencies. This research was enabled by the computational and storage resources of NCAR's Computational and Information Systems Laboratory (CISL). The ozone and temperature data used in this study are available from the references cited; model output has been stored at NCAR and is available from the authors.</t>
  </si>
  <si>
    <t>10.1002/2017GL072792</t>
  </si>
  <si>
    <t>Green Accepted, Bronze</t>
  </si>
  <si>
    <t>WOS:000400186500050</t>
  </si>
  <si>
    <t>Aarons, SM; Aciego, SM; Arendt, CA; Blakowski, MA; Steigmeyer, A; Gabrielli, P; Sierra-Hernández, MR; Beaudon, E; Delmonte, B; Baccolo, G; May, NW; Pratt, KA</t>
  </si>
  <si>
    <t>Aarons, Sarah M.; Aciego, Sarah M.; Arendt, Carli A.; Blakowski, Molly A.; Steigmeyer, August; Gabrielli, Paolo; Sierra-Hernandez, M. Roxana; Beaudon, Emilie; Delmonte, Barbara; Baccolo, Giovanni; May, Nathaniel W.; Pratt, Kerri A.</t>
  </si>
  <si>
    <t>Dust composition changes from Taylor Glacier (East Antarctica) during the last glacial-interglacial transition: A multi-proxy approach</t>
  </si>
  <si>
    <t>Holocene; Pleistocene; Climate dynamics; Paleoclimatology; Antarctica; Ice cores; Radiogenic isotopes; Dust</t>
  </si>
  <si>
    <t>RARE-EARTH-ELEMENTS; DOME ICE CORE; VICTORIA LAND; AEOLIAN DUST; MINERAL DUST; ROSS-SEA; CLIMATE; EPICA; VOSTOK; VARIABILITY</t>
  </si>
  <si>
    <t>Mineral dust is transported in the atmosphere and deposited in oceans, ice sheets and the terrestrial biosphere. Temporal changes in locations of dust source areas and transport pathways have implications for global climate and biogeochemical cycles. The chemical and physical characterization of the dust record preserved in ice cores is useful for identifying of dust source regions, dust transport, dominant wind direction and storm trajectories. Here, we present a 50,000-year geochemical characterization of mineral dust entrapped in a horizontal ice core from the Taylor Glacier in East Antarctica. Strontium (Sr) and neodymium (Nd) isotopes, grain size distribution, trace and rare earth element (REE) concentrations, and inorganic ion (Cl- and Na+) concentrations were measured in 38 samples, corresponding to a time interval from similar to 46 kyr before present (BP) to present. The Sr and Nd isotope compositions of insoluble dust in the Taylor Glacier ice shows distinct changes between the Last Glacial Period (LGP in this study ranging from similar to 46.7-15.3 kyr BP) the early Holocene (in this study ranging from 14.5-8.7 kyr BP), and zero-age samples. The 87Sr/86Sr isotopic composition of dust in the Taylor Glacier ice ranged from 0.708 to 0.711 during the LGP, while the variability during the early Holocene is higher ranging from 0.707 to 0.714. The eNd composition ranges from 0.1 to 3.9 during the LGP, and is more variable from 1.9 to -8.2 during the early Holocene. The increased isotopic variability during the early Holocene suggests a shift in dust provenance coinciding with the major climate transition from the LGP to the Holocene. The isotopic composition and multiple physical and chemical constraints support previous work attributing Southern South America (SSA) as the main dust source to East Antarctica during the LGP, and a combination of both local Ross Sea Sector dust sources and SSA after the transition into the Holocene. This study provides the first high time resolution data showing variations in dust provenance to East Antarctic ice during a major climate regime shift, and we provide evidence of changes in the atmospheric transport pathways of dust following the last deglaciation. (C) 2017 Elsevier Ltd. All rights reserved.</t>
  </si>
  <si>
    <t>[Aarons, Sarah M.; Aciego, Sarah M.; Arendt, Carli A.; Blakowski, Molly A.; Steigmeyer, August; Pratt, Kerri A.] Univ Michigan, Dept Earth &amp; Environm Sci, 1100 N Univ Ave, Ann Arbor, MI 48109 USA; [Gabrielli, Paolo; Sierra-Hernandez, M. Roxana; Beaudon, Emilie] Ohio State Univ, Byrd Polar &amp; Climate Res Ctr, 108 Scott Hall,1090 Carmack Rd, Columbus, OH 43210 USA; [Gabrielli, Paolo] Ohio State Univ, Sch Earth Sci, 275 Mendenhall Lab,125 South Oval Mall, Columbus, OH 43210 USA; [Delmonte, Barbara; Baccolo, Giovanni] Univ Milano Bicocca, Dept Environm Sci, Piazza Sci 1, I-20126 Milan, Italy; [Baccolo, Giovanni] Univ Siena, Grad Sch Polar Sci, Via Laterina 8, I-53100 Siena, Italy; [May, Nathaniel W.; Pratt, Kerri A.] Univ Michigan, Dept Chem, 930 N Univ Ave, Ann Arbor, MI 48109 USA; [Arendt, Carli A.] Los Alamos Natl Lab, Earth Syst Observat EES 14, Atmosphere Climate &amp; Ecosyst Sci Team, Los Alamos, NM 87544 USA</t>
  </si>
  <si>
    <t>University of Michigan System; University of Michigan; University System of Ohio; Ohio State University; University System of Ohio; Ohio State University; University of Milano-Bicocca; University of Siena; University of Michigan System; University of Michigan; United States Department of Energy (DOE); Los Alamos National Laboratory</t>
  </si>
  <si>
    <t>Aarons, SM (corresponding author), Univ Calif Irvine, Dept Earth Syst Sci, 3200 Croul Hall St, Irvine, CA 92697 USA.</t>
  </si>
  <si>
    <t>smaarons@uci.edu</t>
  </si>
  <si>
    <t>Baccolo, Giovanni/J-9543-2019; Beaudon, Emilie/AAO-4260-2021; Delmonte, Barbara/L-2555-2015; Pratt, Kerri/F-8025-2010</t>
  </si>
  <si>
    <t>Baccolo, Giovanni/0000-0002-1246-8968; Delmonte, Barbara/0000-0002-9074-2061; Pratt, Kerri/0000-0003-4707-2290; Steigmeyer, August/0000-0002-6059-8046; Aarons, Sarah/0000-0002-3580-0820; Sierra Hernandez, Roxana/0000-0001-8566-8170; Blakowski, Molly/0000-0003-4196-2161; May, Nathaniel William/0000-0002-8913-4827</t>
  </si>
  <si>
    <t>Rackham Graduate School; Department of Earth and Environmental Sciences at the University of Michigan; NSF OPP Antarctic Glaciology Award [1246702]; Office of Polar Programs (OPP); Directorate For Geosciences [1242799, 1246702] Funding Source: National Science Foundation</t>
  </si>
  <si>
    <t>Rackham Graduate School; Department of Earth and Environmental Sciences at the University of Michigan; NSF OPP Antarctic Glaciology Award; Office of Polar Programs (OPP); Directorate For Geosciences(National Science Foundation (NSF)NSF - Directorate for Geosciences (GEO))</t>
  </si>
  <si>
    <t>This work was funded by grants from the Rackham Graduate School and the Turner Award from the Department of Earth and Environmental Sciences at the University of Michigan to S.M. Aarons and from NSF OPP Antarctic Glaciology Award 1246702 to S.M. Aciego and P. Gabrielli. We thank M. Jayred for drilling assistance, D. Baggenstos for support with the age scale, and M. Grieman and two anonymous reviewers for helpful comments on the manuscript.</t>
  </si>
  <si>
    <t>APR 15</t>
  </si>
  <si>
    <t>10.1016/j.quascirev.2017.03.011</t>
  </si>
  <si>
    <t>ES9BC</t>
  </si>
  <si>
    <t>WOS:000399849900005</t>
  </si>
  <si>
    <t>Guha, A; Saha, K; De, BK; Subrahmanyam, KV; Shreedevi, PR</t>
  </si>
  <si>
    <t>Guha, Anirban; Saha, Kumarjit; De, Barin Kumar; Subrahmanyam, Kandula Venkata; Shreedevi, P. R.</t>
  </si>
  <si>
    <t>Space weather effects on lower ionosphere: First investigation from Bharati station during 34th Indian scientific expedition to Antarctica</t>
  </si>
  <si>
    <t>ADVANCES IN SPACE RESEARCH</t>
  </si>
  <si>
    <t>Bharati station; Solar X-ray flare; VLF wave; Ionospheric perturbation</t>
  </si>
  <si>
    <t>SOLAR-FLARES; VLF SIGNALS; PROPAGATION; DAYTIME; AMPLITUDE; PHASE</t>
  </si>
  <si>
    <t>We investigate the solar flare effects on the D-region of the ionosphere with the help of VLF (Very Low Frequency) radio waves using a portable E-field system from Antarctica during the summer period of 34th Indian scientific expedition. Two GPS time synchronized VLF receivers, one located at Bharati, Antarctica (geographical latitude 69.40 degrees S, longitude 76.18 degrees E) and another located at Tripura, India (geographical latitude 23.84 degrees N, longitude 91.28 degrees E) were operated simultaneously to infer common mode changes in the lower ionosphere for a number of solar flares events. The two systems constantly monitored the carrier amplitude and phase of the MSK (Minimum Shift Keying) modulated navy transmitter located in Australia (Callsign: NWC, 19.8 kHz, geographical latitude 21.88 degrees S, longitude 114.13 degrees E), around 5.6 Mm great circle distance from the two receivers. The results are interpreted in terms of Earth-ionosphere wave-guide characteristics. A Long Wave Propagation Capability (LWPC) model study is also performed to infer the changes in the daytime electron density in polar D-region ionosphere during the solar flares. The exponential fit of the modeled electron density change with average X-ray flux change shows an excellent correlation (R-2 value 0.95). The exponential fit is utilized to infer the daytime electron density change in the polar ionosphere during solar flare events. The analyses indicate that small solar flares of class can be very effectively detected with the portable antenna system even if the receiver is located in polar coastal region compared to equatorial region. The expedition results also demonstrate the feasibility of using portable VLF receivers from the coastal stations for monitoring the polar lower ionosphere from Antarctica and open up new opportunities for long term exploration. (C) 2017 COSPAR. Published by Elsevier Ltd. All rights reserved.</t>
  </si>
  <si>
    <t>[Guha, Anirban; Saha, Kumarjit; De, Barin Kumar] Tripura Univ, Dept Phys, Agartala 799022, Tripura, India; [Subrahmanyam, Kandula Venkata; Shreedevi, P. R.] Virkam Sarabhai Space Ctr, Space Phys Lab, Trivandrum 695022, Kerala, India</t>
  </si>
  <si>
    <t>Tripura University; Department of Space (DoS), Government of India; Indian Space Research Organisation (ISRO); Vikram Sarabhai Space Center (VSSC)</t>
  </si>
  <si>
    <t>Guha, A (corresponding author), Tripura Univ, Dept Phys, Agartala 799022, Tripura, India.</t>
  </si>
  <si>
    <t>anirban1001@yahoo.com</t>
  </si>
  <si>
    <t>Subrahmanayam, Kandula venkata/ITU-7880-2023; Subrahmanayam, Kandula venkata/C-7030-2009; De, Barin Kumar/GRS-7957-2022; Guha, Anirban/AAH-8004-2021</t>
  </si>
  <si>
    <t>Guha, Anirban/0000-0002-1952-7916</t>
  </si>
  <si>
    <t>National Centre for Antarctic and Ocean Research 6(NCAOR); Space Physics Laboratory (SPL), Vikram Sarabhai Space Center; ARF section; INSA fellowship; DST-FIST fund [SR/FST/PSI-191/2014]</t>
  </si>
  <si>
    <t>National Centre for Antarctic and Ocean Research 6(NCAOR); Space Physics Laboratory (SPL), Vikram Sarabhai Space Center; ARF section; INSA fellowship; DST-FIST fund</t>
  </si>
  <si>
    <t>We cordially thank National Centre for Antarctic and Ocean Research 6(NCAOR) for providing the funding and logistic support to participate in the 34th Indian Antarctica expedition in the summer period during 2014-2015. The success of the experiments in Antarctica could not have been achieved without constant all round support and inspiration from the voyage leader Shailendra Saini, NCAOR, Bharati station leader Kailash Bhindwar, IMD, Maitri station leader Elango P., EGRL, Programme Director (Logistics) M. Javed Beg, NCAOR and the entire logistic team of the expedition. We also cordially thank all the expedition team members of the Space Physics Laboratory (SPL), Vikram Sarabhai Space Center, especially S. Suresh Babu, Head, ARF section for providing financial support to participate in the expedition under ARFI project. A special thank is due to K. Jeeva, EGRL, Earle Williams, MIT, USA, Kit Adams, ADlnstruments, New Zealand, all faculty and research scholars of Department of Physics Tripura University for valuable suggestions and constant inspiration during the entire course of the expedition. The collection of Tripura VLF station data analysis of the results would not have been possible without active involvement and generous provision of WWLLN receiver by Robert H. Holzworth, University of Washington, USA. The authors also thank Colin Price and Israel Silber, Tel Aviv University, Israel, for effective discussion on LWPC model during the visit of A. Guha, at the Tel Aviv University during May-June 2016 under an INSA fellowship, the first author of this paper. The analysis of the data is partially supported by DST-FIST fund reference Ref. SR/FST/PSI-191/2014. The authors are thankful to the Chief Editor of the journal and reviewers of the manuscript for constructive suggestions for the improvement of its contents.</t>
  </si>
  <si>
    <t>0273-1177</t>
  </si>
  <si>
    <t>1879-1948</t>
  </si>
  <si>
    <t>ADV SPACE RES</t>
  </si>
  <si>
    <t>Adv. Space Res.</t>
  </si>
  <si>
    <t>10.1016/j.asr.2017.02.004</t>
  </si>
  <si>
    <t>Engineering, Aerospace; Astronomy &amp; Astrophysics; Geosciences, Multidisciplinary; Meteorology &amp; Atmospheric Sciences</t>
  </si>
  <si>
    <t>Engineering; Astronomy &amp; Astrophysics; Geology; Meteorology &amp; Atmospheric Sciences</t>
  </si>
  <si>
    <t>ES6BO</t>
  </si>
  <si>
    <t>WOS:000399631500006</t>
  </si>
  <si>
    <t>Na, GS; Yao, Y; Gao, H; Li, RJ; Ge, LK; Titaley, IA; Santiago-Delgado, L; Simonich, SLM</t>
  </si>
  <si>
    <t>Na, Guangshui; Yao, Yao; Gao, Hui; Li, Ruijing; Ge, Linke; Titaley, Ivan A.; Santiago-Delgado, Lisandra; Simonich, Staci L. Massey</t>
  </si>
  <si>
    <t>Trophic magnification of Dechlorane Plus in the marine food webs of Fildes Peninsula in Antarctica</t>
  </si>
  <si>
    <t>Dechlorane Plus; Food web; Trophic magnification; Stereoselection; The Antarctic</t>
  </si>
  <si>
    <t>PERSISTENT ORGANIC POLLUTANTS; POLYCHLORINATED-BIPHENYLS PCBS; STABLE-ISOTOPE ANALYSIS; KING GEORGE ISLAND; FLAME RETARDANTS; GREAT-LAKES; BIOACCUMULATION; METABOLISM; SEDIMENT; ISOMERS</t>
  </si>
  <si>
    <t>The food web composition, assimilation efficiency of Dechlorane Plus (DP) in food web components, and even extrinsic conditions can affect the trophic biomagnification potentials of DP isomers in food webs. Antarctica ecological system is characterized by the presence of few consumers and simple trophic levels (TLs), which are crucial in discussing the behavior of contaminants. To assess the biomagnification potential of DP in the Antarctic food web, nine representative species were sampled and analyzed from the Fildes Peninsula. Results showed the DP concentrations ranged from 0.25 ng g(- 1) to 6.81 ng g(- 1) lipid weight in Antarctic biota and the concentrations of anti-DP and syn-DP showed significantly positive correlations with TLs (p &lt; 0.05, r(a) = 0.85; r(s) = 0.81, respectively), suggesting that syn-DP and anti-DP underwent biomagnification and the biomagnification ability of anti-DP was higher than that of syn-DP. The anti-DP fraction (anti-DP/Sigma DP) (f(anti) = 0.23-0.53) of the organisms was lower than that of commercial products (f(anti) = 0.68), demonstrating f(anti) was changed during long-range atmospheric transport or stereoselection enrichment through the food web. Furthermore, based on food web magnification factors (FWMF) comparison between DP and polychlorinated biphenyls (PCBs), the biomagnification potential of DP was found to be similar to that of highly chlorinated PCBs. (C) 2017 Elsevier Ltd. All rights reserved.</t>
  </si>
  <si>
    <t>[Na, Guangshui; Gao, Hui; Li, Ruijing; Ge, Linke] Natl Marine Environm Monitoring Ctr, Dalian 116023, Liaoning, Peoples R China; [Yao, Yao] Shanghai Ocean Univ, Shanghai 201306, Peoples R China; [Titaley, Ivan A.; Santiago-Delgado, Lisandra; Simonich, Staci L. Massey] Oregon State Univ, Dept Chem, Gilbert Hall 153, Corvallis, OR 97331 USA; [Simonich, Staci L. Massey] Oregon State Univ, Dept Environm &amp; Mol Toxicol, Corvallis, OR 97331 USA</t>
  </si>
  <si>
    <t>National Marine Environmental Monitoring Center; Shanghai Ocean University; Oregon State University; Oregon State University</t>
  </si>
  <si>
    <t>Na, GS (corresponding author), Natl Marine Environm Monitoring Ctr, Dalian 116023, Liaoning, Peoples R China.</t>
  </si>
  <si>
    <t>gsna@nmemc.org.cn</t>
  </si>
  <si>
    <t>Trine, Lisandra/0000-0002-1985-7333; Titaley, Ivan/0000-0003-4683-1160</t>
  </si>
  <si>
    <t>National Natural Science Foundation of China [21377032, 41406088]; Chinese Polar Environment Comprehensive Investigation and Assessment Programs [2016-02-01, 2016-04-01, 2016-04-03]; Marine Public Welfare Scientific Research Projects [201105013]; Project of China Scholarship Council [CSC201504180002]; Foundation of Polar Science Key Laboratory, SOA, China [ICP201208]</t>
  </si>
  <si>
    <t>National Natural Science Foundation of China(National Natural Science Foundation of China (NSFC)); Chinese Polar Environment Comprehensive Investigation and Assessment Programs; Marine Public Welfare Scientific Research Projects; Project of China Scholarship Council; Foundation of Polar Science Key Laboratory, SOA, China</t>
  </si>
  <si>
    <t>The research funding was supported by the National Natural Science Foundation of China (21377032, 41406088), Chinese Polar Environment Comprehensive Investigation and Assessment Programs (2016-02-01, 2016-04-01, 2016-04-03), Marine Public Welfare Scientific Research Projects (201105013), Project of China Scholarship Council (CSC201504180002) and Foundation of Polar Science Key Laboratory, SOA, China (ICP201208).</t>
  </si>
  <si>
    <t>10.1016/j.marpolbul.2017.01.049</t>
  </si>
  <si>
    <t>ES0ZV</t>
  </si>
  <si>
    <t>WOS:000399258600064</t>
  </si>
  <si>
    <t>Kim, I; Hahm, D; Park, K; Lee, Y; Choi, JO; Zhang, MM; Chen, LQ; Kim, HC; Lee, S</t>
  </si>
  <si>
    <t>Kim, Intae; Hahm, Doshik; Park, Keyhong; Lee, Youngju; Choi, Jung-Ok; Zhang, Miming; Chen, Liqi; Kim, Hyun-Cheol; Lee, SangHoon</t>
  </si>
  <si>
    <t>Characteristics of the horizontal and vertical distributions of dimethyl sulfide throughout the Amundsen Sea Polynya</t>
  </si>
  <si>
    <t>Dimethyl sulfide; Membrane inlet mass spectrometer; Amundsen Sea; Southern Ocean; Antarctic polynya</t>
  </si>
  <si>
    <t>MELTING GLACIERS FUELS; PINE ISLAND GLACIER; SOUTHERN-OCEAN; PHYTOPLANKTON BLOOMS; ICE-SHELF; ANTARCTICA; WATERS; IRON; BIOGEOCHEMISTRY; DMS</t>
  </si>
  <si>
    <t>We investigated horizontal and vertical distributions of DMS in the upper water column of the Amundsen Sea Polynya and Pine Island Polynya during the austral summer (January-February) of 2016 using a membrane inlet mass spectrometer (MIMS) onboard the Korean icebreaker R/V Aram. The surface water concentrations of DMS varied from &lt;1 to 400 nM. The highest DMS (up to 300 nM) were observed in sea ice-polynya transition zones and near the Getz ice shelf, where both the first local ice melting.and high plankton productivity were observed. In other region5, high DMS concentration was generally accompanied by higher chlorophyll and Delta O-2/Ar. The large spatial variability of DMS and primary productivity in the surface water of the Amundsen Sea seems to be attributed to melting conditions of sea ice, relative dominance of Phaeocystis Antarctica as a DMS producer, and timing differences between bloom and subsequent DMS productions. The depth profiles of DMS and Delta O-2/Ar were consistent with the horizontal surface data, showing noticeable spatial variability. However, despite the large spatial variability, in contrast to the previous results from 2009, DMS concentrations and Delta O-2/Ar in the surface water were indistinct between the two major domains: the sea ice zone and polynya region. The discrepancy may be associated with inter-annual variations of phytoplankton assemblages superimposed on differences in sea-ice conditions, blooming period, and spatial coverage along the vast surface area of the Amundsen Sea. (C) 2017 Elsevier B.V. All rights reserved.</t>
  </si>
  <si>
    <t>[Kim, Intae] Korea Inst Ocean Sci &amp; Technol, Marine Radionuclide Res Ctr, Ansan 15627, South Korea; [Hahm, Doshik] Pusan Natl Univ, Dept Oceanog, Busan 46241, South Korea; [Park, Keyhong; Lee, Youngju; Choi, Jung-Ok; Lee, SangHoon] Korea Polar Res Inst, Div Polar Ocean Sci, Incheon 21990, South Korea; [Zhang, Miming; Chen, Liqi] Third Inst Oceanog, Key Lab Global Change &amp; Marine Atmospher Chem, Xiamen 361005, Peoples R China; [Kim, Hyun-Cheol] Korea Polar Res Inst, Unit Arctic Sea Ice Predict, Incheon 21990, South Korea</t>
  </si>
  <si>
    <t>Korea Institute of Ocean Science &amp; Technology (KIOST); Pusan National University; Korea Polar Research Institute (KOPRI); Third Institute of Oceanography, Ministry of Natural Resources; Korea Polar Research Institute (KOPRI)</t>
  </si>
  <si>
    <t>Hahm, D (corresponding author), Pusan Natl Univ, Dept Oceanog, Busan 46241, South Korea.;Park, K (corresponding author), Korea Polar Res Inst, Div Polar Ocean Sci, Incheon 21990, South Korea.</t>
  </si>
  <si>
    <t>hahm@pusan.ac.kr; keyhongpark@kopri.re.kr</t>
  </si>
  <si>
    <t>Kim, Hyun-Cheol/AAP-1250-2020</t>
  </si>
  <si>
    <t>Kim, Hyun-Cheol/0000-0002-6831-9291</t>
  </si>
  <si>
    <t>Korea Polar Research Institute [PE17060, PE17120]; National Natural Science Foundation of China (NSFC) [41476172]; Pusan National University Research Grant</t>
  </si>
  <si>
    <t>Korea Polar Research Institute(Korea Polar Research Institute of Marine Research Placement (KOPRI)); National Natural Science Foundation of China (NSFC)(National Natural Science Foundation of China (NSFC)); Pusan National University Research Grant(Pusan National University)</t>
  </si>
  <si>
    <t>We thank the captain and all the crewmembers of Icebreaker RAT Araon, who helped with sampling onboard. All datasets used in this paper are available upon request from the corresponding authors (hahm@pusan.ac.kr or keyhongpark@kopri.re.kr). This work was mainly supported by grants from the Korea Polar Research Institute (PE17060 and PE17120). L. Chen and M. Zhang were supported by National Natural Science Foundation of China (NSFC) 41476172 and D. Hahm was partially supported by Pusan National University Research Grant, 2016.</t>
  </si>
  <si>
    <t>10.1016/j.scitotenv.2017.01.165</t>
  </si>
  <si>
    <t>ES2KX</t>
  </si>
  <si>
    <t>WOS:000399358500017</t>
  </si>
  <si>
    <t>Chaves, DA; Lyra, GB; Francelino, MR; Silva, LDB; Thomazini, A; Schaefer, CEGR</t>
  </si>
  <si>
    <t>Chaves, D. A.; Lyra, G. B.; Francelino, M. R.; Silva, L. D. B.; Thomazini, A.; Schaefer, C. E. G. R.</t>
  </si>
  <si>
    <t>Active layer and permafrost thermal regime in a patterned ground soil in Maritime Antarctica, and relationship with climate variability models</t>
  </si>
  <si>
    <t>Antarctic oscillation mode (AAO); Southern oscillation mode (SOI); Polygonal soils; Climate variability; Soil thermal regime; Cryosols</t>
  </si>
  <si>
    <t>ECOSYSTEM SERVICES; LIVINGSTON ISLAND; BYERS PENINSULA; ANNULAR MODE; TEMPERATURE; EVOLUTION; DYNAMICS; LAKE</t>
  </si>
  <si>
    <t>Permafrost and active layer studies are important to understand and predict regional climate changes. The objectives of this work were: i) to characterize the soil thermal regime (active layer thickness and permafrost formation) and its interannual variability and ii) to evaluate the influence of different climate variability modes to the observed soil thermal regime in a patterned ground soil in Maritime Antarctica. The study was carried out at Keller Peninsula, King George Island, Marititne Antarctica. Six soil temperatures probes were installed at different depths (10, 30 and 80 cm) in the polygon center (Tc) and border (Tb) of a patterned ground soil. We applied cross-correlation analysis and standardized series were related to the Antarctic Oscillation Index (MO). The estimated active layer thickness was approximately 0.75 cm in the polygon border and 0.64 cm in the center, indicating the presence of permafrost (within 80 cm). Results indicate that summer and winter temperatures are becoming colder and warmer, respectively. Considering similar active layer thickness, the polygon border presented greater thawing days, resulting in greater vulnerability to warming, cooling faster than the center, due to its lower volumetric heat capacity (Cs). Cross-correlation analysis indicated statistically significant delay of 1 day (at 10 cm depth) in the polygon center, and 5 days (at 80 cm depth) for the thermal response between atmosphere and soil. Air temperature showed a delay of 5 months with the climate variability models. The influence of southern winds from high latitudes, in the south facing slopes, favored freeze in the upper soil layers, and also contributed to keep permafrost closer to the surface. The observed cooling trend is linked to the regional climate variability modes influenced by atmospheric circulation, although longer monitoring period is required to reach a more precise scenario. (C) 2017 Elsevier B.V. All rights reserved.</t>
  </si>
  <si>
    <t>[Chaves, D. A.] Inst Fed Rio de Janeiro, Campus Pinheiral, BR-27197000 Rio De Janeiro, Brazil; [Lyra, G. B.] Univ Fed Rural Rio de Janeiro, Dept Ciencias Ambientais, Inst Florestas, BR-23851970 Rio De Janeiro, Brazil; [Francelino, M. R.; Thomazini, A.; Schaefer, C. E. G. R.] Univ Fed Vicosa, Dept Solos, BR-36570000 Vicosa, MG, Brazil; [Silva, L. D. B.] Univ Fed Rural Rio de Janeiro, Dept Engn, BR-23851970 Rio De Janeiro, Brazil</t>
  </si>
  <si>
    <t>Instituto Federal do Rio de Janeiro (IFRJ); Universidade Federal Rural do Rio de Janeiro (UFRRJ); Universidade Federal de Vicosa; Universidade Federal Rural do Rio de Janeiro (UFRRJ)</t>
  </si>
  <si>
    <t>Thomazini, A (corresponding author), Univ Fed Vicosa, Dept Solos, BR-36570000 Vicosa, MG, Brazil.</t>
  </si>
  <si>
    <t>daniela.chaves@ifrj.edu.br; gblyra@ufrrj.br; marcio.francelino@gmail.com; irriga@ufrrj.br; andre.thz@gmail.com; carlos.schaefer@ufv.br</t>
  </si>
  <si>
    <t>Lyra, Gustavo B/I-3123-2012; Schaefer, Carlos Ernesto/AAY-4977-2020; Francelino, Marcio Rocha/AAS-4224-2020; Lyra, Gustavo Bastos/L-3986-2019; Lyra, Guilherme Bastos/AAL-2359-2020</t>
  </si>
  <si>
    <t>Francelino, Marcio Rocha/0000-0001-8837-1372; Lyra, Gustavo Bastos/0000-0002-9882-7000; Thomazini, Andre/0000-0001-5613-0494; Ernesto Goncalves Reynaud Schaefer, Carlos/0000-0001-7060-1598; Ernesto Goncalves Reynaud Schaefer, Carlos/0000-0001-5735-3227</t>
  </si>
  <si>
    <t>Conselho Nacional de Desenvolvimento Cientifico e Tecnologico (CNPq) [556794/2009-5]; Ministerio da Ciencia, Tecnologia e Inovacao (MCTI); INCT Cryosphere (CNPq) grant</t>
  </si>
  <si>
    <t>Conselho Nacional de Desenvolvimento Cientifico e Tecnologico (CNPq)(Conselho Nacional de Desenvolvimento Cientifico e Tecnologico (CNPQ)); Ministerio da Ciencia, Tecnologia e Inovacao (MCTI); INCT Cryosphere (CNPq) grant(Conselho Nacional de Desenvolvimento Cientifico e Tecnologico (CNPQ))</t>
  </si>
  <si>
    <t>We acknowledge Brazilian Antarctic Program (PROANTAR) and Brazilian Navy for logistical support and Conselho Nacional de Desenvolvimento Cientifico e Tecnologico (CNPq) (556794/2009-5) and Ministerio da Ciencia, Tecnologia e Inovacao (MCTI) for granting financial support. Also, we acknowledge IFRJ (Federal Institute of Rio de Janeiro - Campus Pinheiral) for granting license for this research and CAPES (Coordenacao de Aperfeicoamento de Pessoal de Nivel Superior) for PhD support. This is a contribution of INCT Cryosphere (CNPq) grant.</t>
  </si>
  <si>
    <t>10.1016/j.scitotenv.2017.01.077</t>
  </si>
  <si>
    <t>WOS:000399358500056</t>
  </si>
  <si>
    <t>Liu, BD; Liang, Y</t>
  </si>
  <si>
    <t>Liu, Boda; Liang, Yan</t>
  </si>
  <si>
    <t>An introduction of Markov chain Monte Carlo method to geochemical inverse problems: Reading melting parameters from REE abundances in abyssal peridotites</t>
  </si>
  <si>
    <t>Markov chain Monte Carlo; Disequilibrium; Fractional melting; Dynamic melting; Abyssal peridotite; Rare earth element; Diffusion; Clinopyroxene; Geochemical inverse problem</t>
  </si>
  <si>
    <t>TRACE-ELEMENT FRACTIONATION; UPPER-MANTLE; OCEANIC CRUSTAL; SIMPLE-MODELS; BENEATH; DISEQUILIBRIUM; BASALT; PERCOLATION; GENERATION; TRANSPORT</t>
  </si>
  <si>
    <t>Markov chain Monte Carlo (MCMC) simulation is a powerful statistical method in solving inverse problems that arise from a wide range of applications. In Earth sciences applications of MCMC simulations are primarily in the field of geophysics. The purpose of this study is to introduce MCMC methods to geochemical inverse problems related to trace element fractionation during mantle melting. MCMC methods have several advantages over least squares methods in deciphering melting processes from trace element abundances in basalts and mantle rocks. Here we use an MCMC method to invert for extent of melting, fraction of melt present during melting, and extent of chemical disequilibrium between the melt and residual solid from REE abundances in clinopyroxene in abyssal peridotites from Mid-Atlantic Ridge, Central Indian Ridge, Southwest Indian Ridge, Lena Trough, and American-Antarctic Ridge. We consider two melting models: one with exact analytical solution and the other without. We solve the latter numerically in a chain of melting models according to the Metropolis-Hastings algorithm. The probability distribution of inverted melting parameters depends on assumptions of the physical model, knowledge of mantle source composition, and constraints from the REE data. Results from MCMC inversion are consistent with and provide more reliable uncertainty estimates than results based on nonlinear least squares inversion. We show that chemical disequilibrium is likely to play an important role in fractionating LREE in residual peridotites during partial melting beneath mid-ocean ridge spreading centers. MCMC simulation is well suited for more complicated but physically more realistic melting problems that do not have analytical solutions. (C) 2017 Elsevier Ltd. All rights reserved.</t>
  </si>
  <si>
    <t>[Liu, Boda; Liang, Yan] Brown Univ, Dept Earth Environm &amp; Planetary Sci, Providence, RI 02912 USA</t>
  </si>
  <si>
    <t>Brown University</t>
  </si>
  <si>
    <t>Liang, Y (corresponding author), Brown Univ, Dept Earth Environm &amp; Planetary Sci, Providence, RI 02912 USA.</t>
  </si>
  <si>
    <t>Yan_Liang@brown.edu</t>
  </si>
  <si>
    <t>; Liang, Yan/G-2241-2016</t>
  </si>
  <si>
    <t>Liu, Boda/0000-0001-7958-7155; Liang, Yan/0000-0002-9569-840X</t>
  </si>
  <si>
    <t>US National Science Foundation grants [OCE-115567, EAR-1624516]; NASA grant [SSERVI NNA14AB01A]; Directorate For Geosciences; Division Of Earth Sciences [1624516] Funding Source: National Science Foundation</t>
  </si>
  <si>
    <t>US National Science Foundation grants(National Science Foundation (NSF)); NASA grant(National Aeronautics &amp; Space Administration (NASA)); Directorate For Geosciences; Division Of Earth Sciences(National Science Foundation (NSF)NSF - Directorate for Geosciences (GEO))</t>
  </si>
  <si>
    <t>We would like to thank Don Forsyth for advice on MCMC method, Reid Cooper and Greg Hirth for discussion regarding clinopyroxene grain size in mantle rocks, Jessica Warren for sharing of her unpublished SWIR data, and Nick Dygert for a careful reading of an earlier version of this paper. This paper benefited from thoughtful review comments by Paul Asimow, Haibo Zou, an anonymous reviewer, and the associate editor Dmitri Ionov. This work was supported by US National Science Foundation grants OCE-115567 and EAR-1624516 and by NASA grant SSERVI NNA14AB01A.</t>
  </si>
  <si>
    <t>10.1016/j.gca.2016.12.040</t>
  </si>
  <si>
    <t>EO6II</t>
  </si>
  <si>
    <t>WOS:000396795100013</t>
  </si>
  <si>
    <t>Schmidt, LM; Levy, JS</t>
  </si>
  <si>
    <t>Schmidt, Logan M.; Levy, Joseph S.</t>
  </si>
  <si>
    <t>Hydraulic conductivity of active layer soils in the McMurdo Dry Valleys, Antarctica: Geological legacy controls modern hillslope connectivity</t>
  </si>
  <si>
    <t>GEOMORPHOLOGY</t>
  </si>
  <si>
    <t>Hydrology; Hillslope; Permafrost; Antarctica; Water track; Ecology</t>
  </si>
  <si>
    <t>GROUNDED ICE-SHEET; SOUTHERN VICTORIA LAND; TAYLOR VALLEY; ROSS SEA; THERMAL-PROPERTIES; BONNEY DRIFT; WATER TRACK; PERMAFROST; LANDSCAPE; GEOCHEMISTRY</t>
  </si>
  <si>
    <t>Spatial variability in the hydraulic and physical properties of active layer soils influences shallow groundwater flow through cold-desert hydrological systems. This study measures the saturated hydraulic conductivity and grain-size distribution of 90 soil samples from the McMurdo Dry Valleys (MDV), Antarctica primarily from Taylor Valley to determine what processes affect the spatial distribution of saturated hydraulic conductivity in a simple, mineral-soil-dominated natural hillslope laboratory. We find that the saturated hydraulic conductivity and the grain-size distribution of soils are organized longitudinally within Taylor Valley. Soils sampled down-valley near the coast have a higher percentage of fine-sized sediments (fine sand, silt, clay) and lower saturated hydraulic conductivities than soils collected up-valley near Taylor Glacier (1.3 x 10(-2) vs. 1.2 x 10(-1) cm/s). Soils collected mid-valley have intermediate amounts of fines and saturated hydraulic conductivity values consistent with a hydrogeologic gradient spanning the valley from high inland to low near the coast. These results suggest the organization of modem soil properties within Taylor Valley is a relict signature from past glaciations that have deposited soils of decreasing age toward the mouth of the valley, modified by fluvial activity acting along temporal and microclimate gradients. (C) 2017 Elsevier B.V. All rights reserved.</t>
  </si>
  <si>
    <t>[Schmidt, Logan M.; Levy, Joseph S.] Univ Texas Austin, Inst Geophys, 10100 Burnet Rd, Austin, TX 78758 USA</t>
  </si>
  <si>
    <t>University of Texas System; University of Texas Austin</t>
  </si>
  <si>
    <t>Levy, JS (corresponding author), Univ Texas Austin, Inst Geophys, 10100 Burnet Rd, Austin, TX 78758 USA.</t>
  </si>
  <si>
    <t>joe.levy@utexas.edu</t>
  </si>
  <si>
    <t>Levy, Joseph/0000-0002-6222-139X</t>
  </si>
  <si>
    <t>NSF Antarctic Integrated Systems Science [PLR-1245749]; Office of Polar Programs (OPP); Directorate For Geosciences [1245749] Funding Source: National Science Foundation</t>
  </si>
  <si>
    <t>NSF Antarctic Integrated Systems Science; Office of Polar Programs (OPP); Directorate For Geosciences(National Science Foundation (NSF)NSF - Directorate for Geosciences (GEO))</t>
  </si>
  <si>
    <t>This work was supported by NSF Antarctic Integrated Systems Science award PLR-1245749 to JSL. Thanks to six anonymous reviewers for their constructive reviews. Thanks also to Jaclyn Waters and Steve Chignell for field assistance.</t>
  </si>
  <si>
    <t>0169-555X</t>
  </si>
  <si>
    <t>1872-695X</t>
  </si>
  <si>
    <t>Geomorphology</t>
  </si>
  <si>
    <t>10.1016/j.geomorph.2017.01.038</t>
  </si>
  <si>
    <t>EP4MS</t>
  </si>
  <si>
    <t>WOS:000397355200006</t>
  </si>
  <si>
    <t>Jouve, G; Lisé-Pronovost, A; Francus, P; De Coninck, AS</t>
  </si>
  <si>
    <t>Jouve, Guillaume; Lise-Pronovost, Agathe; Francus, Pierre; De Coninck, Arnaud S.</t>
  </si>
  <si>
    <t>PASADO Sci Team</t>
  </si>
  <si>
    <t>Climatic influence of the latest Antarctic isotope maximum of the last glacial period (AIM4) on Southern Patagonia</t>
  </si>
  <si>
    <t>PALAEOGEOGRAPHY PALAEOCLIMATOLOGY PALAEOECOLOGY</t>
  </si>
  <si>
    <t>Southern Westerly Winds; Micro X-ray fluorescence; Microfacies; Micropumices; Dust; Flood</t>
  </si>
  <si>
    <t>LAGUNA-POTROK-AIKE; 51,200 CAL BP; EAST ANTARCTICA; DUST DEPOSITION; VOLCANIC FIELD; THIN-SECTIONS; SANTA-CRUZ; SEDIMENTARY PROCESSES; LACUSTRINE RECORD; SIZE DISTRIBUTION</t>
  </si>
  <si>
    <t>This paper presents the first detailed paleoclimate reconstruction of the latest Antarctic isotope maximum (AIM4, similar to 33-29 ka cal. BP) at 52 degrees S in continental southeastern Argentine Patagonia. High-resolution sedimentological and geochemical analyses of sediments from the maar lake Potrok Aike (PTA) reveal a decrease in the thickness of flood-induced turbidites and a series of wind burst deposits during AIM4, both pointing to increasingly drier conditions. This interpretation is also supported by a significant amount of runoff-driven micropumices incorporated within the sediments that suggests a lower lake level with canyons incising thick tephra deposits around the lake. Increased gustiness and/or dust availability in southeast Patagonia, together with intensified Antarctic circumpolar circulation in the Drake Passage, dust deposition in the Scotia Sea and in Antarctica ice shelf, are consistent with a southward shift of the Southern Westerly Winds (SWW) during the AIM4. In contrast to other warmer AlMs, the SWW during the AIM4 did not migrate far enough south to generate upwelling in the Southern Ocean and they did not reach 52 S in SE Patagonia, as revealed by unchanged values of the rock-magnetic proxy of wind intensity obtained from the same PTA core. Nevertheless, the SWW displacement during AIM4 imposed drier conditions at 52 S in southeast Patagonia likely by blocking precipitation from the Atlantic Ocean, in a way similar to modem seasonal variations and the other Antarctic warm events. (C) 2017 Elsevier B.V. All rights reserved.</t>
  </si>
  <si>
    <t>[Jouve, Guillaume; Francus, Pierre; De Coninck, Arnaud S.] Inst Natl Rech Sci, Ctr Eau Terre &amp; Environm, Quebec City, PQ, Canada; [Jouve, Guillaume; Francus, Pierre; De Coninck, Arnaud S.] GEOTOP Res Ctr, Montreal, PQ, Canada; [Jouve, Guillaume] Aix Marseille Univ, CEREGE, Aix En Provence, France; [Lise-Pronovost, Agathe] La Trobe Univ, Australian Archeomagnetism Lab, Melbourne, Vic, Australia</t>
  </si>
  <si>
    <t>University of Quebec; Institut national de la recherche scientifique (INRS); Aix-Marseille Universite; Melbourne Genomics Health Alliance; La Trobe University</t>
  </si>
  <si>
    <t>Jouve, G (corresponding author), Aix Marseille Univ, CEREGE, Aix En Provence, France.</t>
  </si>
  <si>
    <t>jouve@cerege.fr; a.lise-pronovost@latrobe.edu.au; pierre.francus@ete.inrs.ca; arnaud.de_coninck@ete.inrs.ca</t>
  </si>
  <si>
    <t>Francus, Pierre/0000-0001-5465-1966; Lise-Pronovost, Agathe/0000-0002-7977-0512; de Coninck, Arnaud Sidney/0000-0003-0362-644X; Jouve, Guillaume/0000-0003-4648-4445</t>
  </si>
  <si>
    <t>International Continental Scientific Drilling Program (ICDP) [ICDP-2007/01]; ICDP; German Science Foundation (DFG); Swiss National Funds (SNF); Natural Sciences and Engineering Research Council of Canada (NSERC); Swedish Research Council - Vetenskapsradet (VR); University of Bremen; NSERC; Canadian Meteorological and Oceanographical Society (CMOS)</t>
  </si>
  <si>
    <t>International Continental Scientific Drilling Program (ICDP); ICDP; German Science Foundation (DFG)(German Research Foundation (DFG)); Swiss National Funds (SNF)(Swiss National Science Foundation (SNSF)); Natural Sciences and Engineering Research Council of Canada (NSERC)(Natural Sciences and Engineering Research Council of Canada (NSERC)); Swedish Research Council - Vetenskapsradet (VR)(Swedish Research Council); University of Bremen; NSERC(Natural Sciences and Engineering Research Council of Canada (NSERC)); Canadian Meteorological and Oceanographical Society (CMOS)</t>
  </si>
  <si>
    <t>This research is supported by the International Continental Scientific Drilling Program (ICDP) (ICDP-2007/01) in the framework of the Potrok Aike Maar Lake Sediment Archive Drilling Project (PASADO). Funding for drilling was provided by the ICDP, the German Science Foundation (DFG), the Swiss National Funds (SNF), the Natural Sciences and Engineering Research Council of Canada (NSERC), the Swedish Research Council - Vetenskapsradet (VR) and the University of Bremen. For their invaluable help in field logistics and drilling we thank the staff of INTA Santa Cruz and Rio Dulce Catering as well as the Moreteau family and the DOSECC crew. This project was also made possible by an NSERC Discovery and a Canada Foundation for Innovation grants to P. Francus. We acknowledge the support of NSERC and the Canadian Meteorological and Oceanographical Society (CMOS) for graduate scholarships to A. Lise-Pronovost. We also thank Quentin Simon for his relevant advices in the interpretation of the magnetic susceptibility signal.</t>
  </si>
  <si>
    <t>0031-0182</t>
  </si>
  <si>
    <t>1872-616X</t>
  </si>
  <si>
    <t>PALAEOGEOGR PALAEOCL</t>
  </si>
  <si>
    <t>Paleogeogr. Paleoclimatol. Paleoecol.</t>
  </si>
  <si>
    <t>10.1016/j.palaeo.2017.02.020</t>
  </si>
  <si>
    <t>Geography, Physical; Geosciences, Multidisciplinary; Paleontology</t>
  </si>
  <si>
    <t>Physical Geography; Geology; Paleontology</t>
  </si>
  <si>
    <t>ER2SS</t>
  </si>
  <si>
    <t>Green Submitted, Green Accepted, Green Published</t>
  </si>
  <si>
    <t>WOS:000398644700003</t>
  </si>
  <si>
    <t>Holdgate, GR; Sluiter, IRK; Taglieri, J</t>
  </si>
  <si>
    <t>Holdgate, G. R.; Sluiter, I. R. K.; Taglieri, J.</t>
  </si>
  <si>
    <t>Eocene-Oligocene coals of the Gippsland and Australo-Antarctic basins - Paleoclimatic and paleogeographic context and implications for the earliest Cenozoic glaciations</t>
  </si>
  <si>
    <t>Southern Australia; Brown coal; Palynology; Eocene-Oligocene palaeoclimates</t>
  </si>
  <si>
    <t>LATROBE VALLEY; TASMANIAN GATEWAY; BROWN COALS; EVOLUTION; PALEOGENE; MIOCENE; MIDDLE; CLIMATE; LITHOTYPES; SUCCESSION</t>
  </si>
  <si>
    <t>Australia's Gippsland Basin contains a semi-continuous Eocene-Oligocene (41.5-28.4 Ma) near-coastal coal record that formed adjacent to Pacific Ocean. Traralgon and Morwell Formation brown coals include 4 main seams (T2, Tl, TO, M2). Coal seam palynology records show late Middle Eocene (T2) coals formed under megathermic conditions characterized by high-gymnosperm contents, Late Eocene (T1) coals formed under mesothermic conditions characterized by reduced-gymnosperm contents and earliest indications of palaeoclimate cooling. Earliest Oligocene TO coal record (33.9-31.5 Ma) contains high-gymnosperm palynology profile, very similar to the T2 coals. The earliest indication of cooler climes only begins after this coal formed as indicated by low-gymnosperm high-Nothofagus (southern beech) pollen proportions. We suggest in Gippsland the earliest evidence for major glacial cooling (by inference the Oil event) be placed immediately above the TO coal seam where Early to Late Oligocene Morwell Formation sands, clays and coals contain low counts of gymnosperms (&lt;10%) but high average proportions of Nothofagus (50%). This is the main definitive indicator that palaeoclimates had cooled between the Eocene and Oligocene. This agrees with the current ocean drilling position of the earliest (Oil) glacial event shortly above the Eocene-Oligocene boundary. A number of contemporaneous Middle to Late Eocene brown coals occurred in near-coastal settings across 1200 km of southern Australia. Palaeogeographically, all these coal basins faced the Australo-Antarctic Gulf and have a much lower gymnosperm proportion (&lt;10%), low Nothofagus proportion (&lt;10%), but very high (non-Nothofagus) angiosperms proportion. This suggests a different climatic regime separated a cooler and wetter Gippsland Basin flora that responded to the cooler Proto-Ross Sea Gyre rotating around a wide Pacific Ocean, and a warm-wet climate associated with a warm proto-Leeuwin current of the Australo-Antarctic Gulf. (C) 2017 Elsevier B.V. All rights reserved.</t>
  </si>
  <si>
    <t>[Holdgate, G. R.; Taglieri, J.] Univ Melbourne, Sch Earth Sci, Melbourne, Vic 3010, Australia; [Sluiter, I. R. K.] Federat Univ Australia, Fac Sci &amp; Technol, Ballarat, Vic 3350, Australia; [Taglieri, J.] Melbana Energy, Level 15,500 Collins St, Melbourne, Vic 3000, Australia</t>
  </si>
  <si>
    <t>University of Melbourne; Melbourne Bioinformatics; Federation University Australia; Melbourne Genomics Health Alliance</t>
  </si>
  <si>
    <t>Holdgate, GR (corresponding author), Univ Melbourne, Sch Earth Sci, Melbourne, Vic 3010, Australia.</t>
  </si>
  <si>
    <t>grh@unimelb.edu.au</t>
  </si>
  <si>
    <t>ARC</t>
  </si>
  <si>
    <t>ARC(Australian Research Council)</t>
  </si>
  <si>
    <t>This research forms part of an ARC funded study into the evolution and development of continental shelf and basin sediments in southern Australia. The Gippsland Basin coal palynology data is open file information accompanying core results from State Electricity Commission of Victoria bores held in the Department of Geography Monash University Clayton (Melbourne); BSc Honours projects (T1 and T2 coals by Whitelaw, 1983; T0, T1 and T2 coals by Sun, 1991); and Barbara Wagstaff Earth Sciences Department, University of Melbourne for palynology counts in M2 coals. Most of the Australo-Antarctic basins palynology data comes from an Adelaide University MSc project (Wood, 1981 - Otway Basin); together with open file Minerals and Energy Resources Department of South Australia Reports of Stoian, 1999, 2002, 2003, 2013 (St Vincent Basin and Eastern Eucla Basin). The authors gratefully acknowledge all this work together with previously published palynology counts by Milne, 1988 (western Eucla Basin). All other palynology counts were done by the authors.</t>
  </si>
  <si>
    <t>10.1016/j.palaeo.2017.01.035</t>
  </si>
  <si>
    <t>WOS:000398644700017</t>
  </si>
  <si>
    <t>Jomelli, V; Mokadem, F; Schimmelpfennig, I; Chapron, E; Rinterknecht, V; Favier, V; Verfaillie, D; Brunstein, D; Legentil, C; Michel, E; Swingedouw, D; Jaouen, A; Aumaitre, G; Bourlès, DL; Keddadouche, K</t>
  </si>
  <si>
    <t>Jomelli, Vincent; Mokadem, Fatima; Schimmelpfennig, Irene; Chapron, Emmanuel; Rinterknecht, Vincent; Favier, Vincent; Verfaillie, Deborah; Brunstein, Daniel; Legentil, Claude; Michel, Elisabeth; Swingedouw, Didier; Jaouen, Alain; Aumaitre, Georges; Bourles, Didier L.; Keddadouche, Karim</t>
  </si>
  <si>
    <t>Sub-Antarctic glacier extensions in the Kerguelen region (49 °S, Indian Ocean) over the past 24,000 years constrained by 36Cl moraine dating</t>
  </si>
  <si>
    <t>Glacier fluctuations; Cl-36 cosmic-ray exposure dating; Late Glacial; Holocene; Kerguelen</t>
  </si>
  <si>
    <t>NEW-ZEALAND; COLD REVERSAL; ISLANDS 49-DEGREES-S; SEISMIC STRATIGRAPHY; SOUTH GEORGIA; CHRONOLOGY; HOLOCENE; FLUCTUATIONS; PATAGONIA; MAXIMUM</t>
  </si>
  <si>
    <t>Similar to many other regions in the world, glaciers in the southern sub-polar regions are currently retreating. In the Kerguelen Islands (49 degrees S, 69 degrees E), the mass balance of the Cook Ice Cap (CIC), the largest ice cap in this region, experienced dramatic shrinking between 1960 and 2013 with retreat rates among the highest in the world. This observation needs to be evaluated in a long-term context. However, data on the past glacier extents are sparse in the sub-Antarctic regions. To investigate the deglaciation pattern since the Last Glacial Maximum (LGM) period, we present the first 13 cosmogenic Cl-36 surface exposure ages from four sites in the Kerguelen Islands. The Cl-36 ages from erratic and moraine boulders span from 24.4 +/- 2.7 ka to 03 +/- 0.1 ka. We combined these ages with existing glacio-marine radiocarbon ages and bathymetric data to document the temporal and spatial changes of the island's glacial history. Ice began to retreat on the main island before 24.4 +/- 2.7 ka until around the time of the Antarctic Cold Reversal (ACR) period (-14.5-12.9 ka), during which the Bontemps moraine was formed by the advance of a CIC outlet glacier. Deglaciation continued during the Holocene probably until 3 ka with evidence of minor advances during the last millennium. This chronology is in pace with major changes in delta O-18 in a recent West Antarctica ice core record, showing that Kerguelen Islands glaciers are particularly sensitive and relevant to document climate change in the southern polar regions. (C) 2017 Elsevier Ltd. All rights reserved.</t>
  </si>
  <si>
    <t>[Jomelli, Vincent; Mokadem, Fatima; Rinterknecht, Vincent; Brunstein, Daniel; Legentil, Claude] Univ Paris 1 Pantheon Sorbonne, CNRS, Lab Geog Phys, F-92195 Meudon, France; [Schimmelpfennig, Irene; Aumaitre, Georges; Bourles, Didier L.; Keddadouche, Karim] Aix Marseille Univ, CNRS, Coll France, IRD,CEREGE, Aix En Provence, France; [Chapron, Emmanuel] Univ Orleans, Inst Sci Terre Orleans, UMR CNRS 7327, BRGM, Campus Geosci,1A Rue Ferolerie, F-45071 Orleans 2, France; [Chapron, Emmanuel] Univ Toulouse Jean Jaures, GEODE UMR CNRS 5602, Geog Environm, 5 Allee A Machado, F-31058 Toulouse 9, France; [Favier, Vincent; Verfaillie, Deborah] Univ Grenoble Alpes, LGGE, CNRS, F-38041 Grenoble, France; [Michel, Elisabeth] LSCE, F-91191 Gif Sur Yvette, France; [Swingedouw, Didier] Univ Bordeaux, UMR CNRS EPOC 5805, OASU, Allee Geoffroy St Hilaire, F-33615 Pessac, France; [Jaouen, Alain] Inst Polaire Francais Paul Emile Victor, F-29280 Plouzane, France; [Aumaitre, Georges; Bourles, Didier L.; Keddadouche, Karim] ASTER Team, Aix En Provence, France</t>
  </si>
  <si>
    <t>Universite Paris-Est-Creteil-Val-de-Marne (UPEC); Centre National de la Recherche Scientifique (CNRS); Centre National de la Recherche Scientifique (CNRS); Universite PSL; College de France; Institut de Recherche pour le Developpement (IRD); Aix-Marseille Universite; Bureau de Recherches Geologiques et Minieres (BRGM); Universite de Orleans; Universite de Toulouse; Universite de Toulouse - Jean Jaures; Centre National de la Recherche Scientifique (CNRS); Communaute Universite Grenoble Alpes; Universite Grenoble Alpes (UGA); CEA; Centre National de la Recherche Scientifique (CNRS); Universite Paris Saclay; Centre National de la Recherche Scientifique (CNRS); Universite Bordeaux-Montaigne; CNRS - National Institute for Earth Sciences &amp; Astronomy (INSU); Universite de Bordeaux</t>
  </si>
  <si>
    <t>Jomelli, V (corresponding author), Univ Paris 1 Pantheon Sorbonne, CNRS, Lab Geog Phys, F-92195 Meudon, France.</t>
  </si>
  <si>
    <t>vincent.jomelli@lgp.cnrs.fr</t>
  </si>
  <si>
    <t>rinterknecht, vincent/A-9229-2010; Swingedouw, Didier/D-1408-2010; jomelli, vincent/AAO-9488-2020; Favier, Vincent/T-1936-2017</t>
  </si>
  <si>
    <t>Swingedouw, Didier/0000-0002-0583-0850; jomelli, vincent/0000-0002-4512-5216; Favier, Vincent/0000-0001-6024-9498; Schimmelpfennig, Irene/0000-0001-8145-9160; brunstein, daniel/0000-0001-5496-8349; Verfaillie, Deborah/0000-0003-0603-0780; Rinterknecht, Vincent/0000-0002-5410-2075</t>
  </si>
  <si>
    <t>French INSU LEFE Glacepreker project; IPEV Kesaaco 1048 project; ARTEMIS radiocarbon French facilities from CNRS INSU; INSU/CNRS; ANR through the Projets thematiques d'excellence program; Equipements d'excellence ASTER-CEREGE action; IRD</t>
  </si>
  <si>
    <t>French INSU LEFE Glacepreker project; IPEV Kesaaco 1048 project; ARTEMIS radiocarbon French facilities from CNRS INSU; INSU/CNRS(Centre National de la Recherche Scientifique (CNRS)); ANR through the Projets thematiques d'excellence program(Agence Nationale de la Recherche (ANR)); Equipements d'excellence ASTER-CEREGE action; IRD</t>
  </si>
  <si>
    <t>This paper was supported by the French INSU LEFE Glacepreker project and by the IPEV Kesaaco 1048 project. We thank the IPEV crew and captain of the MD172 KAVIAR/TABLE expedition for the collection of oceanographic, acoustic and giant piston core data within Table Fjord despite challenging climatic conditions. We thank the team from TRACK program for their great help on handling cores on board. This study benefited from the support of ARTEMIS radiocarbon French facilities from CNRS INSU. Patrick Alberic (ISTO, France), Fabien Dewilde and Nicolas Caillon are also warmly thanked for their contribution to the success of MD172 KAVIAR/TABLE expedition and support for the Geotek data acquisition on board and in the collection and interpretation of radiocarbon data from Table Fjord sediments. The C1-36 and Cl measurements were performed at the ASTER AMS national facility (CEREGE, Aix-en-Provence) which is supported by the INSU/CNRS, the ANR through the Projets thematiques d'excellence program for the Equipements d'excellence ASTER-CEREGE action, and IRD. We thank C. Darwill and an anonymous reviewer for their very constructive remarks.</t>
  </si>
  <si>
    <t>10.1016/j.quascirev.2017.03.010</t>
  </si>
  <si>
    <t>WOS:000399849900009</t>
  </si>
  <si>
    <t>Ali, K; Trivedi, DK; Sahu, SK</t>
  </si>
  <si>
    <t>Ali, Kaushar; Trivedi, D. K.; Sahu, S. K.</t>
  </si>
  <si>
    <t>Surface ozone characterization at Larsemann Hills and Maitri, Antarctica</t>
  </si>
  <si>
    <t>Surface ozone; Larsemann Hills and Maitri; Blizzard; Photochemistry; Activated halogen; Transportation</t>
  </si>
  <si>
    <t>SOUTH-POLE; HALOGENS; NO</t>
  </si>
  <si>
    <t>Data are analyzed in terms of daily average ozone, its diurnal variation and its relation with meteorological parameters like dry bulb temperature (T), wet bulb temperature (T-w), atmospheric pressure and wind speed based on measurement of these parameters at two Indian Antarctic stations (Larsemann Hills, and Maitri) during 28th Indian Scientific Expedition of Antarctica (ISEA) organized during Antarctic summer of the year 2008-09. The work has been carried out to investigate summer time ozone level and its day-to-day and diurnal variability at these coastal locatkins and to highlight possible mechanism of ozone production and destruction. The result of the analysis indicates that daily average ozone concentration at Larsemann Hills varied from similar to 13 and similar to 20 ppb with overall average value of similar to 16 ppb and at Maitri, it varied from similar to 16 and similar to 21 ppb with overall average value of similar to 18 ppb. Photochemistry is found to partially contribute occasionally to the surface layer ozone at both the stations. Lower concentration of ozone at Maitri during beginning of the observational days may be due to destruction of ozone through activated halogens, whereas higher ozone on latter days may be due to photochemistry and advective transport from east to south-east areas. Ozone concentration during blizzard episodes at both the stations is reduced due to slow photochemical production of ozone, its photochemical removal and removal through deposition of ozone molecules on precipitation particles. Diurnal variation of ozone at Larsemann Hills and Maitri has been found to be absent. (C) 2017 Elsevier B.V. All rights reserved.</t>
  </si>
  <si>
    <t>[Ali, Kaushar; Trivedi, D. K.] Indian Inst Trop Meteorol, Dr Homi Bhabha Rd,NCL Post Off, Pune 411008, Maharashtra, India; [Sahu, S. K.] Utkal Univ, Bhubaneswar 751004, Orissa, India</t>
  </si>
  <si>
    <t>Ministry of Earth Sciences (MoES) - India; Indian Institute of Tropical Meteorology (IITM); Utkal University</t>
  </si>
  <si>
    <t>Ali, K (corresponding author), Indian Inst Trop Meteorol, Dr Homi Bhabha Rd,NCL Post Off, Pune 411008, Maharashtra, India.</t>
  </si>
  <si>
    <t>kaushar@tropmetres.in</t>
  </si>
  <si>
    <t>Sahu, Saroj Kumar/AAI-3720-2020; Sahu, Saroj Kumar/AAB-9659-2022</t>
  </si>
  <si>
    <t>Sahu, Saroj Kumar/0000-0002-5365-795X; Sahu, Saroj Kumar/0000-0002-5365-795X</t>
  </si>
  <si>
    <t>IITM, Pune; National Centre for Antarctic and Ocean Research (NCAOR); Ministry of Earth Sciences (MoES)</t>
  </si>
  <si>
    <t>The authors are grateful to the Director, IITM, Pune, and Dr. G. Beig, Scientist G, IITM, Pune for their support and encouragement given to undertake this work. Thanks are also due to the National Centre for Antarctic and Ocean Research (NCAOR) and Ministry of Earth Sciences (MoES) for the financial support towards participation in the 28th Indian Scientific Expedition to Antarctica. The authors also thank Shri Alok Sagar Gautam who participated in the 28th ISEA and collected data for this work.</t>
  </si>
  <si>
    <t>10.1016/j.scitotenv.2017.01.173</t>
  </si>
  <si>
    <t>WOS:000399358500111</t>
  </si>
  <si>
    <t>Sarker, S; Das, S; Lavers, JL; Hutton, I; Helbig, K; Imbery, J; Upton, C; Raidal, SR</t>
  </si>
  <si>
    <t>Sarker, Subir; Das, Shubhagata; Lavers, Jennifer L.; Hutton, Ian; Helbig, Karla; Imbery, Jacob; Upton, Chris; Raidal, Shane R.</t>
  </si>
  <si>
    <t>Genomic characterization of two novel pathogenic avipoxviruses isolated from pacific shearwaters (Ardenna spp.)</t>
  </si>
  <si>
    <t>BMC GENOMICS</t>
  </si>
  <si>
    <t>Avipoxvirus; Poxvirus; Next generation sequencing; dermatitis; Ardenna; Shearwater</t>
  </si>
  <si>
    <t>POXVIRUS ORTHOLOGOUS CLUSTERS; DISEASE-VIRUS-INFECTION; AVIAN POX VIRUS; HIGH MORTALITY; SEQUENCE; PREVALENCE; MALARIA; FOWL; BEAK</t>
  </si>
  <si>
    <t>Background: Over the past 20 years, many marine seabird populations have been gradually declining and the factors driving this ongoing deterioration are not always well understood. Avipoxvirus infections have been found in a wide range of bird species worldwide, however, very little is known about the disease ecology of avian poxviruses in seabirds. Here we present two novel avipoxviruses from pacific shearwaters (Ardenna spp), one from a Flesh-footed Shearwater (A. carneipes) (SWPV-1) and the other from a Wedge-tailed Shearwater (A. pacificus) (SWPV-2). Results: Epidermal pox lesions, liver, and blood samples were examined from A. carneipes and A. pacificus of breeding colonies in eastern Australia. After histopathological confirmation of the disease, PCR screening was conducted for avipoxvirus, circovirus, reticuloendotheliosis virus, and fungal agents. Two samples that were PCR positive for poxvirus were further assessed by next generation sequencing, which yielded complete Shearwaterpox virus (SWPV) genomes from A. pacificus and A. carneipes, both showing the highest degree of similarity with Canarypox virus (98% and 67%, respectively). The novel SWPV-1 complete genome from A. carneipes is missing 43 genes compared to CNPV and contains 4 predicted genes which are not found in any other poxvirus, whilst, SWPV-2 complete genome was deemed to be missing 18 genes compared to CNPV and a further 15 genes significantly fragmented as to probably cause them to be non-functional. Conclusion: These are the first avipoxvirus complete genome sequences that infect marine seabirds. In the comparison of SWPV-1 and -2 to existing avipoxvirus sequences, our results indicate that the SWPV complete genome from A. carneipes (SWPV-1) described here is not closely related to any other avipoxvirus genome isolated from avian or other natural host species, and that it likely should be considered a separate species.</t>
  </si>
  <si>
    <t>[Sarker, Subir; Helbig, Karla] La Trobe Univ, Sch Life Sci, Dept Physiol Anat &amp; Microbiol, Melbourne, Vic 3086, Australia; [Das, Shubhagata; Raidal, Shane R.] Charles Sturt Univ, Sch Anim &amp; Vet Sci, Wagga Wagga, NSW 2678, Australia; [Lavers, Jennifer L.] Univ Tasmania, Inst Marine &amp; Antarctic Studies, Hobart, Tas 7004, Australia; [Hutton, Ian] Lord Howe Isl Museum, Lord Howe Isl, NSW 2898, Australia; [Imbery, Jacob; Upton, Chris] Univ Victoria, Dept Biochem &amp; Microbiol, Victoria, BC, Canada</t>
  </si>
  <si>
    <t>La Trobe University; Melbourne Genomics Health Alliance; Charles Sturt University; University of Tasmania; University of Victoria</t>
  </si>
  <si>
    <t>Sarker, S (corresponding author), La Trobe Univ, Sch Life Sci, Dept Physiol Anat &amp; Microbiol, Melbourne, Vic 3086, Australia.</t>
  </si>
  <si>
    <t>s.sarker@latrobe.edu.au</t>
  </si>
  <si>
    <t>Lavers, Jennifer/IWM-5417-2023; Sarker, Subir/U-8444-2019; Lavers, Jennifer/O-4831-2017; Helbig, Karla/AAC-5515-2019; Raidal, Shane/C-4632-2008</t>
  </si>
  <si>
    <t>Sarker, Subir/0000-0002-2685-8377; Lavers, Jennifer/0000-0001-7596-6588; Helbig, Karla/0000-0001-6306-2821; Das, Shubhagata/0000-0003-0795-2752; Raidal, Shane/0000-0001-7917-8976</t>
  </si>
  <si>
    <t>Detached Foundation; Trading Consultants Ltd; La Trobe University School of Life Science Publication Booster Award; Natural Sciences and Engineering Research Council of Canada (NSERC)</t>
  </si>
  <si>
    <t>Detached Foundation; Trading Consultants Ltd; La Trobe University School of Life Science Publication Booster Award; Natural Sciences and Engineering Research Council of Canada (NSERC)(Natural Sciences and Engineering Research Council of Canada (NSERC))</t>
  </si>
  <si>
    <t>Funding for this project was generously provided by the Detached Foundation, Trading Consultants Ltd, and L. Bryce. However, none of these have grant numbers assigned since all are donations from private philanthropists. Additional financial support was provided to SS through the La Trobe University School of Life Science Publication Booster Award. CU and JI were funded by the Natural Sciences and Engineering Research Council of Canada (NSERC) Discovery Grant. The funding bodies had no role in the design of the study and collection, analysis, and interpretation of data and in writing the manuscript.</t>
  </si>
  <si>
    <t>1471-2164</t>
  </si>
  <si>
    <t>BMC Genomics</t>
  </si>
  <si>
    <t>APR 13</t>
  </si>
  <si>
    <t>10.1186/s12864-017-3680-z</t>
  </si>
  <si>
    <t>Biotechnology &amp; Applied Microbiology; Genetics &amp; Heredity</t>
  </si>
  <si>
    <t>ET9HQ</t>
  </si>
  <si>
    <t>WOS:000400618700004</t>
  </si>
  <si>
    <t>Amosova, AV; Bolsheva, NL; Zoshchuk, SA; Twardovska, MO; Yurkevich, OY; Andreev, IO; Samatadze, TE; Badaeva, ED; Kunakh, VA; Muravenko, OV</t>
  </si>
  <si>
    <t>Amosova, Alexandra V.; Bolsheva, Nadezhda L.; Zoshchuk, Svyatoslav A.; Twardovska, Maryana O.; Yurkevich, Olga Yu; Andreev, Igor O.; Samatadze, Tatiana E.; Badaeva, Ekaterina D.; Kunakh, Viktor A.; Muravenko, Olga V.</t>
  </si>
  <si>
    <t>Comparative molecular cytogenetic characterization of seven Deschampsia (Poaceae) species</t>
  </si>
  <si>
    <t>ANTARCTICA DESV.; FREEZE TOLERANCE; POPULATIONS; POLYPLOIDY; EXPRESSION; EVOLUTION; PLANTS; WHEAT; CHROMOSOMES; MECHANISMS</t>
  </si>
  <si>
    <t>The genus Deschampsia P. Beauv (Poaceae) involves a group of widespread polymorphic species. Some of them are highly tolerant to stressful and variable environmental conditions, and D. antarctica is one of the only two vascular plants growing in Antarctic. This species is a source of useful for selection traits and a valuable model for studying an environmental stress tolerance in plants. Genome diversity and comparative chromosomal phylogeny within the genus have not been studied yet as karyotypes of most Deschampsia species are poorly investigated. We firstly conducted a comparative molecular cytogenetic analysis of D. antarctica (Antarctic Peninsula) and related species from various localities (D. cespitosa, D. danthonioides, D. elongata, D. flexuosa (= Avenella flexuosa), D. parvula and D. sukatschewii by fluorescence in situ hybridization with 45S and 5S rDNA, DAPI-banding and sequential rapid in situ hybridization with genomic DNA of D. antarctica, D. cespitosa, and D. flexuosa. Based on patterns of distribution of the examined markers, chromosomes of the studied species were identified. Within these species, common features as well as species peculiarities in their karyotypic structure and chromosomal distribution of molecular cytogenetic markers were characterized. Different chromosomal rearrangements were detected in D. antarctica, D. flexuosa, D. elongata and D. sukatschewii. In karyotypes of D. antarctica, D. cespitosa, D. elongata and D. sukatschewii, 0-3 B chromosomes possessed distinct DAPI-bands were observed. Our findings suggest that the genome evolution of the genus Deschampsia involved polyploidy and also different chromosomal rearrangements. The obtained results will help clarify the relationships within the genus Deschampsia, and can be a basis for the further genetic and biotechnological studies as well as for selection of plants tolerant to extreme habitats.</t>
  </si>
  <si>
    <t>[Amosova, Alexandra V.; Bolsheva, Nadezhda L.; Zoshchuk, Svyatoslav A.; Yurkevich, Olga Yu; Samatadze, Tatiana E.; Badaeva, Ekaterina D.; Muravenko, Olga V.] Russian Acad Sci, Engelhardt Mol Biol Inst, Moscow, Russia; [Twardovska, Maryana O.; Andreev, Igor O.; Kunakh, Viktor A.] Natl Acad Sci Ukraine, Inst Mol Biol &amp; Genet, Kiev, Ukraine</t>
  </si>
  <si>
    <t>Russian Academy of Sciences; Engelhardt Institute of Molecular Biology, RAS; National Academy of Sciences Ukraine; Institute of Molecular Biology &amp; Genetics of NASU</t>
  </si>
  <si>
    <t>Amosova, AV (corresponding author), Russian Acad Sci, Engelhardt Mol Biol Inst, Moscow, Russia.</t>
  </si>
  <si>
    <t>amomar@mail.ru</t>
  </si>
  <si>
    <t>Kunakh, Viktor A./HKV-4993-2023; Andreev, Igor/G-6194-2016; Bolsheva, Nadezhda L./HKF-6552-2023; Amosova, Alexandra V/M-5102-2013; Badaeva, Ekaterina D./N-4368-2017; Yurkevich, Olga Yu./CAI-2654-2022; Tatiana, Samatadze/AAD-4816-2019; Yurkevich, Olga Yu./CAF-7659-2022; Twardovska, Maryana O./JZC-6453-2024; Muravenko, Olga/A-3889-2017</t>
  </si>
  <si>
    <t>Andreev, Igor/0000-0002-3706-8514; Badaeva, Ekaterina D./0000-0001-7101-9639; Yurkevich, Olga Yu./0000-0003-4124-2367; Tatiana, Samatadze/0000-0002-1012-3560; Yurkevich, Olga Yu./0000-0003-4124-2367; Twardovska, Maryana O./0000-0002-9132-1330; Muravenko, Olga/0000-0003-3150-8598; Kunakh, Viktor/0000-0002-9418-3172; amosova, alexandra/0000-0002-5208-6702</t>
  </si>
  <si>
    <t>National Antarctic Scientific Center of the Ministry of Education and Science of Ukraine; Russian Foundation of Basic Research [15-04-05574 AA, 17-08-01504 OM]; Fundamental Research Program of the Russian Academy of Sciences Dynamics of Plant, Animal and Human Genofonds [0103-2015-0117 OM]</t>
  </si>
  <si>
    <t>National Antarctic Scientific Center of the Ministry of Education and Science of Ukraine; Russian Foundation of Basic Research(Russian Foundation for Basic Research (RFBR)); Fundamental Research Program of the Russian Academy of Sciences Dynamics of Plant, Animal and Human Genofonds</t>
  </si>
  <si>
    <t>The authors acknowledge the support of the National Antarctic Scientific Center of the Ministry of Education and Science of Ukraine. The research was performed in the frame of the National targeted scientific and technological program of research in Antarctic for 2011-2020. We thank Dr. Prof. Parnikoza I.Y., Dr. Prof. Polyschuk V.P. and Dr. Dykyy I.V.for collecting D. antartctica seeds.; This work was supported by the Russian Foundation of Basic Research [grants no. 15-04-05574 AA; 17-08-01504 OM] and Fundamental Research Program of the Russian Academy of Sciences Dynamics of Plant, Animal and Human Genofonds [grant no. 0103-2015-0117 OM]. The funders had no role in study design, data collection and analysis, decision to publish, or preparation of the manuscript.</t>
  </si>
  <si>
    <t>e0175760</t>
  </si>
  <si>
    <t>10.1371/journal.pone.0175760</t>
  </si>
  <si>
    <t>ET0MB</t>
  </si>
  <si>
    <t>WOS:000399955400091</t>
  </si>
  <si>
    <t>Qiu, JN</t>
  </si>
  <si>
    <t>Qiu, Jane</t>
  </si>
  <si>
    <t>THE THREAT BENEATH ANTARCTICA THE GIANT EAST ANTARCTIC ICE SHEET LOOKS STABLE FROM ABOVE - BUT IT'S A DANGEROUSLY DIFFERENT STORY BELOW.</t>
  </si>
  <si>
    <t>TOTTEN GLACIER</t>
  </si>
  <si>
    <t>10.1038/544152a</t>
  </si>
  <si>
    <t>ER6EK</t>
  </si>
  <si>
    <t>WOS:000398897900011</t>
  </si>
  <si>
    <t>Studds, CE; Kendall, BE; Murray, NJ; Wilson, HB; Rogers, DI; Clemens, RS; Gosbell, K; Hassell, CJ; Jessop, R; Melville, DS; Milton, DA; Minton, CDT; Possingham, HP; Riegen, AC; Straw, P; Woehler, EJ; Fuller, RA</t>
  </si>
  <si>
    <t>Studds, Colin E.; Kendall, Bruce E.; Murray, Nicholas J.; Wilson, Howard B.; Rogers, Danny I.; Clemens, Robert S.; Gosbell, Ken; Hassell, Chris J.; Jessop, Rosalind; Melville, David S.; Milton, David A.; Minton, Clive D. T.; Possingham, Hugh P.; Riegen, Adrian C.; Straw, Phil; Woehler, Eric J.; Fuller, Richard A.</t>
  </si>
  <si>
    <t>Rapid population decline in migratory shorebirds relying on Yellow Sea tidal mudflats as stopover sites</t>
  </si>
  <si>
    <t>ANNUAL CYCLE; FLYWAY; MODELS; CHINA; SIZE</t>
  </si>
  <si>
    <t>Migratory animals are threatened by human-induced global change. However, little is known about how stopover habitat, essential for refuelling during migration, affects the population dynamics of migratory species. Using 20 years of continent-wide citizen science data, we assess population trends of ten shorebird taxa that refuel on Yellow Sea tidal mudflats, a threatened ecosystem that has shrunk by &gt;65% in recent decades. Seven of the taxa declined at rates of up to 8% per year. Taxa with the greatest reliance on the Yellow Sea as a stopover site showed the greatest declines, whereas those that stop primarily in other regions had slowly declining or stable populations. Decline rate was unaffected by shared evolutionary history among taxa and was not predicted by migration distance, breeding range size, non-breeding location, generation time or body size. These results suggest that changes in stopover habitat can severely limit migratory populations.</t>
  </si>
  <si>
    <t>[Studds, Colin E.; Murray, Nicholas J.; Wilson, Howard B.; Clemens, Robert S.; Possingham, Hugh P.; Fuller, Richard A.] Univ Queensland, Sch Biol Sci, St Lucia, Qld 4072, Australia; [Studds, Colin E.] Univ Maryland, Dept Geog &amp; Environm Syst, Baltimore, MD 21250 USA; [Studds, Colin E.] Smithsonian Conservat Biol Inst, Migratory Bird Ctr, Washington, DE 20008 USA; [Kendall, Bruce E.] Univ Calif Santa Barbara, Bren Sch Environm Sci &amp; Management, Santa Barbara, CA 93106 USA; [Murray, Nicholas J.] Univ New South Wales, Sch Biol Earth &amp; Environm Sci, Ctr Ecosyst Sci, Sydney, NSW 2052, Australia; [Rogers, Danny I.] Arthur Rylah Inst Environm Res, Heidelberg, Vic 3034, Australia; [Gosbell, Ken; Minton, Clive D. T.] Victorian Wader Study Grp, 165 Dalgetty Rd, Beaumaris, Vic 3193, Australia; [Hassell, Chris J.] Global Flyway Network, POB 3089, Broome, WA 6725, Australia; [Jessop, Rosalind] Phillip Isl Nat Pk,POB 97, Cowes, Vic 3922, Australia; [Melville, David S.] Ornithol Soc New Zealand, 1261 Dovedale Rd,RD 2 Wakefield, Nelson 7096, New Zealand; [Milton, David A.] CSIRO Oceans &amp; Atmosphere, Queensland Wader Study Grp, POB 2583, Brisbane, Qld 4001, Australia; [Possingham, Hugh P.] Imperial Coll London, Dept Life Sci, Silwood Pk, Ascot SL5 7PY, Berks, England; [Riegen, Adrian C.] Ornithol Soc New Zealand, 231 Forest Hill Rd, Auckland 0612, New Zealand; [Straw, Phil] Avifauna Res &amp; Serv Pty Ltd, POB 2006, Rockdale, NSW 2216, Australia; [Woehler, Eric J.] Univ Tasmania, Inst Marine &amp; Antarctic Studies, Sandy Bay, Tas 7001, Australia</t>
  </si>
  <si>
    <t>University of Queensland; University System of Maryland; University of Maryland Baltimore; University of California System; University of California Santa Barbara; University of New South Wales Sydney; Arthur Rylah Institute for Environmental Research (ARI); Commonwealth Scientific &amp; Industrial Research Organisation (CSIRO); Imperial College London; University of Tasmania</t>
  </si>
  <si>
    <t>Studds, CE (corresponding author), Univ Queensland, Sch Biol Sci, St Lucia, Qld 4072, Australia.;Studds, CE (corresponding author), Univ Maryland, Dept Geog &amp; Environm Syst, Baltimore, MD 21250 USA.;Studds, CE (corresponding author), Smithsonian Conservat Biol Inst, Migratory Bird Ctr, Washington, DE 20008 USA.</t>
  </si>
  <si>
    <t>studdsc@umbc.edu</t>
  </si>
  <si>
    <t>POSSINGHAM, HUGH/R-8310-2019; Murray, Nicholas J/E-4607-2016; Fuller, Richard/B-7971-2008; Possingham, Hugh/B-1337-2008; Kendall, Bruce/C-1871-2008; Clemens, Robert/G-5433-2015; Studds, Colin/C-3701-2012</t>
  </si>
  <si>
    <t>POSSINGHAM, HUGH/0000-0001-7755-996X; Murray, Nicholas J/0000-0002-4008-3053; Fuller, Richard/0000-0001-9468-9678; Possingham, Hugh/0000-0001-7755-996X; Kendall, Bruce/0000-0003-1782-8106; Clemens, Robert/0000-0002-1359-5133; Studds, Colin/0000-0001-5715-1692; Woehler, Eric/0000-0002-1125-0748</t>
  </si>
  <si>
    <t>Australian Research Council Linkage grant [LP100200418]; Future Fellowship; Federation Fellowship; Queensland Wader Study Group; Department of Environment Heritage and Protection (Queensland); Department of the Environment; Port of Brisbane; major funders of the Global Flyway Network, including BirdLife Netherlands; WWF Netherlands; Spinoza Premium of Netherlands Organization Prize for Scientific Research to Theunis Piersma; Australian Research Council [LP100200418] Funding Source: Australian Research Council</t>
  </si>
  <si>
    <t>Australian Research Council Linkage grant(Australian Research Council); Future Fellowship(Australian Research Council); Federation Fellowship; Queensland Wader Study Group; Department of Environment Heritage and Protection (Queensland); Department of the Environment; Port of Brisbane; major funders of the Global Flyway Network, including BirdLife Netherlands; WWF Netherlands; Spinoza Premium of Netherlands Organization Prize for Scientific Research to Theunis Piersma; Australian Research Council(Australian Research Council)</t>
  </si>
  <si>
    <t>This work is only possible because of the efforts of hundreds of people who have counted shorebirds across Australia and New Zealand, and those who have collated and curated those data; we list these in Supplementary Note 1 with grateful thanks to additional people who do not appear on this list. For data contributions we are grateful to: Australasian Wader Studies Group, Bird Observers Club of Australia, BirdLife Australia and their Shorebirds 2020 team, BirdLife Western Australia, BirdLife South Australia, BirdLife Tasmania, Hunter Bird Observers Club, Monitoring Yellow Sea Migrants in Australia, Ornithological Society of New Zealand, Queensland Wader Study Group, Victorian Wader Study Group and Wetlands International. Financial support was provided by Australian Research Council Linkage grant LP100200418, a Future Fellowship to R.A.F., a Federation Fellowship to H.P.P., the Queensland Wader Study Group, the Department of Environment Heritage and Protection (Queensland), the Department of the Environment and the Port of Brisbane. C.J.H. was supported by the major funders of the Global Flyway Network, including BirdLife Netherlands (2007-2012), WWF Netherlands (2010-2014, 2016) and the Spinoza Premium of Netherlands Organization Prize for Scientific Research to Theunis Piersma (2014-2016).</t>
  </si>
  <si>
    <t>10.1038/ncomms14895</t>
  </si>
  <si>
    <t>ER8EP</t>
  </si>
  <si>
    <t>Green Accepted, Green Submitted, Green Published, gold</t>
  </si>
  <si>
    <t>WOS:000399051600001</t>
  </si>
  <si>
    <t>Mocali, S; Chiellini, C; Fabiani, A; Decuzzi, S; de Pascale, D; Parrilli, E; Tutino, ML; Perrin, E; Bosi, E; Fondi, M; Lo Giudice, A; Fani, R</t>
  </si>
  <si>
    <t>Mocali, Stefano; Chiellini, Carolina; Fabiani, Arturo; Decuzzi, Silvia; de Pascale, Donatella; Parrilli, Ermenegilda; Tutino, Maria Luisa; Perrin, Elena; Bosi, Emanuele; Fondi, Marco; Lo Giudice, Angelina; Fani, Renato</t>
  </si>
  <si>
    <t>Ecology of cold environments: new insights of bacterial metabolic adaptation through an integrated genomic-phenomic approach</t>
  </si>
  <si>
    <t>ANTARCTIC BACTERIUM; METAGENOMIC ANALYSIS; LOW-TEMPERATURES; GLYCINE BETAINE; ALPHA-AMYLASE; LIFE-STYLE; PSEUDOALTEROMONAS; GLUTATHIONE; COMMUNITIES; EXPRESSION</t>
  </si>
  <si>
    <t>Cold environments dominate Earth's biosphere, hosting complex microbial communities with the ability to thrive at low temperatures. However, the underlying molecular mechanisms and the metabolic pathways involved in bacterial cold-adaptation mechanisms are still not fully understood. Herein, we assessed the metabolic features of the Antarctic bacterium Pseudoalteromonas haloplanktis TAC125 (PhTAC125), a model organism for cold-adaptation, at both 4 C-omicron and 15 C-omicron, by integrating genomic and phenomic (high-throughput phenotyping) data and comparing the obtained results to the taxonomically related Antarctic bacterium Pseudoalteromonas sp. TB41 (PspTB41). Although the genome size of PspTB41 is considerably larger than PhTAC125, the higher number of genes did not reflect any higher metabolic versatility at 4 C-omicron as compared to PhTAC125. Remarkably, protein S-thiolation regulated by glutathione and glutathionylspermidine appeared to be a new possible mechanism for cold adaptation in PhTAC125. More in general, this study represents an example of how 'multi-omic' information might potentially contribute in filling the gap between genotypic and phenotypic features related to cold-adaptation mechanisms in bacteria.</t>
  </si>
  <si>
    <t>[Mocali, Stefano; Chiellini, Carolina; Fabiani, Arturo; Decuzzi, Silvia] Ctr Ric Agrobiol &amp; Pedol CREA ABP, Consiglio Ric Agr &amp; Anal Econ Agr, Via Lanciola 12-A, I-50125 Florence, Italy; [de Pascale, Donatella] CNR, Inst Prot Biochem, Via Pietro Castellino 111, I-80131 Naples, Italy; [Parrilli, Ermenegilda; Tutino, Maria Luisa] Univ Naples Federico II, Dept Chem Sci, Complesso Univ,Via Cinthia 4, I-80126 Naples, Italy; [Chiellini, Carolina; Decuzzi, Silvia; Perrin, Elena; Bosi, Emanuele; Fondi, Marco; Fani, Renato] Univ Florence, Dept Biol, LEMM, Lab Microbial &amp; Mol Evolut Florence, I-50019 Sesto Fiorentino, FI, Italy; [Lo Giudice, Angelina] Natl Res Council IAMC CNR, Inst Coastal Marine Environm, Spianata San Raineri 86, I-98122 Messina, Italy; [Lo Giudice, Angelina] Univ Messina, Dept Chem Biol Pharmaceut &amp; Environm Sci, Viale F Stagno Alcontres 31, I-98166 Messina, Italy</t>
  </si>
  <si>
    <t>Consiglio per la Ricerca in Agricoltura e L'analisi Dell'economia Agraria (CREA); Consiglio Nazionale delle Ricerche (CNR); Istituto di Biochimica delle Proteine (IBP-CNR); University of Naples Federico II; University of Florence; Consiglio Nazionale delle Ricerche (CNR); L'Istituto per l'Ambiente Marino Costiero (IAMC-CNR); University of Messina</t>
  </si>
  <si>
    <t>Mocali, S (corresponding author), Ctr Ric Agrobiol &amp; Pedol CREA ABP, Consiglio Ric Agr &amp; Anal Econ Agr, Via Lanciola 12-A, I-50125 Florence, Italy.</t>
  </si>
  <si>
    <t>stefano.mocali@crea.gov.it</t>
  </si>
  <si>
    <t>TUTINO, MARIA LUISA/L-1834-2013; Mocali, Stefano/ABE-2918-2020; parrilli, ermenegilda/K-4616-2016; parrilli, ermenegilda/JAZ-0586-2023; Perrin, Elena/AAX-2762-2020; Fabiani, Arturo/HJY-7566-2023</t>
  </si>
  <si>
    <t>parrilli, ermenegilda/0000-0002-9002-5409; Perrin, Elena/0000-0001-5148-3178; Chiellini, Carolina/0000-0002-0756-6459; Bosi, Emanuele/0000-0002-4769-8667; Fabiani, Arturo/0000-0002-5614-9993; Mocali, Stefano/0000-0002-1173-7206; Tutino, Maria Luisa/0000-0002-4978-6839</t>
  </si>
  <si>
    <t>PNRA (Programma Nazionale di Ricerche in Antartide) [PNRA 2013/B4.02, PNRA 2013/AZ1.04]</t>
  </si>
  <si>
    <t>PNRA (Programma Nazionale di Ricerche in Antartide)</t>
  </si>
  <si>
    <t>The work described in this publication was financially supported by two PNRA (Programma Nazionale di Ricerche in Antartide) grants (PNRA 2013/B4.02 and PNRA 2013/AZ1.04).</t>
  </si>
  <si>
    <t>APR 12</t>
  </si>
  <si>
    <t>10.1038/s41598-017-00876-4</t>
  </si>
  <si>
    <t>ER9ZP</t>
  </si>
  <si>
    <t>WOS:000399186000003</t>
  </si>
  <si>
    <t>Dhaneesha, M; Naman, CB; Krishnan, KP; Sinha, RK; Jayesh, P; Joseph, V; Singh, ISB; Gerwick, WH; Sajeevan, TP</t>
  </si>
  <si>
    <t>Dhaneesha, M.; Naman, C. Benjamin; Krishnan, K. P.; Sinha, Rupesh Kumar; Jayesh, P.; Joseph, Valsamma; Singh, I. S. Bright; Gerwick, William H.; Sajeevan, T. P.</t>
  </si>
  <si>
    <t>Streptomyces artemisiae MCCB 248 isolated from Arctic fjord sediments has unique PKS and NRPS biosynthetic genes and produces potential new anticancer natural products</t>
  </si>
  <si>
    <t>Actinomycetes; Streptomyces; Anticancer; Natural products; Apoptosis</t>
  </si>
  <si>
    <t>POLYENE-POLYOL MACROLIDES; POLYKETIDE SYNTHASE GENES; MARINE ACTINOMYCETE; A-D; METABOLITES; DIVERSITY; ANTIBIOTICS; DISCOVERY; APOPTOSIS; ASSAY</t>
  </si>
  <si>
    <t>After screening marine actinomycetes isolated from sediment samples collected from the Arctic fjord Kongsfjorden for potential anticancer activity, an isolate identified as Streptomyces artemisiae MCCB 248 exhibited promising results against the NCI-H460 human lung cancer cell line. H460 cells treated with the ethyl acetate extract of strain MCCB 248 and stained with Hoechst 33342 showed clear signs of apoptosis, including shrinkage of the cell nucleus, DNA fragmentation and chromatin condensation. Further to this treated cells showed indications of early apoptotic cell death, including a significant proportion of Annexin V positive staining and evidence of DNA damage as observed in the TUNEL assay. Amplified PKS 1 and NRPS genes involved in secondary metabolite production showed only 82% similarity to known biosynthetic genes of Streptomyces, indicating the likely production of a novel secondary metabolite in this extract. Additionally, chemical dereplication efforts using LC-MS/MS molecular networking suggested the presence of a series of undescribed tetraene polyols. Taken together, these results revealed that this Arctic S. artemisiae strain MCCB 248 is a promising candidate for natural products drug discovery and genome mining for potential anticancer agents.</t>
  </si>
  <si>
    <t>[Dhaneesha, M.; Jayesh, P.; Joseph, Valsamma; Singh, I. S. Bright; Sajeevan, T. P.] Cochin Univ Sci &amp; Technol, Natl Ctr Aquat Anim Hlth, Fine Arts Ave, Kochi 682016, Kerala, India; [Naman, C. Benjamin; Gerwick, William H.] Univ Calif San Diego, Scripps Inst Oceanog, Ctr Marine Biotechnol &amp; Biomed, La Jolla, CA 92093 USA; [Krishnan, K. P.; Sinha, Rupesh Kumar] Natl Ctr Antarctic &amp; Ocean Res, Vasco Da Gama 403804, Goa, India</t>
  </si>
  <si>
    <t>Cochin University Science &amp; Technology; University of California System; University of California San Diego; Scripps Institution of Oceanography; Ministry of Earth Sciences (MoES) - India; National Centre for Polar and Ocean Research (NCPOR)</t>
  </si>
  <si>
    <t>Sajeevan, TP (corresponding author), Cochin Univ Sci &amp; Technol, Natl Ctr Aquat Anim Hlth, Fine Arts Ave, Kochi 682016, Kerala, India.</t>
  </si>
  <si>
    <t>sajeev@cusat.ac.in</t>
  </si>
  <si>
    <t>P, Krishnan K/ABF-8783-2020; Naman, Ben/AAH-5884-2021; Sinha, Rupesh/ABB-8319-2020</t>
  </si>
  <si>
    <t>Naman, Ben/0000-0002-4361-506X; Sinha, Rupesh Kumar/0000-0002-2080-0975; Bright Singh, Isaac Sarojini/0000-0003-4482-2084; M, Dhaneesha/0000-0003-4641-0876</t>
  </si>
  <si>
    <t>University Grants Commission, New Delhi [41-1152/2012 (SR), 194-1/2009(IC)]; U.S. NCI/NIH Training Program in the Biochemistry of Growth Regulation and Oncogenesis [T32 CA009523]; Cochin University of Science and Technology; Kerala State Council for Science, Technology and Environment, Govt. of Kerala, India</t>
  </si>
  <si>
    <t>University Grants Commission, New Delhi(University Grants Commission, India); U.S. NCI/NIH Training Program in the Biochemistry of Growth Regulation and Oncogenesis; Cochin University of Science and Technology; Kerala State Council for Science, Technology and Environment, Govt. of Kerala, India</t>
  </si>
  <si>
    <t>The authors wish to acknowledge University Grants Commission, New Delhi for the funding (major project Grant; F. No 41-1152/2012 (SR) dated 26 July 2012 and Indo-US 21st Century Knowledge Initiative; F. No. 194-1/2009(IC) dated 23rd July 2015) and the Director, ESSO-NCAOR, and Ministry of Earth Sciences, Government of India, for providing the logistic support for field access to the Arctic samples. CBN acknowledges and appreciates financial support provided by a postdoctoral fellowship from a U.S. NCI/NIH Training Program in the Biochemistry of Growth Regulation and Oncogenesis (T32 CA009523). DM would like to thank Cochin University of Science and Technology and Kerala State Council for Science, Technology and Environment, Govt. of Kerala, India for providing fellowship funding.</t>
  </si>
  <si>
    <t>APR 11</t>
  </si>
  <si>
    <t>10.1007/s13205-017-0610-3</t>
  </si>
  <si>
    <t>ES3ES</t>
  </si>
  <si>
    <t>WOS:000399411900013</t>
  </si>
  <si>
    <t>Corrado, R; Lacorata, G; Palatella, L; Santoleri, R; Zambianchi, E</t>
  </si>
  <si>
    <t>Corrado, Raffaele; Lacorata, Guglielmo; Palatella, Luigi; Santoleri, Rosalia; Zambianchi, Enrico</t>
  </si>
  <si>
    <t>General characteristics of relative dispersion in the ocean</t>
  </si>
  <si>
    <t>TRANSPORT; PREDICTABILITY; DIFFUSION; STATISTICS; CASCADE; SURFACE; ENERGY</t>
  </si>
  <si>
    <t>The multi-scale and nonlinear nature of the ocean dynamics dramatically affects the spreading of matter, like pollutants, marine litter, etc., of physical and chemical seawater properties, and the biological connectivity inside and among different basins. Based on the Finite-Scale Lyapunov Exponent analysis of the largest available near-surface Lagrangian data set from the Global Drifter Program, our results show that, despite the large variety of flow features, relative dispersion can ultimately be described by a few parameters common to all ocean sub-basins, at least in terms of order of magnitude. This provides valuable information to undertake Lagrangian dispersion studies by means of models and/or of observational data. Moreover, our results show that the relative dispersion rates measured at submesoscale are significantly higher than for large-scale dynamics. Auxiliary analysis of high resolution GPS-tracked drifter hourly data as well as of the drogued/undrogued status of the buoys is provided in support of our conclusions. A possible application of our study, concerning reverse drifter motion and error growth analysis, is proposed relatively to the case of the missing Malaysia Airlines MH370 aircraft.</t>
  </si>
  <si>
    <t>[Corrado, Raffaele; Lacorata, Guglielmo; Palatella, Luigi] CNR, Inst Atmospher &amp; Climate Sci, I-73100 Lecce, Italy; [Santoleri, Rosalia; Zambianchi, Enrico] CNR, Inst Atmospher &amp; Climate Sci, I-00133 Rome, Italy; [Zambianchi, Enrico] Univ Naples Parthenope, I-80143 Naples, Italy; [Zambianchi, Enrico] CONISMA, I-80143 Naples, Italy</t>
  </si>
  <si>
    <t>Consiglio Nazionale delle Ricerche (CNR); Istituto di Scienze dell'Atmosfera e del Clima (ISAC-CNR); Consiglio Nazionale delle Ricerche (CNR); Istituto di Scienze dell'Atmosfera e del Clima (ISAC-CNR); Parthenope University Naples; CoNISMa</t>
  </si>
  <si>
    <t>Lacorata, G (corresponding author), CNR, Inst Atmospher &amp; Climate Sci, I-73100 Lecce, Italy.</t>
  </si>
  <si>
    <t>g.lacorata@isac.cnr.it</t>
  </si>
  <si>
    <t>Lacorata, Guglielmo/AAW-9410-2020; Santoleri, Rosalia/JNT-1470-2023; zambianchi, enrico/KGK-8209-2024; Corrado, Raffaele/Q-1530-2018</t>
  </si>
  <si>
    <t>Lacorata, Guglielmo/0000-0002-8594-3934; zambianchi, enrico/0000-0001-5474-7466;</t>
  </si>
  <si>
    <t>Flagship Project RItMare (The Italian Research for the Sea); SSD PESCA Project; EU [287844]; ACCUA project - Italian National Antarctic Programme [PNRA CR2013/B2.13]</t>
  </si>
  <si>
    <t>Flagship Project RItMare (The Italian Research for the Sea); SSD PESCA Project; EU(European Union (EU)); ACCUA project - Italian National Antarctic Programme</t>
  </si>
  <si>
    <t>Our work was partly funded by the Flagship Project RItMare (The Italian Research for the Sea), by the SSD PESCA Project and by the EU 7th Framework Programme project COCONET (Grant agreement No. 287844, http://www.coconet-fp7.eu/) and, for the SO part, by the ACCUA project funded by the Italian National Antarctic Programme (PNRA CR2013/B2.13). We warmly thank R. Lumpkin for clarifications about the accuracy of the drifter data. We are also very thankful to R. Godfrey and N. Maximenko for sharing with us valuable information and points of view about the MH370 case.</t>
  </si>
  <si>
    <t>10.1038/srep46291</t>
  </si>
  <si>
    <t>ER5HW</t>
  </si>
  <si>
    <t>WOS:000398833400001</t>
  </si>
  <si>
    <t>Roberts, SJ; Monien, P; Foster, LC; Loftfield, J; Hocking, EP; Schnetger, B; Pearson, EJ; Juggins, S; Fretwell, P; Ireland, L; Ochyra, R; Haworth, AR; Allen, CS; Moreton, SG; Davies, SJ; Brumsack, HJ; Bentley, MJ; Hodgson, DA</t>
  </si>
  <si>
    <t>Roberts, Stephen J.; Monien, Patrick; Foster, Louise C.; Loftfield, Julia; Hocking, Emma P.; Schnetger, Bernhard; Pearson, Emma J.; Juggins, Steve; Fretwell, Peter; Ireland, Louise; Ochyra, Ryszard; Haworth, Anna R.; Allen, Claire S.; Moreton, Steven G.; Davies, Sarah J.; Brumsack, Hans-Juergen; Bentley, Michael J.; Hodgson, Dominic A.</t>
  </si>
  <si>
    <t>Past penguin colony responses to explosive volcanism on the Antarctic Peninsula</t>
  </si>
  <si>
    <t>SOUTH-SHETLAND-ISLANDS; PRINCE GUSTAV CHANNEL; SEA-ICE EXTENT; CLIMATE-CHANGE; LIVINGSTON-ISLAND; HOLOCENE CLIMATE; DECEPTION ISLAND; POPULATION-CHANGES; PYGOSCELIS-PAPUA; ADELIE PENGUINS</t>
  </si>
  <si>
    <t>Changes in penguin populations on the Antarctic Peninsula have been linked to several environmental factors, but the potentially devastating impact of volcanic activity has not been considered. Here we use detailed biogeochemical analyses to track past penguin colony change over the last 8,500 years on Ardley Island, home to one of the Antarctic Peninsula's largest breeding populations of gentoo penguins. The first sustained penguin colony was established on Ardley Island c. 6,700 years ago, pre-dating sub-fossil evidence of Peninsula-wide occupation by c. 1,000 years. The colony experienced five population maxima during the Holocene. Overall, we find no consistent relationships with local-regional atmospheric and ocean temperatures or sea-ice conditions, although the colony population maximum, c. 4,000-3,000 years ago, corresponds with regionally elevated temperatures. Instead, at least three of the five phases of penguin colony expansion were abruptly ended by large eruptions from the Deception Island volcano, resulting in near-complete local extinction of the colony, with, on average, 400-800 years required for sustainable recovery.</t>
  </si>
  <si>
    <t>[Roberts, Stephen J.; Foster, Louise C.; Fretwell, Peter; Ireland, Louise; Haworth, Anna R.; Allen, Claire S.; Hodgson, Dominic A.] NERC, BAS, High Cross,Madingley Rd, Cambridge CB3 0ET, England; [Monien, Patrick; Loftfield, Julia; Schnetger, Bernhard; Brumsack, Hans-Juergen] Inst Chem &amp; Biol Marine Environm ICBM, Carl von Ossietzky Str 9-11, D-26133 Oldenburg, Germany; [Monien, Patrick] Univ Bremen, Dept Geosci, Klagenfurter Str 2-4, D-28359 Bremen, Germany; [Foster, Louise C.; Pearson, Emma J.; Juggins, Steve] Newcastle Univ, Sch Geog Polit &amp; Sociol, Newcastle Upon Tyne NE1 7RU, Tyne &amp; Wear, England; [Hocking, Emma P.] Northumbria Univ, Dept Geog, Ellison Bldg, Newcastle Upon Tyne NE1 8ST, Tyne &amp; Wear, England; [Ochyra, Ryszard] Polish Acad Sci, Inst Bot, Ul Lubicz 46, PL-31512 Krakow, Poland; [Haworth, Anna R.] Cardiff Univ, Sch Earth &amp; Ocean Sci, Main Bldg,Pk Pl, Cardiff CF10 3AT, S Glam, Wales; [Moreton, Steven G.] NERC Radiocarbon Facil Environm, Scottish Enterprise Technology Pk,Rankine Ave, East Kilbride G75 OQF, Scotland; [Davies, Sarah J.] Aberystwyth Univ, Dept Geog &amp; Earth Sci, Aberystwyth SY23 3DB, Dyfed, Wales; [Bentley, Michael J.; Hodgson, Dominic A.] Univ Durham, Dept Geog, Sci Labs, South Rd, Durham DH1 3LE, England</t>
  </si>
  <si>
    <t>UK Research &amp; Innovation (UKRI); Natural Environment Research Council (NERC); NERC British Antarctic Survey; University of Bremen; Newcastle University - UK; Northumbria University; Polish Academy of Sciences; Cardiff University; Aberystwyth University; Durham University</t>
  </si>
  <si>
    <t>Roberts, SJ (corresponding author), NERC, BAS, High Cross,Madingley Rd, Cambridge CB3 0ET, England.;Monien, P (corresponding author), Inst Chem &amp; Biol Marine Environm ICBM, Carl von Ossietzky Str 9-11, D-26133 Oldenburg, Germany.;Monien, P (corresponding author), Univ Bremen, Dept Geosci, Klagenfurter Str 2-4, D-28359 Bremen, Germany.</t>
  </si>
  <si>
    <t>sjro@bas.ac.uk; monien@icbm.de</t>
  </si>
  <si>
    <t>Brumsack, Hans-Jürgen/O-7942-2016; Hocking, Emma/Q-6241-2019; Moreton, Steven G/C-2373-2009; Bentley, Michael J/F-7386-2011; Davies, Sarah/ITT-3963-2023; Foster, Louise/O-7543-2015; Monien, Patrick/K-8338-2017; Juggins, Steve/D-1653-2010</t>
  </si>
  <si>
    <t>Hocking, Emma/0000-0002-8925-1695; Moreton, Steven G/0000-0002-8030-2433; Bentley, Michael J/0000-0002-2048-0019; Schnetger, Bernhard/0000-0003-1638-3977; Ochyra, Ryszard/0000-0002-2541-0722; Foster, Louise/0000-0002-6455-7639; Roberts, Stephen/0000-0003-3407-9127; Monien, Patrick/0000-0002-4000-5362; Juggins, Steve/0000-0003-4466-424X</t>
  </si>
  <si>
    <t>ESF [AP-6]; EU project IMCONet (FP7404 IRSES) [319718]; Natural Environmental Research Council (NERC); German Research Foundation (DFG) [BR 775/25-1]; NERC [NE/J500173/1]; NERC [NRCF010001, bas010011, bas0100030] Funding Source: UKRI; Natural Environment Research Council [bas0100030, bas010011, NRCF010001] Funding Source: researchfish</t>
  </si>
  <si>
    <t>ESF; EU project IMCONet (FP7404 IRSES); Natural Environmental Research Council (NERC)(UK Research &amp; Innovation (UKRI)Natural Environment Research Council (NERC)); German Research Foundation (DFG)(German Research Foundation (DFG)); NERC(UK Research &amp; Innovation (UKRI)Natural Environment Research Council (NERC)); NERC(UK Research &amp; Innovation (UKRI)Natural Environment Research Council (NERC)); Natural Environment Research Council(UK Research &amp; Innovation (UKRI)Natural Environment Research Council (NERC))</t>
  </si>
  <si>
    <t>This study forms part of the ESF-funded IMCOAST project, AP-6 led by S.J.R., and the EU project IMCONet (FP7404 IRSES, action no. 319718; coordinated by the Alfred Wegener Institute, Helmholtz Centre for Polar and Marine Research, Germany) with additional funding from the Natural Environmental Research Council (NERC), and the German Research Foundation (DFG project no. BR 775/25-1) and logistic support from the NERC-British Antarctic Survey (BAS), HMS Endurance and 892 Naval Air Squadron, the Alfred Wegner Institute (AWI) and the Instituto Antartico Argentino (IAA). We thank NERC for funding studentship NE/J500173/1 (BAS and Newcastle University) to L.C.F. (supervisors S.J.R., E.J.P., D.A.H., S.J.). We thank colleagues at the Chinese Great Wall Station and Russian Bellingshausen Bases on Fildes Peninsula for their generous hospitality, H. Biester and T. Riedel from Braunschweig University for help with Hg analyses, technical assistants at the Institute for Chemistry and Biology of the Marine Environment (ICBM), Hilary Blagbrough and Paul Geissler at BAS, S. Xu at the SUERC AMS Facility, Chris Hayward (EPMA, University of Edinburgh), the Natural History Museum (Tring) for access to, and advice about, their avian fossil-bone collection, Helen Talbot and Frances Sidgwick for running samples on the LC-MS at Newcastle University, and Huw Griffiths (BAS) for assistance with ARC-GIS. We thank Phil Trathan, Claire Waluda and three reviewers for their constructive comments.</t>
  </si>
  <si>
    <t>NATURE RESEARCH</t>
  </si>
  <si>
    <t>10.1038/ncomms14914</t>
  </si>
  <si>
    <t>ER5FJ</t>
  </si>
  <si>
    <t>WOS:000398826700001</t>
  </si>
  <si>
    <t>Liebrand, D; de Bakker, ATM; Beddow, HM; Wilson, PA; Bohaty, SM; Ruessink, G; Pälike, H; Batenburg, SJ; Hilgen, FJ; Hodell, DA; Huck, CE; Kroon, D; Raffi, I; Saes, MJM; van Dijk, AE; Lourens, LJ</t>
  </si>
  <si>
    <t>Liebrand, Diederik; de Bakker, Anouk T. M.; Beddow, Helen M.; Wilson, Paul A.; Bohaty, Steven M.; Ruessink, Gerben; Paelike, Heiko; Batenburg, Sietske J.; Hilgen, Frederik J.; Hodell, David A.; Huck, Claire E.; Kroon, Dick; Raffi, Isabella; Saes, Mischa J. M.; van Dijk, Arnold E.; Lourens, Lucas J.</t>
  </si>
  <si>
    <t>Evolution of the early Antarctic ice ages</t>
  </si>
  <si>
    <t>PROCEEDINGS OF THE NATIONAL ACADEMY OF SCIENCES OF THE UNITED STATES OF AMERICA</t>
  </si>
  <si>
    <t>unipolar icehouse; early Antarctic ice sheet; Oligocene-Miocene; glacial-interglacial cycle geometries; bispectral analysis</t>
  </si>
  <si>
    <t>STABLE-ISOTOPE; BREAKING WAVES; SHEET; VOLUME; TEMPERATURE; GLACIATION; TRANSITION; THICKNESS; RECORDS; CYCLES</t>
  </si>
  <si>
    <t>Understanding the stability of the early Antarctic ice cap in the geological past is of societal interest because present-day atmospheric CO2 concentrations have reached values comparable to those estimated for the Oligocene and the Early Miocene epochs. Here we analyze a new high-resolution deep-sea oxygen isotope (delta O-18) record from the South Atlantic Ocean spanning an interval between 30.1 My and 17.1 My ago. The record displays major oscillations in deep-sea temperature and Antarctic ice volume in response to the similar to 110-ky eccentricity modulation of precession. Conservative minimum ice volume estimates show that waxing and waning of at least similar to 85 to 110% of the volume of the present East Antarctic Ice Sheet is required to explain many of the similar to 110-ky cycles. Antarctic ice sheets were typically largest during repeated glacial cycles of the mid-Oligocene (similar to 28.0 My to similar to 26.3 My ago) and across the Oligocene-Miocene Transition (similar to 23.0 My ago). However, the high-amplitude glacial-interglacial cycles of the mid-Oligocene are highly symmetrical, indicating a more direct response to eccentricity modulation of precession than their Early Miocene counterparts, which are distinctly asymmetrical-indicative of prolonged ice buildup and delayed, but rapid, glacial terminations. We hypothesize that the long-term transition to a warmer climate state with sawtooth-shaped glacial cycles in the Early Miocene was brought about by subsidence and glacial erosion in West Antarctica during the Late Oligocene and/or a change in the variability of atmospheric CO2 levels on astronomical time scales that is not yet captured in existing proxy reconstructions.</t>
  </si>
  <si>
    <t>[Liebrand, Diederik; Wilson, Paul A.; Bohaty, Steven M.; Huck, Claire E.] Univ Southampton, Natl Oceanog Ctr Southampton, Southampton SO14 3ZH, Hants, England; [de Bakker, Anouk T. M.; Ruessink, Gerben] Univ Utrecht, Fac Geosci, Dept Phys Geog, NL-3508 TC Utrecht, Netherlands; [de Bakker, Anouk T. M.] Univ La Rochelle, Littoral Environm &amp; Soc, F-17042 La Rochelle, France; [Beddow, Helen M.; Hilgen, Frederik J.; Saes, Mischa J. M.; van Dijk, Arnold E.; Lourens, Lucas J.] Univ Utrecht, Fac Geosci, Dept Earth Sci, NL-3584 CD Utrecht, Netherlands; [Paelike, Heiko] Univ Bremen, Ctr Marine Environm Sci, D-28359 Bremen, Germany; [Batenburg, Sietske J.] Goethe Univ Frankfurt Main, Inst Geosci, D-60438 Frankfurt, Germany; [Batenburg, Sietske J.] Univ Oxford, Dept Earth Sci, Oxford OX1 3AN, England; [Hodell, David A.] Univ Cambridge, Dept Earth Sci, Cambridge CB2 3EQ, England; [Kroon, Dick] Univ Edinburgh, Grant Inst, Sch GeoSci, Edinburgh EH9 3FE, Midlothian, Scotland; [Raffi, Isabella] Univ G dAnnunzio, Dipartimento Ingn &amp; Geol, I-66013 Chieti, Italy</t>
  </si>
  <si>
    <t>University of Southampton; NERC National Oceanography Centre; Utrecht University; La Rochelle Universite; Utrecht University; University of Bremen; Goethe University Frankfurt; University of Oxford; University of Cambridge; University of Edinburgh; G d'Annunzio University of Chieti-Pescara</t>
  </si>
  <si>
    <t>Liebrand, D (corresponding author), Univ Southampton, Natl Oceanog Ctr Southampton, Southampton SO14 3ZH, Hants, England.</t>
  </si>
  <si>
    <t>diederik.liebrand@noc.soton.ac.uk</t>
  </si>
  <si>
    <t>Lieband, Diederik/AAT-2004-2021; Pälike, Heiko/A-6560-2008; Raffi, Isabella/AAY-5505-2020; Batenburg, Sietske J./AAD-6896-2019</t>
  </si>
  <si>
    <t>Lieband, Diederik/0000-0002-6925-7889; Pälike, Heiko/0000-0003-3386-0923; Raffi, Isabella/0000-0002-5192-7477; Batenburg, Sietske J./0000-0002-4076-1248; Wilson, Paul/0000-0001-6425-8906; Hodell, David/0000-0001-8537-1588; Ruessink, Gerben/0000-0001-9526-6087; Hilgen, Frits/0000-0002-5683-259X</t>
  </si>
  <si>
    <t>US National Science Foundation; European Research Council [215458, 617462]; Nederlandse organisatie voor Wetenschappelijk Onderzoek (NWO) [864.02.007, 865.10.001, 821.01.012]; Natural Environment Research Council (NERC) [NE/K014137/1]; Royal Society Wolfson award; Natural Environment Research Council [NE/K014137/1, NE/L007452/1] Funding Source: researchfish; NERC [NE/L007452/1] Funding Source: UKRI</t>
  </si>
  <si>
    <t>US National Science Foundation(National Science Foundation (NSF)); European Research Council(European Research Council (ERC)); Nederlandse organisatie voor Wetenschappelijk Onderzoek (NWO)(Netherlands Organization for Scientific Research (NWO)); Natural Environment Research Council (NERC)(UK Research &amp; Innovation (UKRI)Natural Environment Research Council (NERC)); Royal Society Wolfson award(Royal Society); Natural Environment Research Council(UK Research &amp; Innovation (UKRI)Natural Environment Research Council (NERC)); NERC(UK Research &amp; Innovation (UKRI)Natural Environment Research Council (NERC))</t>
  </si>
  <si>
    <t>We thank David Heslop and Lie-Liang Yang for insightful discussions and assistance. We are greatly indebted to the scientists and supporting staff of Ocean Drilling Program (ODP) Leg 208. We used samples provided by ODP, sponsored by the US National Science Foundation and participating countries under the management of the Joint Oceanographic Institutions. This research was made possible by European Research Council Grants 215458 (GTS-NEXT, to F.J.H.) and 617462 (EARTHSEQUENCING, to H.P.); Nederlandse organisatie voor Wetenschappelijk Onderzoek (NWO) Grants 864.02.007 (to L.J.L.), 865.10.001 (to L.J.L.), and 821.01.012 (to G.R.); Natural Environment Research Council (NERC) Grant NE/K014137/1 (to P.A.W.); and a Royal Society Wolfson award (to P.A.W.).</t>
  </si>
  <si>
    <t>NATL ACAD SCIENCES</t>
  </si>
  <si>
    <t>2101 CONSTITUTION AVE NW, WASHINGTON, DC 20418 USA</t>
  </si>
  <si>
    <t>0027-8424</t>
  </si>
  <si>
    <t>P NATL ACAD SCI USA</t>
  </si>
  <si>
    <t>Proc. Natl. Acad. Sci. U. S. A.</t>
  </si>
  <si>
    <t>10.1073/pnas.1615440114</t>
  </si>
  <si>
    <t>ER4RX</t>
  </si>
  <si>
    <t>Green Accepted, Green Published, Bronze</t>
  </si>
  <si>
    <t>WOS:000398789800040</t>
  </si>
  <si>
    <t>Watson, RA</t>
  </si>
  <si>
    <t>Watson, Reg A.</t>
  </si>
  <si>
    <t>A database of global marine commercial, small-scale, illegal and unreported fisheries catch 1950-2014</t>
  </si>
  <si>
    <t>SCIENTIFIC DATA</t>
  </si>
  <si>
    <t>Article; Data Paper</t>
  </si>
  <si>
    <t>IMPACTS; NATIONS</t>
  </si>
  <si>
    <t>Global fisheries landings data from a range of public sources was harmonised and mapped to 30-min spatial cells based on the distribution of the reported taxa and the fishing fleets involved. This data was extended to include the associated fishing gear used, as well as estimates of illegal, unregulated and unreported catch (IUU) and discards at sea. Expressed as catch rates, these results also separated small-scale fisheries from other fishing operations. The dataset covers 1950 to 2014 inclusive. Mapped catch allows study of the impacts of fisheries on habitats and fauna, on overlap with the diets of marine birds and mammals, and on the related use of fuels and release of greenhouse gases. The fine-scale spatial data can be aggregated to the exclusive economic zone claims of countries and will allow study of the value of landed marine products to their economies and food security, and to those of their trading partners.</t>
  </si>
  <si>
    <t>[Watson, Reg A.] Univ Tasmania, Inst Marine &amp; Antarctic Studies, Private Bag 49, Hobart, Tas 7001, Australia</t>
  </si>
  <si>
    <t>Watson, RA (corresponding author), Univ Tasmania, Inst Marine &amp; Antarctic Studies, Private Bag 49, Hobart, Tas 7001, Australia.</t>
  </si>
  <si>
    <t>rwatson@ecomarres.com</t>
  </si>
  <si>
    <t>Australian Research Council [DP140101377]</t>
  </si>
  <si>
    <t>Australian Research Council(Australian Research Council)</t>
  </si>
  <si>
    <t>The author acknowledges support from the Australian Research Council (Discovery project DP140101377).</t>
  </si>
  <si>
    <t>2052-4463</t>
  </si>
  <si>
    <t>SCI DATA</t>
  </si>
  <si>
    <t>Sci. Data</t>
  </si>
  <si>
    <t>10.1038/sdata.2017.39</t>
  </si>
  <si>
    <t>ET3BH</t>
  </si>
  <si>
    <t>WOS:000400151100001</t>
  </si>
  <si>
    <t>Yoon, YS; Anderson, T; Barrau, A; Conklin, NB; Coutu, S; Derome, L; Han, JH; Jeon, JA; Kim, KC; Kim, MH; Lee, HY; Lee, J; Lee, MH; Lee, SE; Link, JT; Menchaca-Rocha, A; Mitchell, JW; Mognet, SI; Nutter, S; Park, IH; Picot-Clemente, N; Putze, A; Seo, ES; Smith, J; Wu, J</t>
  </si>
  <si>
    <t>Yoon, Y. S.; Anderson, T.; Barrau, A.; Conklin, N. B.; Coutu, S.; Derome, L.; Han, J. H.; Jeon, J. A.; Kim, K. C.; Kim, M. H.; Lee, H. Y.; Lee, J.; Lee, M. H.; Lee, S. E.; Link, J. T.; Menchaca-Rocha, A.; Mitchell, J. W.; Mognet, S. I.; Nutter, S.; Park, I. H.; Picot-Clemente, N.; Putze, A.; Seo, E. S.; Smith, J.; Wu, J.</t>
  </si>
  <si>
    <t>Proton and Helium Spectra from the CREAM-III Flight</t>
  </si>
  <si>
    <t>ASTROPHYSICAL JOURNAL</t>
  </si>
  <si>
    <t>astroparticle physics; balloons; cosmic rays; methods: data analysis</t>
  </si>
  <si>
    <t>COSMIC-RAY PROTON; SUPERNOVA-REMNANTS; PARTICLE ACCELERATION; BALLOON EXPERIMENT; CHARGE DETECTOR; PERFORMANCE; CALORIMETER; INSTRUMENT; ENERGETICS; COMPONENT</t>
  </si>
  <si>
    <t>Primary cosmic-ray elemental spectra have been measured with the balloon-borne Cosmic Ray Energetics And Mass (CREAM) experiment since 2004. The third CREAM payload (CREAM-III) flew for 29 days during the 2007-2008 Antarctic season. Energies of incident particles above 1 TeV are measured with a calorimeter. Individual elements are clearly separated with a charge resolution of similar to 0.12 e (in charge units) and similar to 0.14 e for protons and helium nuclei, respectively, using two layers of silicon charge detectors. The measured proton and helium energy spectra at the top of the atmosphere are harder than other existing measurements at a few tens of GeV. The relative abundance of protons to helium nuclei is 9.53 +/- 0.03 for the range of 1 TeV/n. to 63 TeV/n. This ratio is considerably smaller than other measurements at a few tens of GeV/n. The spectra become softer above similar to 20 TeV. However, our statistical uncertainties are large at these energies and more data are needed.</t>
  </si>
  <si>
    <t>[Yoon, Y. S.; Han, J. H.; Kim, K. C.; Kim, M. H.; Lee, M. H.; Picot-Clemente, N.; Seo, E. S.; Smith, J.; Wu, J.] Univ Maryland, Inst Phys Sci &amp; Technol, College Pk, MD 20742 USA; [Anderson, T.; Conklin, N. B.; Coutu, S.; Mognet, S. I.] Penn State Univ, Dept Phys, University Pk, PA 16802 USA; [Barrau, A.; Derome, L.; Putze, A.] Lab Phys Subatom &amp; Cosmol, Grenoble, France; [Jeon, J. A.; Lee, H. Y.; Lee, J.; Park, I. H.] Sungkyunkwan Univ, Dept Phys, Suwon 16419, South Korea; [Link, J. T.; Mitchell, J. W.] NASA, Goddard Space Flight Ctr, Astrophys Space Div, Greenbelt, MD 20771 USA; [Menchaca-Rocha, A.] Univ Nacl Autonoma Mexico, Inst Fis, Mexico City, DF, Mexico; [Nutter, S.] Northern Kentucky Univ, Dept Phys, Highland Hts, KY 41099 USA; [Seo, E. S.] Univ Maryland, Dept Phys, College Pk, MD 20742 USA; [Yoon, Y. S.; Jeon, J. A.; Lee, M. H.] Inst for Basic Sci Korea, Ctr Underground Phys, Daejeon 34047, South Korea; [Conklin, N. B.] Gannon Univ, 109 Univ Sq, Erie, PA 16541 USA; [Link, J. T.] USRA, CRESST, Columbia, MD 21044 USA</t>
  </si>
  <si>
    <t>University System of Maryland; University of Maryland College Park; Pennsylvania Commonwealth System of Higher Education (PCSHE); Pennsylvania State University; Pennsylvania State University - University Park; Communaute Universite Grenoble Alpes; Institut National Polytechnique de Grenoble; Universite Grenoble Alpes (UGA); Centre National de la Recherche Scientifique (CNRS); Sungkyunkwan University (SKKU); National Aeronautics &amp; Space Administration (NASA); NASA Goddard Space Flight Center; Universidad Nacional Autonoma de Mexico; Northern Kentucky University; University System of Maryland; University of Maryland College Park; Institute for Basic Science - Korea (IBS); Gannon University</t>
  </si>
  <si>
    <t>Yoon, YS (corresponding author), Univ Maryland, Inst Phys Sci &amp; Technol, College Pk, MD 20742 USA.</t>
  </si>
  <si>
    <t>, ES/AAN-2324-2020; Yoon, Young Soo/O-8580-2014; Lee, Moo Hyun/AAK-4266-2020</t>
  </si>
  <si>
    <t>Yoon, Young Soo/0000-0001-7023-699X; Lee, Moo Hyun/0000-0002-4082-1677; Seo, Eun-Suk/0000-0001-8682-805X; Picot-Clemente, Nicolas/0009-0006-3034-7832</t>
  </si>
  <si>
    <t>U.S. by NASA grants [NNX11AC50G, NNX11AC52G]; Mexico by DGAPA-UNAM grant [IN109617]; Korea by the National Research Foundation grants [2015R1A2A1A01006870, 2015R1A2A1A15055344]; NASA in the U.S.; KICOS; Ministry of Science and Technology in Korea; IN2P3; CNRS; CNES in France; NASA [NNX11AC52G, NNX11AC50G, 147276, 148669] Funding Source: Federal RePORTER</t>
  </si>
  <si>
    <t>U.S. by NASA grants; Mexico by DGAPA-UNAM grant; Korea by the National Research Foundation grants; NASA in the U.S.; KICOS; Ministry of Science and Technology in Korea(Ministry of Science &amp; Technology (MOST), Republic of Korea); IN2P3; CNRS(Centre National de la Recherche Scientifique (CNRS)); CNES in France; NASA(National Aeronautics &amp; Space Administration (NASA))</t>
  </si>
  <si>
    <t>This work was supported in the U.S. by NASA grants NNX11AC50G, NNX11AC52G, and their predecessor grants, in Mexico by DGAPA-UNAM grant IN109617, and in Korea by the National Research Foundation grants ( No. 2015R1A2A1A01006870, and No. 2015R1A2A1A15055344). The authors thank NASA Wallops Flight Facility, Columbia Scientific Balloon Facility, and National Science Foundation Office of Polar Programs for the successful balloon launch, flight operations, and payload recovery. This work is supported by NASA in the U.S., KICOS and Ministry of Science and Technology in Korea, and IN2P3, CNRS, and CNES in France.</t>
  </si>
  <si>
    <t>0004-637X</t>
  </si>
  <si>
    <t>1538-4357</t>
  </si>
  <si>
    <t>ASTROPHYS J</t>
  </si>
  <si>
    <t>Astrophys. J.</t>
  </si>
  <si>
    <t>APR 10</t>
  </si>
  <si>
    <t>10.3847/1538-4357/aa68e4</t>
  </si>
  <si>
    <t>ER9CR</t>
  </si>
  <si>
    <t>WOS:000399122600001</t>
  </si>
  <si>
    <t>Ainley, DG; Crockett, EL; Eastman, JT; Fraser, WR; Nur, N; O'Brien, K; Salas, LA; Siniff, DB</t>
  </si>
  <si>
    <t>Ainley, David G.; Crockett, Elizabeth L.; Eastman, Joseph T.; Fraser, William R.; Nur, Nadav; O'Brien, Kristin; Salas, Leo A.; Siniff, Donald B.</t>
  </si>
  <si>
    <t>How overfishing a large piscine mesopredator explains growth in Ross Sea penguin populations: A framework to better understand impacts of a controversial fishery</t>
  </si>
  <si>
    <t>Adelie penguin; Antarctic toothfish; Mesopredator; Neutral buoyancy; Predation release; Trophic competition; Integral population models</t>
  </si>
  <si>
    <t>PLEURAGRAMMA-ANTARCTICUM PISCES; ADELIE PENGUIN; PYGOSCELIS-ADELIAE; MCMURDO SOUND; MARINE ECOSYSTEM; PACIFIC SECTOR; ICE; NOTOTHENIIDAE; TOOTHFISH; BEHAVIOR</t>
  </si>
  <si>
    <t>We herein review the modeling approach of Pinkerton et al. (2016, Ecol. Modelling), who tested the hypothesis that fishery depletion of large, neutrally buoyant Antarctic toothfish (Dissostichus mawsoni) was implicated in the recent increase in the southern Ross Sea population of Adelie penguins (Pygoscelis adeliae). Toothfish are a trophic competitor of penguins for Antarctic silverfish (Pleuragramma antarctica) in the southern Ross Sea, hence Ainley et al. (2013) and Lyver et al. (2014) proposed that the effect of the removal of toothfish was through predation release of silverfish. Pinkerton et al. concluded that predation release could not provide sufficient energy to sustain the observed penguin population growth. Critically, however, they failed to consider certain spatial and size-by-depth aspects of diet overlap, and mechanisms associated with population dynamics that could cause the population growth through predation release. In order to effectively test the prey release hypothesis, we suggest a strong inference path that incorporates what we know about population dynamics in penguins and Ross Sea food webs into life history parameterizations of penguins, toothfish and silverfish population dynamics models. (C) 2017 Elsevier B.V. All rights reserved.</t>
  </si>
  <si>
    <t>[Ainley, David G.] HT Harvey &amp; Associates Ecolog Consultants, Los Gatos, CA 95032 USA; [Crockett, Elizabeth L.] Ohio Univ, Dept Biol Sci, Athens, OH 45701 USA; [Eastman, Joseph T.] Ohio Univ, Dept Biomed Sci, Athens, OH 45701 USA; [Fraser, William R.] Polar Oceans Res Grp, Sheridan, MT 59749 USA; [Nur, Nadav; Salas, Leo A.] Point Blue Conservat Sci, Petaluma, CA 94954 USA; [O'Brien, Kristin] Univ Alaska, Inst Arctic Biol, Fairbanks, AK 99775 USA; [Siniff, Donald B.] Univ Minnesota, Dept Ecol Evolut &amp; Behav, St Paul, MN 55108 USA</t>
  </si>
  <si>
    <t>University System of Ohio; Ohio University; University System of Ohio; Ohio University; University of Alaska System; University of Alaska Fairbanks; University of Minnesota System; University of Minnesota Twin Cities</t>
  </si>
  <si>
    <t>Ainley, DG (corresponding author), HT Harvey &amp; Associates Ecolog Consultants, Los Gatos, CA 95032 USA.</t>
  </si>
  <si>
    <t>dainley@penguinscience.com</t>
  </si>
  <si>
    <t>Eastman, Joseph T./O-6150-2019</t>
  </si>
  <si>
    <t>Eastman, Joseph T./0000-0003-3868-261X</t>
  </si>
  <si>
    <t>U.S. National Science Foundation; NASA; NSF [ANT-0944411, ANT-0944694, PLR-1440435, PLR-1326167]; Detroit Zoological Society; Office of Polar Programs (OPP); Directorate For Geosciences [1543541] Funding Source: National Science Foundation</t>
  </si>
  <si>
    <t>U.S. National Science Foundation(National Science Foundation (NSF)); NASA(National Aeronautics &amp; Space Administration (NASA)); NSF(National Science Foundation (NSF)); Detroit Zoological Society; Office of Polar Programs (OPP); Directorate For Geosciences(National Science Foundation (NSF)NSF - Directorate for Geosciences (GEO))</t>
  </si>
  <si>
    <t>We thank the U.S. National Science Foundation and NASA for funding our and other's research increasing our understanding of the Ross Sea ecosystem, and the U.S. Antarctic Program for logistical support over the past few decades. DGA's time in preparing this paper was funded by NSF grants ANT-0944411 and ANT-0944694; and that of WRF: PLR-1440435, PLR-1326167 and the Detroit Zoological Society. We thank K Daly, K Dugger and two anonymous reviewers for the suggestions by which our ms was improved.</t>
  </si>
  <si>
    <t>10.1016/j.ecolmodel.2016.12.021</t>
  </si>
  <si>
    <t>EO8XJ</t>
  </si>
  <si>
    <t>WOS:000396973500008</t>
  </si>
  <si>
    <t>Suprenand, PM; Ainsworth, CH</t>
  </si>
  <si>
    <t>Suprenand, Paul Mark; Ainsworth, Cameron H.</t>
  </si>
  <si>
    <t>Trophodynamic effects of climate change-induced alterations to primary production along the western Antarctic Peninsula</t>
  </si>
  <si>
    <t>Antarctic warming; Trophodynamics; Climate change; Antarctic Peninsula; Ecosystem model; Ecopath with Ecosim</t>
  </si>
  <si>
    <t>CIRCUMPOLAR DEEP-WATER; GYMNOSOMATOUS PTEROPODS; FOOD-WEB; MODELS; ECOSYSTEMS; SHELF; KRILL; SEA; ACIDIFICATION; ZOOPLANKTON</t>
  </si>
  <si>
    <t>Under climate change, alterations in primary production and concomitant changes in community dynamics are expected in many marine ecosystems. We used an Ecopath with Ecosim (EwE) marine ecosystem model of the western Antarctic Peninsula to simulate effects on the food web based on proposed changes in the primary production regime expected as a result of climate change. Scenarios for trophic modeling are based on published results from coupled high-resolution regional ocean sea-ice and ice-shelf models, which consider alterations in water circulation from westerly wind intensification, increases in circumpolar deep water upwelling, iron up welling, and decreases in sea-ice extent. Modeling scenarios included 6, 15, and 41% increases in phytoplankton production with equivalent percentage decreases in ice algal production, and 1 scenario with 15% increase for phytoplankton with no change for ice algae. These scenarios were achieved through linear forcing functions within the EwE software. We framed ecosystem changes in terms of biomass, species diversity, mean trophic level, trophodynamics, and network metrics. Simulations revealed that in each scenario, mean trophic level increased, species diversity generally decreased, and energetic pathways were reorganized. Modeled changes in the planktonic invertebrate assemblage include changes in 2 key competitors, krill and salps. For example, model results predict declines in krill biomass with concomitant increases in salp biomass. In all scenarios that assumed a negative change in ice-algae production rates due to sea-ice habitat loss, whale, seal, and penguin populations were negatively affected. Changes in ecosystem structure in this sensitive region may serve as an indicator of changes expected in the Southern Ocean.</t>
  </si>
  <si>
    <t>[Suprenand, Paul Mark; Ainsworth, Cameron H.] Univ S Florida, Coll Marine Sci, 140 7th Ave South, St Petersburg, FL 33701 USA; [Suprenand, Paul Mark] Mote Marine Lab, 1600 Ken Thompson Pkwy, Sarasota, FL 34236 USA</t>
  </si>
  <si>
    <t>State University System of Florida; University of South Florida; Mote Marine Laboratory &amp; Aquarium</t>
  </si>
  <si>
    <t>Suprenand, PM (corresponding author), Univ S Florida, Coll Marine Sci, 140 7th Ave South, St Petersburg, FL 33701 USA.;Suprenand, PM (corresponding author), Mote Marine Lab, 1600 Ken Thompson Pkwy, Sarasota, FL 34236 USA.</t>
  </si>
  <si>
    <t>psuprenand@mote.org</t>
  </si>
  <si>
    <t>Ainsworth, Cameron H/E-8507-2011</t>
  </si>
  <si>
    <t>APR 7</t>
  </si>
  <si>
    <t>10.3354/meps12100</t>
  </si>
  <si>
    <t>ET5RZ</t>
  </si>
  <si>
    <t>WOS:000400344700004</t>
  </si>
  <si>
    <t>Dittrich, VAD; Salino, A; Monteiro, R; De Gasper, AL</t>
  </si>
  <si>
    <t>De Oliveira Dittrich, Vinicius Antonio; Salino, Alexandre; Monteiro, Reinaldo; De Gasper, Andre Luis</t>
  </si>
  <si>
    <t>The family Blechnaceae (Polypodiopsida) in Brazil: key to the genera and taxonomic treatment of Austroblechnum, Cranfillia, Lomaridium, Neoblechnum and Telmatoblechnum for southern and southeastern Brazil</t>
  </si>
  <si>
    <t>Aspleniineae; eupolypods II; ferns; pteridophytes; taxonomy</t>
  </si>
  <si>
    <t>BLECHNUM BLECHNACEAE; CLASSIFICATION; PHYLOGENY; FERNS</t>
  </si>
  <si>
    <t>A taxonomic study of the fern genera Austroblechnum, Cranfillia, Neoblechnum, Lomaridium, and Telmatoblechnum, formerly Blechnum s. l. (Blechnaceae, Polypodiopsida), was conducted in southern and southeastern Brazil (Minas Gerais, Espirito Santo, Rio de Janeiro, Sao Paulo, Parana, Santa Catarina, and Rio Grande do Sul) and 11 species were recognized (six of Austroblechnum, two of Cranfillia, one of Neoblechnum, one of Lomaridium, and one of Telmatoblechnum). One species has a circum-Antarctic distribution (plus Mexico), three species have a broadly Neotropical distribution, six species are restricted or almost restricted to South America and one is endemic to Brazil. New records are presented for six species in states from southeastern Brazil, in other regions of the country, as well as in other countries. Taxonomic descriptions, synonymies, lectotypifications, geographical distributions, and comments are presented for all genera and species occurring in the study area. We also give keys for the identification of Brazilian genera of Blechnaceae and for species of the genera treated here.</t>
  </si>
  <si>
    <t>Univ Estadual Paulista, Curso Posgrad Biol Vegetal, Campus Rio Claro, Rio Claro, SP, Brazil; [De Oliveira Dittrich, Vinicius Antonio] Univ Fed Juiz de Fora, Inst Ciencias Biol, Dept Bot, Rua Jose Lourenco Kelmer,S-N Campus Univ, BR-36036900 Juiz De Fora, MG, Brazil; [Salino, Alexandre] Univ Fed Minas Gerais, Inst Ciencias Biol, Dept Bot, Caixa Postal 486, BR-30123970 Belo Horizonte, MG, Brazil; [Monteiro, Reinaldo] Univ Estadual Paulista, Inst Biociencias, Dept Bot, Ave 24A,1515,Bela Vista,Caixa Postal 199, BR-13506900 Rio Claro, SP, Brazil; [De Gasper, Andre Luis] Univ Reg Blumenau, Dept Ciencias Nat, Rua Antonio da Veiga,140, BR-89012900 Blumenau, SC, Brazil</t>
  </si>
  <si>
    <t>Universidade Estadual Paulista; Universidade Federal de Juiz de Fora; Universidade Federal de Minas Gerais; Universidade Estadual Paulista; Universidade Regional de Blumenau (FURB)</t>
  </si>
  <si>
    <t>Dittrich, VAD (corresponding author), Univ Fed Juiz de Fora, Inst Ciencias Biol, Dept Bot, Rua Jose Lourenco Kelmer,S-N Campus Univ, BR-36036900 Juiz De Fora, MG, Brazil.</t>
  </si>
  <si>
    <t>vinarc@gmail.com; salinobh@gmail.com; monteiro.reinaldo@gmail.com; algasper@gmail.com</t>
  </si>
  <si>
    <t>Gasper, André Luís de/D-2563-2013; Dittrich, Vinícius A. O./H-3629-2012; Salino, Alexandre/I-3012-2015</t>
  </si>
  <si>
    <t>Gasper, André Luís de/0000-0002-1940-9581; Salino, Alexandre/0000-0003-0104-7524</t>
  </si>
  <si>
    <t>Margaret Mee Foundation; CNPq/Reflora program; CAPES; Fundacao O Boticario de Protecao a Natureza; Fapemig; CNPq</t>
  </si>
  <si>
    <t>Margaret Mee Foundation; CNPq/Reflora program; CAPES(Coordenacao de Aperfeicoamento de Pessoal de Nivel Superior (CAPES)); Fundacao O Boticario de Protecao a Natureza; Fapemig(Fundacao de Amparo a Pesquisa do Estado de Minas Gerais (FAPEMIG)); CNPq(Conselho Nacional de Desenvolvimento Cientifico e Tecnologico (CNPQ))</t>
  </si>
  <si>
    <t>We thank the Margaret Mee Foundation for the scholarship provided to the senior author to visit European herbaria and the CNPq/Reflora program for financial support, all curators from the herbaria cited in the text, CAPES for the scholarship provided to the senior author for three years, Fundacao O Boticario de Protecao a Natureza and Fapemig for financial support, CNPq for grants to A. Salino, Luiz Menini Neto for drawing the illustrations, Carlos Sanchez, Paulo Henrique Labiak and Alan R. Smith for useful suggestions to the text, Rosana Moreno Senna for sending photos of specimens from Rio Grande do Sul state, Jefferson Prado and Marcos Sobral for helping with some nomenclatural issues. This is part of the senior author's doctoral dissertation, carried out at the Curso de pos-graduacao em Biologia Vegetal, Universidade Estadual Paulista Julio de Mesquita Filho, campus de Rio Claro, Sao Paulo.</t>
  </si>
  <si>
    <t>250F Marua Road Mt Wellington, AUCKLAND, ST LUKES 1023, NEW ZEALAND</t>
  </si>
  <si>
    <t>10.11646/phytotaxa.303.1.1</t>
  </si>
  <si>
    <t>ES3GV</t>
  </si>
  <si>
    <t>WOS:000399418700001</t>
  </si>
  <si>
    <t>Pudasaini, S; Wilson, J; Ji, M; van Dorst, J; Snape, I; Palmer, AS; Burns, BP; Ferrari, BC</t>
  </si>
  <si>
    <t>Pudasaini, Sarita; Wilson, John; Ji, Mukan; van Dorst, Josie; Snape, Ian; Palmer, Anne S.; Burns, Brendan P.; Ferrari, Belinda C.</t>
  </si>
  <si>
    <t>Microbial Diversity of Browning Pennisula, Eastern Antarctica Revealed Using Molecular and Cultivation Methods</t>
  </si>
  <si>
    <t>antarctic soil; frost boils; bacterial diversity; fungal diversity; cultivation</t>
  </si>
  <si>
    <t>COMMUNITY COMPOSITION; BACTERIAL DIVERSITY; WINDMILL ISLANDS; FUNGAL DIVERSITY; SOIL; SEQUENCE; BIODIVERSITY; REGION; ACTINOBACTERIA; IDENTIFICATION</t>
  </si>
  <si>
    <t>Browning Peninsula is an ice-free polar desert situated in the Windmill Islands, Eastern Antarctica. The entire site is described as a barren landscape, comprised of frost boils with soils dominated by microbial life. In this study, we explored the microbial diversity and edaphic drivers of community structure across this site using traditional cultivation methods, a novel approach the soil substrate membrane system (SSMS), and culture-independent 454-tag pyrosequencing. The measured soil environmental and microphysical factors of chlorine, phosphate, aspect and elevation were found to be significant drivers of the bacterial community, while none of the soil parameters analyzed were significantly correlated to the fungal community. Overall, Browning Peninsula soil harbored a distinctive microbial community in comparison to other Antarctic soils comprised of a unique bacterial diversity and extremely limited fungal diversity. Tag pyrosequencing data revealed the bacterial community to be dominated by Actinobacteria (36%), followed by Chloroflexi (18%), Cyanobacteria (14%), and Proteobacteria (10%). For fungi, Ascomycota (97%) dominated the soil microbiome, followed by Basidiomycota. As expected the diversity recovered from culture-based techniques was lower than that detected using tag sequencing. However, in the SSMS enrichments, that mimic the natural conditions for cultivating oligophilic k-selected bacteria, a larger proportion of rare bacterial taxa (15%), such as Blastococcus, Devosia, Herbaspirillum, Propionibacterium and Methylocella and fungal (11%) taxa, such as Nigrospora, Exophiala, Hortaea, and Penidiella were recovered at the genus level. At phylum level, a comparison of OTU's showed that the SSMS shared 21% of Acidobacteria, 11% of Actinobacteria and 10% of Proteobacteria OTU's with soil. For fungi, the shared OTUs was 4% ( Basidiomycota) and &lt;0.5%( Ascomycota). This was the first known attempt to culture microfungi using the SSMS which resulted in an increase in diversity from 14 to 57 microfungi OTUs compared to standard cultivation. Furthermore, the SSMS offers the opportunity to retrieve a greater diversity of bacterial and fungal taxa for future exploitation.</t>
  </si>
  <si>
    <t>[Pudasaini, Sarita; Wilson, John; Ji, Mukan; van Dorst, Josie; Burns, Brendan P.; Ferrari, Belinda C.] Univ New South Wales, Sch Biotechnol &amp; Biomol Sci, Kensington, NSW, Australia; [Snape, Ian; Palmer, Anne S.] Dept Sustainabil Environm Water Populat &amp; Communi, Australian Antarctic Div, Kingston, Tas, Australia</t>
  </si>
  <si>
    <t>University of New South Wales Sydney; Australian Antarctic Division</t>
  </si>
  <si>
    <t>Ferrari, BC (corresponding author), Univ New South Wales, Sch Biotechnol &amp; Biomol Sci, Kensington, NSW, Australia.</t>
  </si>
  <si>
    <t>b.ferrari@unsw.edu.au</t>
  </si>
  <si>
    <t>BURNS, BRENDAN P/B-5093-2009; Ferrari, Belinda/AAI-3022-2020; Ji, Mukan/AAI-5743-2020</t>
  </si>
  <si>
    <t>Ferrari, Belinda/0000-0001-5043-3726; BURNS, BRENDAN/0000-0002-2962-2597; van Dorst, Josie/0000-0002-9353-8787; Ji, Mukan/0000-0001-8139-2875</t>
  </si>
  <si>
    <t>UNSW Australia; UNSW Sydney</t>
  </si>
  <si>
    <t>The authors would like to thank the Australian Antarctic Division and field team for collecting soil samples from Browning Peninsula, Antarctica and UNSW Australia and Sydney for financial support.</t>
  </si>
  <si>
    <t>10.3389/fmicb.2017.00591</t>
  </si>
  <si>
    <t>ER2IL</t>
  </si>
  <si>
    <t>WOS:000398617400001</t>
  </si>
  <si>
    <t>Saunders, RA; Collins, MA; Stowasser, G; Tarling, GA</t>
  </si>
  <si>
    <t>Saunders, Ryan A.; Collins, Martin A.; Stowasser, Gabriele; Tarling, Geraint A.</t>
  </si>
  <si>
    <t>Southern Ocean mesopelagic fish communities in the Scotia Sea are sustained by mass immigration</t>
  </si>
  <si>
    <t>Myctophidae; Expatriate; Food-webs; Population dynamics; Recruitment</t>
  </si>
  <si>
    <t>WESTERN NORTH PACIFIC; MYCTOPHID FISH; ELECTRONA-ANTARCTICA; FAMILY MYCTOPHIDAE; PELAGIC FISHES; DIAPHUS-THETA; BAY-REGION; GROWTH; DIET; TROPHODYNAMICS</t>
  </si>
  <si>
    <t>The biomass of mesopelagic fish in the Southern Ocean is one of the largest of any ocean region and is dominated (both in terms of diversity and biomass) by myctophids (lantern-fish). Despite their high ecological importance both in this region and globally, our understanding of the life cycles and distribution of myctophids remains limited. We examined length-frequency data from trawl nets collected across a major sector of the Southern Ocean (the Scotia-Weddell sector) in different seasons to determine patterns of recruitment and growth. There was an absence of larval myctophids, of any species, in net catches, while larger, older individuals became increasingly dominant with increasing latitude. Very few specimens were found to contain mature gonads, indicating that individuals do not reach reproductive condition in this region. Most myctophid species that occurred within the survey regions neither recruited locally nor were self-supporting. Myctophids are prey to a large number of higher predators (penguins, seals and cetaceans) in the Scotia Sea, and are a major predator of zooplankton and krill. We show that this vital part of the Southern Ocean food-web is dependent on mass immigration from lower latitudes in the region. By implication, the sensitivities of this system depend not only on local conditions but also on levels of connectivity to other oceanic regions.</t>
  </si>
  <si>
    <t>[Saunders, Ryan A.; Stowasser, Gabriele; Tarling, Geraint A.] British Antarctic Survey, Nat Environm Res Council, Madingley Rd, Cambridge CB3 0ET, England; [Collins, Martin A.] Univ Aberdeen, Inst Biol &amp; Environm Sci, Tillydrone Ave, Aberdeen AB24 2TZ, Scotland; [Collins, Martin A.] Ctr Environm Fisheries &amp; Aquaculture Sci, Pakefield Rd, Lowestoft NR33 0HT, Suffolk, England</t>
  </si>
  <si>
    <t>UK Research &amp; Innovation (UKRI); Natural Environment Research Council (NERC); NERC British Antarctic Survey; University of Aberdeen; Centre for Environment Fisheries &amp; Aquaculture Science</t>
  </si>
  <si>
    <t>Saunders, RA (corresponding author), British Antarctic Survey, Nat Environm Res Council, Madingley Rd, Cambridge CB3 0ET, England.</t>
  </si>
  <si>
    <t>ryaund@bas.ac.uk</t>
  </si>
  <si>
    <t>Collins, Martin A/J-8560-2017; , Martin/ABE-6728-2020</t>
  </si>
  <si>
    <t>, Martin/0000-0001-7132-8650; Stowasser, Gabriele/0000-0002-0595-0772</t>
  </si>
  <si>
    <t>UK's Natural Environment Research Council; NERC [bas0100035] Funding Source: UKRI; Natural Environment Research Council [bas0100035] Funding Source: researchfish</t>
  </si>
  <si>
    <t>UK's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</si>
  <si>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The work was funded by the UK's Natural Environment Research Council in its support of the Ecosystems programme at the British Antarctic Survey. The officers, crew and scientists of the RRS 'James Clark Ross' made a substantial contribution to the fieldwork and Emma Foster assisted with lab work. We thank V. Laptikhovsky for locating and translating several Soviet research publications, and P. Ward and C. Liszka for the analysis of zooplankton net samples.</t>
  </si>
  <si>
    <t>10.3354/meps12093</t>
  </si>
  <si>
    <t>WOS:000400344700013</t>
  </si>
  <si>
    <t>Yu, LJ; Zhong, SY; Winkler, JA; Zhou, MY; Lenschow, DH; Li, BR; Wang, XQ; Yang, QH</t>
  </si>
  <si>
    <t>Yu, Lejiang; Zhong, Shiyuan; Winkler, Julie A.; Zhou, Mingyu; Lenschow, Donald H.; Li, Bingrui; Wang, Xianqiao; Yang, Qinghua</t>
  </si>
  <si>
    <t>Possible connections of the opposite trends in Arctic and Antarctic sea-ice cover</t>
  </si>
  <si>
    <t>SATELLITE DATA; VARIABILITY; IMPACTS; OSCILLATION; CIRCULATION; PENINSULA; OCEAN</t>
  </si>
  <si>
    <t>Sea ice is an important component of the global climate system and a key indicator of climate change. A decreasing trend in Arctic sea-ice concentration is evident in recent years, whereas Antarctic sea-ice concentration exhibits a generally increasing trend. Various studies have investigated the underlying causes of the observed trends for each region, but possible linkages between the regional trends have not been studied. Here, we hypothesize that the opposite trends in Arctic and Antarctic sea-ice concentration may be linked, at least partially, through interdecadal variability of the Pacific Decadal Oscillation (PDO) and the Atlantic Multidecadal Oscillation (AMO). Although evaluation of this hypothesis is constrained by the limitations of the sea-ice cover record, preliminary statistical analyses of one short-term and two long-term time series of observed and reanalysis sea-ice concentrations data suggest the possibility of the hypothesized linkages. For all three data sets, the leading mode of variability of global sea-ice concentration is positively correlated with the AMO and negatively correlated with the PDO. Two wave trains related to the PDO and the AMO appear to produce anomalous surface-air temperature and low-level wind fields in the two polar regions that contribute to the opposite changes in sea-ice concentration.</t>
  </si>
  <si>
    <t>[Yu, Lejiang; Zhou, Mingyu; Li, Bingrui] Polar Res Inst China, Shanghai, Peoples R China; [Yu, Lejiang; Li, Bingrui] State Ocean Adm Key Lab Polar Sci, Shanghai, Peoples R China; [Yu, Lejiang; Zhong, Shiyuan; Winkler, Julie A.] Michigan State Univ, Dept Geog Environm &amp; Spatial Sci, E Lansing, MI 48824 USA; [Zhou, Mingyu; Wang, Xianqiao; Yang, Qinghua] Natl Marine Environm Forecast Ctr, Key Lab Res Marine Hazards Forecast, Beijing, Peoples R China; [Lenschow, Donald H.] Natl Ctr Atmospher Res, POB 3000, Boulder, CO 80307 USA</t>
  </si>
  <si>
    <t>Polar Research Institute of China; Michigan State University; National Marine Environmental Forecasting Center; National Center Atmospheric Research (NCAR) - USA</t>
  </si>
  <si>
    <t>Yu, LJ (corresponding author), Polar Res Inst China, Shanghai, Peoples R China.;Yu, LJ (corresponding author), State Ocean Adm Key Lab Polar Sci, Shanghai, Peoples R China.;Yu, LJ (corresponding author), Michigan State Univ, Dept Geog Environm &amp; Spatial Sci, E Lansing, MI 48824 USA.</t>
  </si>
  <si>
    <t>yulejiang@sina.com</t>
  </si>
  <si>
    <t>Wang, Xianqiao/E-5252-2010; LIU, JIALIN/JXN-8034-2024</t>
  </si>
  <si>
    <t>Chinese Polar Environment Comprehensive Investigation &amp; Evaluation Program [CHINARE2017-04-04]; National Natural Science Foundation of China [41175010, 41376005, 41106164]; AgBioResearch of Michigan State University; US National Science Foundation</t>
  </si>
  <si>
    <t>Chinese Polar Environment Comprehensive Investigation &amp; Evaluation Program; National Natural Science Foundation of China(National Natural Science Foundation of China (NSFC)); AgBioResearch of Michigan State University; US National Science Foundation(National Science Foundation (NSF))</t>
  </si>
  <si>
    <t>This study was supported by The Chinese Polar Environment Comprehensive Investigation &amp; Evaluation Program under contract (No. CHINARE2017-04-04) and the National Natural Science Foundation of China (grant no. 41175010, 41376005, 41106164). Partial support for Zhong is provided by AgBioResearch of Michigan State University. The US National Center for Atmospheric Research is sponsored by the US National Science Foundation.</t>
  </si>
  <si>
    <t>APR 5</t>
  </si>
  <si>
    <t>10.1038/srep45804</t>
  </si>
  <si>
    <t>EQ9CT</t>
  </si>
  <si>
    <t>WOS:000398382600001</t>
  </si>
  <si>
    <t>Kuttippurath, J; Nair, PJ</t>
  </si>
  <si>
    <t>Kuttippurath, Jayanarayanan; Nair, Prijitha J.</t>
  </si>
  <si>
    <t>The signs of Antarctic ozone hole recovery</t>
  </si>
  <si>
    <t>STRATOSPHERIC OZONE; DEPLETION; PROFILES; COLUMN; IMPACT; TREND</t>
  </si>
  <si>
    <t>Absorption of solar radiation by stratospheric ozone affects atmospheric dynamics and chemistry, and sustains life on Earth by preventing harmful radiation from reaching the surface. Significant ozone losses due to increases in the abundances of ozone depleting substances (ODSs) were first observed in Antarctica in the 1980s. Losses deepened in following years but became nearly flat by around 2000, reflecting changes in global ODS emissions. Here we show robust evidence that Antarctic ozone has started to recover in both spring and summer, with a recovery signal identified in springtime ozone profile and total column measurements at 99% confidence for the first time. Continuing recovery is expected to impact the future climate of that region. Our results demonstrate that the Montreal Protocol has indeed begun to save the Antarctic ozone layer.</t>
  </si>
  <si>
    <t>[Kuttippurath, Jayanarayanan; Nair, Prijitha J.] Indian Inst Technol, CORAL, Kharagpur 721302, W Bengal, India; [Kuttippurath, Jayanarayanan] UPMC Univ Paris 06, LATMOS CNRS, Paris, France; [Nair, Prijitha J.] Ctr Earth Sci Studies, Thiruvananthapuram, Kerala, India</t>
  </si>
  <si>
    <t>Indian Institute of Technology System (IIT System); Indian Institute of Technology (IIT) - Kharagpur; Universite Paris Saclay; Sorbonne Universite; Centre National de la Recherche Scientifique (CNRS); Ministry of Earth Sciences (MoES) - India; National Centre for Earth Science Studies (NCESS)</t>
  </si>
  <si>
    <t>Kuttippurath, J (corresponding author), Indian Inst Technol, CORAL, Kharagpur 721302, W Bengal, India.;Kuttippurath, J (corresponding author), UPMC Univ Paris 06, LATMOS CNRS, Paris, France.</t>
  </si>
  <si>
    <t>jayan@coral.iitkgp.ernet.in</t>
  </si>
  <si>
    <t>G., Prijitha R./AGH-9999-2022; Kuttippurath, Jayanarayanan/M-2878-2019</t>
  </si>
  <si>
    <t>G., Prijitha R./0000-0002-7768-5154; Kuttippurath, Jayanarayanan/0000-0003-4073-8918</t>
  </si>
  <si>
    <t>APR 3</t>
  </si>
  <si>
    <t>10.1038/s41598-017-00722-7</t>
  </si>
  <si>
    <t>EQ5PU</t>
  </si>
  <si>
    <t>WOS:000398135900003</t>
  </si>
  <si>
    <t>Bierma, J</t>
  </si>
  <si>
    <t>Bierma, Jan</t>
  </si>
  <si>
    <t>Characterization of cold adaptation in Antarctic toothfish eye lens proteins</t>
  </si>
  <si>
    <t>ABSTRACTS OF PAPERS OF THE AMERICAN CHEMICAL SOCIETY</t>
  </si>
  <si>
    <t>253rd National Meeting of the American-Chemical-Society (ACS) on Advanced Materials, Technologies, Systems, and Processes</t>
  </si>
  <si>
    <t>APR 02-06, 2017</t>
  </si>
  <si>
    <t>San Francisco, CA</t>
  </si>
  <si>
    <t>[Bierma, Jan] Univ Calif Irvine, Mol Biol &amp; Biochem, Irvine, CA USA</t>
  </si>
  <si>
    <t>University of California System; University of California Irvine</t>
  </si>
  <si>
    <t>jbierma@uci.edu</t>
  </si>
  <si>
    <t>0065-7727</t>
  </si>
  <si>
    <t>ABSTR PAP AM CHEM S</t>
  </si>
  <si>
    <t>Abstr. Pap. Am. Chem. Soc.</t>
  </si>
  <si>
    <t>APR 2</t>
  </si>
  <si>
    <t>GD5TC</t>
  </si>
  <si>
    <t>WOS:000430568501064</t>
  </si>
  <si>
    <t>Le Cras, S; Hermanson, M; Nikulina, A</t>
  </si>
  <si>
    <t>Le Cras, Sydney; Hermanson, Mark; Nikulina, Anna</t>
  </si>
  <si>
    <t>Gas-phase mercury cycles during May at urban/industrial sites on Svalbard</t>
  </si>
  <si>
    <t>[Le Cras, Sydney] Calif Polytech State Univ San Luis Obispo, Environm Sci, Mooresville, NC USA; [Le Cras, Sydney; Hermanson, Mark] Univ Ctr Svalbard, Minneapolis, MN USA; [Nikulina, Anna] Arctic &amp; Antarctic Res Inst, St Petersburg, Russia</t>
  </si>
  <si>
    <t>Arctic &amp; Antarctic Research Institute</t>
  </si>
  <si>
    <t>slecras@calpoly.edu</t>
  </si>
  <si>
    <t>GD5TH</t>
  </si>
  <si>
    <t>WOS:000430569101312</t>
  </si>
  <si>
    <t>McKnight, D</t>
  </si>
  <si>
    <t>McKnight, Diane</t>
  </si>
  <si>
    <t>From the Antarctic to the Arctic: An expeditionary approach to the environmental chemistry and reactivity of dissolved organic matter</t>
  </si>
  <si>
    <t>[McKnight, Diane] Univ Colorado, INSTAAR, Boulder, CO 80309 USA</t>
  </si>
  <si>
    <t>diane.mcknight@colorado.edu</t>
  </si>
  <si>
    <t>WOS:000430569100719</t>
  </si>
  <si>
    <t>Yabuta, H</t>
  </si>
  <si>
    <t>Yabuta, Hikaru</t>
  </si>
  <si>
    <t>Chemical evolution of organic materials from protoplanetary disk to small bodies recorded in Antarctic micrometeorites</t>
  </si>
  <si>
    <t>[Yabuta, Hikaru] Osaka Univ, Osaka, Japan</t>
  </si>
  <si>
    <t>Osaka University</t>
  </si>
  <si>
    <t>hyabuta@ess.sci.osaka-u.ac.jp</t>
  </si>
  <si>
    <t>WOS:000430569106305</t>
  </si>
  <si>
    <t>Manucharyan, GE; Thompson, AF; Spall, MA</t>
  </si>
  <si>
    <t>Manucharyan, Georgy E.; Thompson, Andrew F.; Spall, Michael A.</t>
  </si>
  <si>
    <t>Eddy Memory Mode of Multidecadal Variability in Residual-Mean Ocean Circulations with Application to the Beaufort Gyre</t>
  </si>
  <si>
    <t>ANTARCTIC CIRCUMPOLAR CURRENT; ARCTIC-OCEAN; MESOSCALE EDDIES; SOUTHERN-OCEAN; TRANSPORT; SURFACE; EQUILIBRATION; CURRENTS; SCALES</t>
  </si>
  <si>
    <t>Mesoscale eddies shape the Beaufort Gyre response to Ekman pumping, but their transient dynamics are poorly understood. Climate models commonly use the Gent-McWilliams (GM) parameterization, taking the eddy streamfunction psi* to be proportional to an isopycnal slope s and an eddy diffusivity K. This local-in-time parameterization leads to exponential equilibration of currents. Here, an idealized, eddy-resolving Beaufort Gyre model is used to demonstrate that psi* carries a finite memory of past ocean states, violating a key GM assumption. As a consequence, an equilibrating gyre follows a spiral sink trajectory implying the existence of a damped mode of variability-the eddy memory (EM) mode. The EM mode manifests during the spinup as a 15% overshoot in isopycnal slope (2000 km(3) freshwater content overshoot) and cannot be explained by the GM parameterization. An improved parameterization is developed, such that psi* is proportional to an effective isopycnal slope s*, carrying a finite memory gamma of past slopes. Introducing eddy memory explains the model results and brings to light an oscillation with a period 2 pi root T-E gamma approximate to 50 yr, where the eddy diffusion time scale T-E similar to 10 yr and gamma approximate to 6 yr are diagnosed from the eddy-resolving model. The EM mode increases the Ekman-driven gyre variance by gamma/T-E approximate to 50% +/- 15%, a fraction that stays relatively constant despite both time scales decreasing with increased mean forcing. This study suggests that the EM mode is a general property of rotating turbulent flows and highlights the need for better observational constraints on transient eddy field characteristics.</t>
  </si>
  <si>
    <t>[Manucharyan, Georgy E.; Thompson, Andrew F.] CALTECH, Div Geol &amp; Planetary Sci, Pasadena, CA 91125 USA; [Spall, Michael A.] Woods Hole Oceanog Inst, Dept Phys Oceanog, Woods Hole, MA 02543 USA</t>
  </si>
  <si>
    <t>California Institute of Technology; Woods Hole Oceanographic Institution</t>
  </si>
  <si>
    <t>Manucharyan, GE (corresponding author), CALTECH, Div Geol &amp; Planetary Sci, Pasadena, CA 91125 USA.</t>
  </si>
  <si>
    <t>gmanuch@caltech.edu</t>
  </si>
  <si>
    <t>Spall, Michael A/F-9001-2010</t>
  </si>
  <si>
    <t>Manucharyan, Georgy/0000-0001-7959-2675; Spall, Michael/0000-0003-1966-3122</t>
  </si>
  <si>
    <t>Stanback Postdoctoral Fellowship Fund at Caltech; Howland Postdoctoral Program Fund at WHOI; NSF [PLR-1415489, OCE-1232389, OCE-1235488, ACI-1053575]; NSF OPP Award [PLR-1313614, PLR-1203720]; Directorate For Geosciences; Office of Polar Programs (OPP) [1415489] Funding Source: National Science Foundation</t>
  </si>
  <si>
    <t>Stanback Postdoctoral Fellowship Fund at Caltech; Howland Postdoctoral Program Fund at WHOI; NSF(National Science Foundation (NSF)); NSF OPP Award; Directorate For Geosciences; Office of Polar Programs (OPP)(National Science Foundation (NSF)NSF - Directorate for Geosciences (GEO))</t>
  </si>
  <si>
    <t>GEM acknowledges the Stanback Postdoctoral Fellowship Fund at Caltech and the Howland Postdoctoral Program Fund at WHOI. MAS was supported by NSF Grants PLR-1415489 and OCE-1232389. AFT acknowledges support from NSF OCE-1235488. GEM thanks Glenn Flierl for discussions during the 2014 Geophysical Fluid Dynamics Summer School at WHOI. The authors acknowledge the high-performance computing support from Yellowstone provided by the NCAR CIS Laboratory, sponsored by the NSF. This work used the Extreme Science and Engineering Discovery Environment (XSEDE; Towns et al. 2014), which is supported by NSF Grant Number ACI-1053575. The manuscript benefited from discussions at the annual Forum for Arctic Modeling and Observing Synthesis (FAMOS) funded by the NSF OPP Awards PLR-1313614 and PLR-1203720.</t>
  </si>
  <si>
    <t>APR</t>
  </si>
  <si>
    <t>10.1175/JPO-D-16-0194.1</t>
  </si>
  <si>
    <t>FU3RB</t>
  </si>
  <si>
    <t>WOS:000423768300004</t>
  </si>
  <si>
    <t>Robel, AA; Tsai, VC; Minchew, B; Simons, M</t>
  </si>
  <si>
    <t>Robel, Alexander A.; Tsai, Victor C.; Minchew, Brent; Simons, Mark</t>
  </si>
  <si>
    <t>Tidal modulation of ice shelf buttressing stresses</t>
  </si>
  <si>
    <t>ANNALS OF GLACIOLOGY</t>
  </si>
  <si>
    <t>IGS Symposium</t>
  </si>
  <si>
    <t>JUL 10-15, 2016</t>
  </si>
  <si>
    <t>Scripps Inst Oceanog, La Jolla, CA</t>
  </si>
  <si>
    <t>Scripps Inst Oceanog</t>
  </si>
  <si>
    <t>Antarctic glaciology; ice dynamics; ice/ocean interactions; ice-sheet modelling; ice shelves</t>
  </si>
  <si>
    <t>STICK-SLIP MOTION; OCEAN TIDES; STREAM; FLOW; ANTARCTICA; MODEL; SEISMICITY; MOVEMENT; VELOCITY; GLACIER</t>
  </si>
  <si>
    <t>Ocean tides influence the flow of marine-terminating glaciers. Observations indicate that the large fortnightly variations in ice flow at Rutford Ice Stream in West Antarctica originate in the floating ice shelf. We show that nonlinear variations in ice shelf buttressing driven by tides can produce such fortnightly variations in ice flow. These nonlinearities in the tidal modulation of buttressing stresses can be caused by asymmetries in the contact stress from migration of the grounding line and bathymetric pinning points beneath the ice shelf. Using a simple viscoelastic model, we demonstrate that a combination of buttressing and hydrostatic stress variations can explain a diverse range of tidal variations in ice shelf flow, including the period, phase and amplitude of flow variations observed at Rutford and Bindschadler Ice Streams.</t>
  </si>
  <si>
    <t>[Robel, Alexander A.; Tsai, Victor C.; Simons, Mark] CALTECH, Div Geol &amp; Planetary Sci, Pasadena, CA 91125 USA; [Robel, Alexander A.] Univ Chicago, Dept Geophys Sci, 5734 S Ellis Ave, Chicago, IL 60637 USA; [Minchew, Brent] Univ Cambridge, British Antarctic Survey, Cambridge, England</t>
  </si>
  <si>
    <t>California Institute of Technology; University of Chicago; University of Cambridge; UK Research &amp; Innovation (UKRI); Natural Environment Research Council (NERC); NERC British Antarctic Survey</t>
  </si>
  <si>
    <t>Robel, AA (corresponding author), CALTECH, Div Geol &amp; Planetary Sci, Pasadena, CA 91125 USA.;Robel, AA (corresponding author), Univ Chicago, Dept Geophys Sci, 5734 S Ellis Ave, Chicago, IL 60637 USA.</t>
  </si>
  <si>
    <t>robel@caltech.edu</t>
  </si>
  <si>
    <t>Tsai, Victor C/J-8405-2012; Simons, Mark/N-4397-2015; Robel, Alexander/ISA-7962-2023</t>
  </si>
  <si>
    <t>Tsai, Victor C/0000-0003-1809-6672; Robel, Alexander/0000-0003-4520-0105</t>
  </si>
  <si>
    <t>NSF Earth Sciences Postdoctoral Fellowship [EAR-1452587]; NSF grant [EAR-1453263]; NOAA Climate &amp; Global Change post-doctoral fellowship; Caltech Stanback post-doctoral fellowship; NERC [bas0100034] Funding Source: UKRI; Natural Environment Research Council [bas0100034] Funding Source: researchfish; Division Of Earth Sciences; Directorate For Geosciences [1453263] Funding Source: National Science Foundation</t>
  </si>
  <si>
    <t>NSF Earth Sciences Postdoctoral Fellowship; NSF grant(National Science Foundation (NSF)); NOAA Climate &amp; Global Change post-doctoral fellowship; Caltech Stanback post-doctoral fellowship; NERC(UK Research &amp; Innovation (UKRI)Natural Environment Research Council (NERC)); Natural Environment Research Council(UK Research &amp; Innovation (UKRI)Natural Environment Research Council (NERC)); Division Of Earth Sciences; Directorate For Geosciences(National Science Foundation (NSF)NSF - Directorate for Geosciences (GEO))</t>
  </si>
  <si>
    <t>We thank Doug MacAyeal, Kelly Brunt, Hilmar Gudmundsson and Olga Sergienko for helpful conversations during the completion of this work. We also thank Bob Bindschadler and Hilmar Gudmundsson for providing GPS data. Source code and documentation of the models used in this study are available as public repositories on GitHub: https://github.com/aarobel/. AR has been supported by the NOAA Climate &amp; Global Change and Caltech Stanback post-doctoral fellowships during the completion of this work. BM was supported by a NSF Earth Sciences Postdoctoral Fellowship award EAR-1452587. This work was also supported by NSF grant EAR-1453263.</t>
  </si>
  <si>
    <t>0260-3055</t>
  </si>
  <si>
    <t>1727-5644</t>
  </si>
  <si>
    <t>ANN GLACIOL</t>
  </si>
  <si>
    <t>Ann. Glaciol.</t>
  </si>
  <si>
    <t>10.1017/aog.2017.22</t>
  </si>
  <si>
    <t>FO4SD</t>
  </si>
  <si>
    <t>WOS:000416835100003</t>
  </si>
  <si>
    <t>Romanov, YA; Romanova, NA; Romanov, P</t>
  </si>
  <si>
    <t>Romanov, Yury A.; Romanova, Nina A.; Romanov, Peter</t>
  </si>
  <si>
    <t>Geographical distribution and volume of Antarctic icebergs derived from ship observation data</t>
  </si>
  <si>
    <t>Antarctic glaciology; calving; icebergs</t>
  </si>
  <si>
    <t>ICE-SHELF; IMPACT; RADAR; IDENTIFICATION; FREQUENCIES; PATTERNS; SECTOR; REGION; SIZES; DRIFT</t>
  </si>
  <si>
    <t>Information on the occurrence, spatial distribution and morphometric characteristics of Antarctic icebergs is needed in a large number of applications including navigation, heat and freshwater balance calculations, biochemistry of the ocean and climatology. Using over 60 000 ship observations of icebergs in the Southern Ocean collected since the end of the 1940s we have produced a detailed map of the distribution of Antarctic icebergs as well as maps of related statistics including the standard deviation, minimum and maximum values of the iceberg concentration and the probability of iceberg-free observations. The study incorporated small and medium-sized icebergs with a length of &lt; 10 nautical miles. Most observations were taken during the warm period of the year, from December to April. It is shown that the iceberg distribution across the Southern Ocean is determined by the location of calving regions and peculiarities of the atmospheric circulation and ocean currents. Iceberg concentration data combined with information on the iceberg size and shape distribution have been used to evaluate the area-integrated characteristics of Antarctic icebergs. The instantaneous number of icebergs in the Southern Ocean was estimated as 132 269 with an uncertainty of 7%. The area and volume of icebergs were equal correspondingly to 55 805 km(2) and 16 893 km(3) with uncertainties of 32-33%.</t>
  </si>
  <si>
    <t>[Romanov, Yury A.; Romanova, Nina A.] Shirshov Inst Oceanol, 36 Nahimovski Prospect, Moscow 117997, Russia; [Romanov, Peter] CUNY City Coll, 160 Convent Ave, New York, NY 10031 USA</t>
  </si>
  <si>
    <t>Russian Academy of Sciences; Shirshov Institute of Oceanology; City University of New York (CUNY) System; City College of New York (CUNY)</t>
  </si>
  <si>
    <t>Romanov, YA (corresponding author), Shirshov Inst Oceanol, 36 Nahimovski Prospect, Moscow 117997, Russia.</t>
  </si>
  <si>
    <t>romanov@ocean.ru</t>
  </si>
  <si>
    <t>Romanov, Peter/F-5622-2010</t>
  </si>
  <si>
    <t>10.1017/aog.2017.2</t>
  </si>
  <si>
    <t>WOS:000416835100005</t>
  </si>
  <si>
    <t>Nelson, MJS; Queste, BY; Smith, IJ; Leonard, GH; Webber, BGM; Hughes, KG</t>
  </si>
  <si>
    <t>Nelson, Monica J. S.; Queste, Bastien Y.; Smith, Inga J.; Leonard, Gregory H.; Webber, Benjamin G. M.; Hughes, Kenneth G.</t>
  </si>
  <si>
    <t>Measurements of Ice Shelf Water beneath the front of the Ross Ice Shelf using gliders</t>
  </si>
  <si>
    <t>ice shelves; ice/ocean interactions; polar and subpolar oceans</t>
  </si>
  <si>
    <t>ANTARCTIC SEA-ICE; PLATELET ICE; MCMURDO SOUND; OCEAN; CIRCULATION; GROWTH; WINTER; LAYER</t>
  </si>
  <si>
    <t>Measurements made by an underwater glider deployed near the Ross Ice Shelf were used to identify the presence of Ice Shelf Water (ISW), which is defined as seawater with its potential temperature lower than its surface freezing point temperature. Properties logged by the glider included in situ temperature, electrical conductivity, pressure, GPS location at surfacings and time. For most of the first 30 recorded dives of its deployment, evidence suggests the glider was prevented from surfacing due to being under the ice shelf. For dives under the ice shelf, farthest from the ice shelf front, ISW layers of varying thicknesses and depth locations were observed; between 2 m thick (centred at 231 m depth) to &gt; 93 m thick (centred at &gt; 360 m). For dives under the ice shelf, close to the ice shelf front, either no ISW was observed or ISW layers were centred at shallower depths (116-127 m). Thicker ISW layers (e.g. up to 250 m thickness centred at 421 m) were observed for some glider dives in open water in front of the Ross Ice Shelf. No in situ supercooling (water colder than the pressure-dependent freezing point temperature) was observed.</t>
  </si>
  <si>
    <t>[Nelson, Monica J. S.; Smith, Inga J.] Univ Otago, Dept Phys, POB 56, Dunedin 9054, New Zealand; [Queste, Bastien Y.; Webber, Benjamin G. M.] Univ East Anglia, Sch Environm Sci, Ctr Ocean &amp; Atmospher Sci, Norwich NR4 7TJ, Norfolk, England; [Leonard, Gregory H.] Univ Otago, Natl Sch Surveying, POB 56, Dunedin 9054, New Zealand; [Hughes, Kenneth G.] Univ Victoria, Sch Earth &amp; Ocean Sci, Victoria, BC V8P 5C2, Canada</t>
  </si>
  <si>
    <t>University of Otago; University of East Anglia; University of Otago; University of Victoria</t>
  </si>
  <si>
    <t>Smith, IJ (corresponding author), Univ Otago, Dept Phys, POB 56, Dunedin 9054, New Zealand.</t>
  </si>
  <si>
    <t>inga.smith@otago.ac.nz</t>
  </si>
  <si>
    <t>Webber, Benjamin G M/J-7096-2015; Leonard, Greg/F-7157-2010</t>
  </si>
  <si>
    <t>Hughes, Kenneth/0000-0001-5066-3310; Nelson, Monica/0000-0003-4038-6780; Leonard, Greg/0000-0001-7679-9486; Webber, Ben/0000-0002-8812-5929; Queste, Bastien/0000-0002-3786-2275</t>
  </si>
  <si>
    <t>University of Otago summer scholarship; NERC CASE PhD studentship; Antarctic Science International Bursary; National Science Foundation's Office of Polar Programs [NSF-ANT-0838980]; NERC grant GENTOO (Gliders: Excellent New Tools for Observing the Ocean) [NE/H01439X/1]; Aotearoa New Zealand Ross Ice Shelf Programme: Vulnerability of the Ross Ice Shelf in a Warming World (New Zealand Antarctic Research Institute) [NZARI 2014-11]</t>
  </si>
  <si>
    <t>University of Otago summer scholarship; NERC CASE PhD studentship; Antarctic Science International Bursary; National Science Foundation's Office of Polar Programs(National Science Foundation (NSF)); NERC grant GENTOO (Gliders: Excellent New Tools for Observing the Ocean); Aotearoa New Zealand Ross Ice Shelf Programme: Vulnerability of the Ross Ice Shelf in a Warming World (New Zealand Antarctic Research Institute)</t>
  </si>
  <si>
    <t>Monica Nelson was supported by an internally funded University of Otago summer scholarship. Bastien Queste was funded by a NERC CASE PhD studentship and an Antarctic Science International Bursary. Glider fieldwork was funded by the National Science Foundation's Office of Polar Programs (NSF-ANT-0838980). We are grateful to Karen Heywood for discussions with Inga Smith where Karen pointed out this interesting dataset and we thank her for putting Inga in touch with Ben Webber and Bastien Queste. Walker O. Smith and Mike Dinniman are thanked for providing glider data and information relating to their deployment. We acknowledge funding support from NERC grant GENTOO (Gliders: Excellent New Tools for Observing the Ocean, NE/H01439X/1). Craig Lee, Jason Gobat and Vernon Asper provided technical assistance and help with the gliders, and Craig Lee is also thanked for discussions relating to the data. Inga Smith was supported by the Aotearoa New Zealand Ross Ice Shelf Programme: Vulnerability of the Ross Ice Shelf in a Warming World (funded by the New Zealand Antarctic Research Institute, grant number: NZARI 2014-11, PI: Christina Hulbe). We are grateful to two anonymous reviewers and Laurie Padman for constructive comments and suggestions that helped improve this paper. The raw data analysed in this paper are available via: http://www.bco-dmo.org/dataset/532643, with processed data available from the authors on request.</t>
  </si>
  <si>
    <t>10.1017/aog.2017.34</t>
  </si>
  <si>
    <t>gold, Green Accepted</t>
  </si>
  <si>
    <t>WOS:000416835100006</t>
  </si>
  <si>
    <t>Stevens, C; Lee, WS; Fusco, G; Yun, S; Grant, B; Robinson, N; Hwang, CY</t>
  </si>
  <si>
    <t>Stevens, Craig; Lee, Won Sang; Fusco, Giannetta; Yun, Sukyoung; Grant, Brett; Robinson, Natalie; Yeon Hwang, Chung</t>
  </si>
  <si>
    <t>The influence of the Drygalski Ice Tongue on the local ocean</t>
  </si>
  <si>
    <t>glacier calving; ice/ocean interactions; sea ice/ice shelf interactions</t>
  </si>
  <si>
    <t>TERRA-NOVA BAY; ROSS SEA; GLACIER TONGUE; MCMURDO SOUND; WEDDELL SEA; ANTARCTICA; SHELF; CIRCULATION; POLYNYA; BOTTOM</t>
  </si>
  <si>
    <t>The Drygalski Ice Tongue presents an similar to 80 km long floating obstacle to alongshore flows in the Victoria Land coastal ocean region of the Western Ross Sea. Here we use oceanographic data from near to the tongue to explore the interplay between the floating glacier and the local currents and stratification. A vessel-based circuit of the glacier, recording ocean temperature and salinity profiles, reveals the southwest corner to be the coldest and most complex in terms of vertical structure. The southwest corner structure beneath the surface warm, salty layer sustains a block of very cold water extending to 200 m depth. In this same location there was a distinct layer at 370 m not seen anywhere else of water at similar to-1.93 degrees C. The new observations broadly, but not directly, support the presence of a coherent Victoria Land Coastal Current. The data suggest the northward moving coastal current turns against the Coriolis force and works its way anticlockwise around the glacier, but with leakage beneath the glacier through the highly 'rippled' underside, resulting in a spatially heterogeneous supply to the Terra Nova Bay Polynya region - an important location for the formation of high-salinity shelf water.</t>
  </si>
  <si>
    <t>[Stevens, Craig; Grant, Brett; Robinson, Natalie] Natl Inst Water &amp; Atmospher Res NIWA, Wellington, New Zealand; [Stevens, Craig] Univ Auckland, Dept Phys, Auckland, New Zealand; [Lee, Won Sang; Yun, Sukyoung; Yeon Hwang, Chung] Korea Polar Res Inst, Incheon 21990, South Korea; [Lee, Won Sang] Korea Univ Sci &amp; Technol, Daejeon 34113, South Korea; [Fusco, Giannetta] Parthenope Univ Naples, Naples, Italy</t>
  </si>
  <si>
    <t>National Institute of Water &amp; Atmospheric Research (NIWA) - New Zealand; University of Auckland; Korea Polar Research Institute (KOPRI); University of Science &amp; Technology (UST); Parthenope University Naples</t>
  </si>
  <si>
    <t>Stevens, C (corresponding author), Natl Inst Water &amp; Atmospher Res NIWA, Wellington, New Zealand.;Stevens, C (corresponding author), Univ Auckland, Dept Phys, Auckland, New Zealand.</t>
  </si>
  <si>
    <t>craig.stevens@niwa.co.nz</t>
  </si>
  <si>
    <t>Robinson, Natalie J/I-4460-2015; Fusco, Giannetta/J-5118-2019</t>
  </si>
  <si>
    <t>Fusco, Giannetta/0000-0003-1769-2456; Hwang, Chung/0000-0001-9861-0197; Lee, Won Sang/0000-0002-1074-7672; Stevens, Craig/0000-0002-4730-6985</t>
  </si>
  <si>
    <t>Korea Polar Research Institute [PM16020]; Italian Programma Nazionale di Ricerche in Antartide; Royal Society of NZ Marsden Fund; Deep South National Science Challenge; New Zealand Antarctic Research Institute; Antarctica New Zealand; NASA/HQ</t>
  </si>
  <si>
    <t>Korea Polar Research Institute(Korea Polar Research Institute of Marine Research Placement (KOPRI)); Italian Programma Nazionale di Ricerche in Antartide(Ministry of Education, Universities and Research (MIUR)); Royal Society of NZ Marsden Fund(Royal Society of New ZealandMarsden Fund (NZ)); Deep South National Science Challenge; New Zealand Antarctic Research Institute; Antarctica New Zealand; NASA/HQ</t>
  </si>
  <si>
    <t>We thank the Korea Polar Research Institute (PM16020), the Italian Programma Nazionale di Ricerche in Antartide, the Royal Society of NZ Marsden Fund, the Deep South National Science Challenge, the New Zealand Antarctic Research Institute and Antarctica New Zealand for support. Carlo Baroni provided access to mapping for the area and valuable discussions and Choon-Ki Lee (KOPRI) provided outline data of the glacier. David Gwyther and Tim Stanton are thanked for their comments on an early manuscript, as is the Scientific Editor Laurie Padman. We also thank Helicopters New Zealand Team (Bob, Giles and Wayne), Tim Haskell, Chris Zappa, the staff at Mario Zuchelli and Jang Bogo Stations and Scott Base, and the crew of the IBRV Araon. We acknowledge the use of Rapid Response imagery from the Land, Atmosphere Near real-time Capability for EOS (LANCE) system operated by the NASA/GSFC/ Earth Science Data and Information System (ESDIS) with funding provided by NASA/HQ.</t>
  </si>
  <si>
    <t>10.1017/aog.2017.4</t>
  </si>
  <si>
    <t>WOS:000416835100007</t>
  </si>
  <si>
    <t>Chester, ML; Kulessa, B; Luckman, AJ; Bassis, JN; Munneke, PK</t>
  </si>
  <si>
    <t>Chester, M. L.; Kulessa, B.; Luckman, A. J.; Bassis, J. N.; Munneke, P. Kuipers</t>
  </si>
  <si>
    <t>Systems Analysis of complex glaciological processes and application to calving of Amery Ice Shelf, East Antarctica</t>
  </si>
  <si>
    <t>Antarctic glaciology; calving; glaciological instruments and methods; ice engineering; ice shelves</t>
  </si>
  <si>
    <t>RIFT PROPAGATION; BASAL CREVASSES; PENINSULA; STABILITY; CLIMATE; MODEL; MELT; DEFORMATION; GLACIERS; COLLAPSE</t>
  </si>
  <si>
    <t>Calving is a complex process subject to several cooperating atmospheric, oceanographic and glaciological forcings that vary in space and time, and whose relative effects are challenging to separate. Statistical 'Systems Analysis' is commonly used in engineering and economics to extricate complex 'force-response' relationships. Here we apply Systems Analysis to the Amery rift system, East Antarctica. We develop a scalable 'System Model' driven by a coarsely-sampled dataset characteristic of glaciological observations in remote locations, and validate it using rift lengths observed in 2000-06 and 2012. In this initial demonstration, we forecast a detachment date of similar to 2019 +/- 5 years for the large tabular iceberg colloquially known as the 'Loose Tooth', for which relative humidity surprisingly emerges as the best statistical predictor. RACMO2 climate modelling reveals that relative humidity correlates best with surface albedo and snowmelt, both of which are intimately linked to firn compaction and ice shelf temperature and flow. We postulate that relative humidity can therefore serve as a proxy for internal stress, a known key control of 'Loose Tooth' calving. Although no physical causality is implied in Systems Analysis, postulates such as this can aid in setting priorities in studies of complex glaciological processes.</t>
  </si>
  <si>
    <t>[Chester, M. L.; Kulessa, B.; Luckman, A. J.] Swansea Univ, Coll Sci, Swansea, W Glam, Wales; [Bassis, J. N.] Univ Michigan, Dept Atmospher Ocean &amp; Space Sci, Ann Arbor, MI 48109 USA; [Munneke, P. Kuipers] Univ Utrecht, Inst Marine &amp; Atmospher Res, Utrecht, Netherlands</t>
  </si>
  <si>
    <t>Swansea University; University of Michigan System; University of Michigan; Utrecht University</t>
  </si>
  <si>
    <t>Chester, ML (corresponding author), Swansea Univ, Coll Sci, Swansea, W Glam, Wales.</t>
  </si>
  <si>
    <t>M.L.Chester@Live.co.uk</t>
  </si>
  <si>
    <t>Bassis, Jeremy N/J-1706-2012</t>
  </si>
  <si>
    <t>Kulessa, Bernd/0000-0002-4830-4949</t>
  </si>
  <si>
    <t>Natural Environment Research Council (NERC) [NE/L005409/1, NE/E012914/1]; Netherlands Polar Programme; Netherlands Earth System Science Centre (NESSC); NERC [NE/E012914/1, NE/E013414/1] Funding Source: UKRI</t>
  </si>
  <si>
    <t>Natural Environment Research Council (NERC)(UK Research &amp; Innovation (UKRI)Natural Environment Research Council (NERC)); Netherlands Polar Programme; Netherlands Earth System Science Centre (NESSC); NERC(UK Research &amp; Innovation (UKRI)Natural Environment Research Council (NERC))</t>
  </si>
  <si>
    <t>We gratefully acknowledge support by Natural Environment Research Council (NERC) grants NE/L005409/1 and NE/E012914/1. We are grateful to the Australian Antarctic Division for online access to the Amery G3 Australian Antarctic AWS data, (http://aws.acecrc.org.au/datapage.html). We thank two anonymous referees for their helpful comments. RACMO2 model output was kindly prepared by J. M. van Wessem and M. R. van den Broeke, supported by funding from Netherlands Polar Programme and Netherlands Earth System Science Centre (NESSC).</t>
  </si>
  <si>
    <t>10.1017/aog.2017.1</t>
  </si>
  <si>
    <t>WOS:000416835100008</t>
  </si>
  <si>
    <t>Sulak, DJ; Sutherland, DA; Enderlin, EM; Stearns, LA; Hamilton, GS</t>
  </si>
  <si>
    <t>Sulak, Daniel J.; Sutherland, David A.; Enderlin, Ellyn M.; Stearns, Leigh A.; Hamilton, Gordon S.</t>
  </si>
  <si>
    <t>Iceberg properties and distributions in three Greenlandic fjords using satellite imagery</t>
  </si>
  <si>
    <t>glaciers; icebergs; meltwater; remote-sensing</t>
  </si>
  <si>
    <t>TIDEWATER GLACIERS; ICE-SHEET; ANTARCTIC ICEBERGS; SIZE DISTRIBUTION; EAST GREENLAND; BERGY BITS; MASS-LOSS; CIRCULATION; CLIMATE; OCEAN</t>
  </si>
  <si>
    <t>Icebergs calved from tidewater glaciers represent about one third to one half of the freshwater flux from the Greenland ice sheet to the surrounding ocean. Using multiple satellite datasets, we quantify the first fjord-wide distributions of iceberg sizes and characteristics for three fjords with distinct hydrography and geometry: Sermilik Fjord, Rink Isbrae Fjord and Kangerlussuup Sermia Fjord. We estimate average total iceberg volumes in summer in the three fjords to be 6.4 +/- 1.5, 1.7 +/- 0.40 and 0.16 +/- 0.09 km(3), respectively. Iceberg properties are influenced by glacier calving style and grounding line depth, with variations in size distribution represented by exponents of power law distributions that are -1.95 +/- 0.06, -1.87 +/- 0.05 and -1.62 +/- 0.04, respectively. The underwater surface area of icebergs exceeds the subsurface area of glacial termini by at least one order of magnitude in all three fjords, underscoring the need to include iceberg melt in fjord freshwater budgets. Indeed, in Sermilik Fjord, we calculate summertime freshwater flux from iceberg melt of 620 m(3) s(-1) (+/- 140 m(3) s(-1)), similar in magnitude to subglacial discharge. The method developed here can be extended across Greenland to assess relationships between glacier calving, iceberg discharge and freshwater production.</t>
  </si>
  <si>
    <t>[Sulak, Daniel J.; Sutherland, David A.] Univ Oregon, Dept Geol Sci, Eugene, OR 97403 USA; [Enderlin, Ellyn M.; Hamilton, Gordon S.] Univ Maine, Sch Earth &amp; Climate Sci, Climate Change Inst, Orono, ME USA; [Stearns, Leigh A.] Univ Kansas, Dept Geol, Lawrence, KS 66045 USA</t>
  </si>
  <si>
    <t>University of Oregon; University of Maine System; University of Maine Orono; University of Kansas</t>
  </si>
  <si>
    <t>Sulak, DJ (corresponding author), Univ Oregon, Dept Geol Sci, Eugene, OR 97403 USA.</t>
  </si>
  <si>
    <t>dsuth@uoregon.edu</t>
  </si>
  <si>
    <t>Hamilton, Gordon S/G-1679-2011</t>
  </si>
  <si>
    <t>Stearns, Leigh/0000-0001-7358-7015; Enderlin, Ellyn/0000-0002-8266-7719</t>
  </si>
  <si>
    <t>NASA grant [NNX12AP50G]; National Science Foundation grant [1552232]; University of Oregon; Directorate For Geosciences; Office of Polar Programs (OPP) [1552232] Funding Source: National Science Foundation; Directorate For Geosciences; Office of Polar Programs (OPP) [1417480] Funding Source: National Science Foundation; NASA [NNX12AP50G, 14132] Funding Source: Federal RePORTER</t>
  </si>
  <si>
    <t>NASA grant(National Aeronautics &amp; Space Administration (NASA)); National Science Foundation grant(National Science Foundation (NSF)); University of Oregon; Directorate For Geosciences; Office of Polar Programs (OPP)(National Science Foundation (NSF)NSF - Directorate for Geosciences (GEO)); Directorate For Geosciences; Office of Polar Programs (OPP)(National Science Foundation (NSF)NSF - Directorate for Geosciences (GEO)); NASA(National Aeronautics &amp; Space Administration (NASA))</t>
  </si>
  <si>
    <t>We dedicate this paper to Gordon Hamilton. Funding was provided by NASA grant NNX12AP50G and National Science Foundation grant 1552232, with partial support from the University of Oregon. WorldView images were distributed by the Polar Geospatial Center at the University of Minnesota (http://www.pgc.umn.edu/imagery/) as part of an agreement between the US National Science Foundation and the US National Geospatial Intelligence Agency Commercial Imagery Program. We thank Laurie Padman and two anonymous reviewers for constructive comments and suggestions. Code for generating the iceberg distributions and analysis presented here is available by contacting the authors.</t>
  </si>
  <si>
    <t>10.1017/aog.2017.5</t>
  </si>
  <si>
    <t>WOS:000416835100010</t>
  </si>
  <si>
    <t>Mameno, K; Kubo, T; Suzuki, M</t>
  </si>
  <si>
    <t>Mameno, Kota; Kubo, Takahiro; Suzuki, Mariko</t>
  </si>
  <si>
    <t>Social challenges of spatial planning for outdoor cat management in Amami Oshima Island, Japan</t>
  </si>
  <si>
    <t>GLOBAL ECOLOGY AND CONSERVATION</t>
  </si>
  <si>
    <t>Cat management; Conservation conflict; Island ecosystem; Outdoor cat; Spatial planning</t>
  </si>
  <si>
    <t>FREE-ROAMING CATS; ANTARCTIC MARION-ISLAND; FERAL CATS; COMPANION ANIMALS; TOXOPLASMA-GONDII; ASCENSION ISLAND; ERADICATION; PREDATION; PREFERENCES; POPULATION</t>
  </si>
  <si>
    <t>Outdoor cats pose substantial threats to native biodiversity, especially on islands. However, cats also provide benefits to people, such as companionship and the killing of pests. Thus, management of outdoor cats is controversial and can lead to conflicts among stakeholders. Although previous studies have examined stakeholders' preferences for outdoor cats and their management, little is known about the differences in their attitudes toward cat occurrences and management across habitats. Identifying these attitudinal differences would provide useful knowledge for policy makers about zoning management. We conducted structured interviews with residents in Amami Oshima Island, Japan, to evaluate the residents' attitudes to outdoor cats' occurrence and their management across habitats (Forest, Rural, and Town areas). Furthermore, we compared the attitudes of cat- owners and non-owners. The results show that the Forest was least preferred as an outdoor cat habitat. Lethal options as a management strategy were unacceptable to the residents, whereas adoption was acceptable in all areas. Cat-owners showed a significantly higher acceptance toward outdoor cats in Town and Rural areas than did non-owners; they also showed a lower acceptance of lethal options and a higher acceptance toward Trap, Neuter and Return (TNR) than non-owners. These findings imply that it is difficult to achieve consensus regarding outdoor cat management, especially in town and rural areas; however, outdoor cats from these areas move to the forests and pose a threat to the endangered species. Communication efforts with both cat-owners and non-owners should fill these attitudinal gaps among stakeholders and lead to effective management. (C) 2017 The Authors. Published by Elsevier B.V.</t>
  </si>
  <si>
    <t>[Mameno, Kota] Hokkaido Univ, Grad Sch Agr, Sapporo, Hokkaido, Japan; [Kubo, Takahiro] Natl Inst Environm Studies, Ctr Environm Biol &amp; Ecosyst Studies, Ibaraki, Japan; [Suzuki, Mariko] Kagoshima Univ, Res Ctr Pacific Isl, Kagoshima, Japan</t>
  </si>
  <si>
    <t>Hokkaido University; National Institute for Environmental Studies - Japan; Kagoshima University</t>
  </si>
  <si>
    <t>Mameno, K (corresponding author), Hokkaido Univ, Grad Sch Agr, Lab Forest Policy,Dept Forest Sci, Kita Ku, Kita9 Nishi9, Sapporo, Hokkaido 0608589, Japan.</t>
  </si>
  <si>
    <t>tls159-red@eis.hokudai.ac.jp</t>
  </si>
  <si>
    <t>Kubo, Takahiro/E-1243-2012; Mameno, Kota/AAF-2197-2020</t>
  </si>
  <si>
    <t>Kubo, Takahiro/0000-0002-4832-5539; Mameno, Kota/0000-0001-8866-7421</t>
  </si>
  <si>
    <t>Environmental Economics and Policy Study, Ministry of the Environment, Japan (Research on economic evaluation of natural and environmental policy in Japan); Japan Society for the Promotion of Science [16K00697]; Ministry of Education, Culture, Sports, Science and Technology, Japan (Establishment of Research and Education Network on Biodiversity and Its Conservation in the Satsunan Islands); National Institute for Environmental Studies, Japan [23121]; Grants-in-Aid for Scientific Research [16K00697] Funding Source: KAKEN</t>
  </si>
  <si>
    <t>Environmental Economics and Policy Study, Ministry of the Environment, Japan (Research on economic evaluation of natural and environmental policy in Japan); Japan Society for the Promotion of Science(Ministry of Education, Culture, Sports, Science and Technology, Japan (MEXT)Japan Society for the Promotion of Science); Ministry of Education, Culture, Sports, Science and Technology, Japan (Establishment of Research and Education Network on Biodiversity and Its Conservation in the Satsunan Islands); National Institute for Environmental Studies, Japan; Grants-in-Aid for Scientific Research(Ministry of Education, Culture, Sports, Science and Technology, Japan (MEXT)Japan Society for the Promotion of ScienceGrants-in-Aid for Scientific Research (KAKENHI))</t>
  </si>
  <si>
    <t>We would like to express our gratitude to Shoji, Y., Hayashi F., Hayashi, T., Kobayashi, J., Ito, K., Okano, T., Kubo, S., Oki, K., and members of Kagoshima Environment Project in Kagoshima University, Ministry of the Environment, Japan, and the local governments in Amami Oshima Islands. We also thank the anonymous reviewers and the editor for thoughtful comments. The authors gratefully acknowledge financial support from the Environmental Economics and Policy Study, Ministry of the Environment, Japan (Research on economic evaluation of natural and environmental policy in Japan); Japan Society for the Promotion of Science (No. 16K00697); the Ministry of Education, Culture, Sports, Science and Technology, Japan (Establishment of Research and Education Network on Biodiversity and Its Conservation in the Satsunan Islands); and the National Institute for Environmental Studies, Japan (No. 23121).</t>
  </si>
  <si>
    <t>2351-9894</t>
  </si>
  <si>
    <t>GLOB ECOL CONSERV</t>
  </si>
  <si>
    <t>Glob. Ecol. Conserv.</t>
  </si>
  <si>
    <t>10.1016/j.gecco.2017.03.007</t>
  </si>
  <si>
    <t>FK1YB</t>
  </si>
  <si>
    <t>WOS:000413278400018</t>
  </si>
  <si>
    <t>Seo, M; Lee, KS; Choi, S; Lee, D; Kim, H; Kwon, C; Jin, D; Lee, E; Han, KS</t>
  </si>
  <si>
    <t>Seo, Minji; Lee, Kyeong-Sang; Choi, Sungwon; Lee, Darae; Kim, Honghee; Kwon, Chaeyoung; Jin, Donghyun; Lee, Eunkyung; Han, Kyung-Soo</t>
  </si>
  <si>
    <t>Analysis of net radiative changes and correlation with albedo over Antarctica</t>
  </si>
  <si>
    <t>KOREAN JOURNAL OF REMOTE SENSING</t>
  </si>
  <si>
    <t>Korean</t>
  </si>
  <si>
    <t>Antarctica; Net radiation; Albedo; Energy budget</t>
  </si>
  <si>
    <t>Antarctica is important area in order to understand climate change. In addition, this area is complex region where indicate warming and cooling trend according to previous studies. Therefore, it is necessary to understand the long-term variability of Antarctic energy budget. Net radiation, one of energy budget factor, is affected by albedo, and albedo cause negative radiative forcing. It is necessary to analyze a relationship between albedo and net radiation in order to analyze relationship between two factors in Antarctic climate changes and ice-albedo feedback. In this study, we calculated net radiation using satellite data and performed an analysis of long-term variability of net radiation over Antarctica. In addition we analyzed correlation between albedo. As a results, net radiation indicates a negative value in land and positive value in ocean during study periods. As an annual changes, oceanic trend indicates an opposed to albedo. Time series pattern of net radiation is symmetrical with albedo. Correlation between the two factors indicate a negative correlation of -0.73 in the land and -0.32 in the ocean.</t>
  </si>
  <si>
    <t>[Seo, Minji; Lee, Kyeong-Sang; Choi, Sungwon; Lee, Darae; Kim, Honghee; Kwon, Chaeyoung; Jin, Donghyun; Lee, Eunkyung; Han, Kyung-Soo] Pukyong Natl Univ, Div Earth Environm Syst Sci, Spatial Informat Engn, Busan, South Korea</t>
  </si>
  <si>
    <t>Pukyong National University</t>
  </si>
  <si>
    <t>Han, KS (corresponding author), Pukyong Natl Univ, Div Earth Environm Syst Sci, Spatial Informat Engn, Busan, South Korea.</t>
  </si>
  <si>
    <t>kyung-soo.han@pknu.ac.kr</t>
  </si>
  <si>
    <t>KOREAN SOC REMOTE SENSING</t>
  </si>
  <si>
    <t>KOREAN SOC REMOTE SENSING, SEOUL, 00000, SOUTH KOREA</t>
  </si>
  <si>
    <t>1225-6161</t>
  </si>
  <si>
    <t>2287-9307</t>
  </si>
  <si>
    <t>KOREAN J REMOTE SENS</t>
  </si>
  <si>
    <t>Korean J. Remote Sensing</t>
  </si>
  <si>
    <t>10.7780/kjrs.2017.33.2.12</t>
  </si>
  <si>
    <t>Remote Sensing</t>
  </si>
  <si>
    <t>FF4CU</t>
  </si>
  <si>
    <t>WOS:000408878000012</t>
  </si>
  <si>
    <t>Lamus, FV</t>
  </si>
  <si>
    <t>Villamizar Lamus, Fernando</t>
  </si>
  <si>
    <t>THE PROHIBITION OF THE EXPLOITATION OF ANTARCTIC MINERALS: DETERMINING THE MYTHS ABOUT THEIR DURATION</t>
  </si>
  <si>
    <t>REVISTA ESTUDIOS HEMISFERICOS Y POLARES</t>
  </si>
  <si>
    <t>Spanish</t>
  </si>
  <si>
    <t>Protocol to the Antarctic Treaty on Environmental Protection; Prohibition of use of Antarctic mineral; Antarctic Treaty</t>
  </si>
  <si>
    <t>The article aims to reduce the myth that the Protocol to the Antarctic Treaty on Environmental Protection has a duration of fifty years for the prohibition of activities related to Antarctic minerals. The main finding is that the fifty-year term takes place in order to make possible a Review Conference, whose requirements for making amendments or amendments are so demanding that in practice it is difficult to do them, especially when it comes to the topic of minerals, because It requires the adoption of a legally binding regime prior to the amendment or amendment of the prohibition.</t>
  </si>
  <si>
    <t>[Villamizar Lamus, Fernando] Univ Bernardo OHiggins, Observ Reg Paz &amp; Seguridad, Calle Fabr 1990, Santiago, Chile</t>
  </si>
  <si>
    <t>Universidad Bernardo O'Higgins</t>
  </si>
  <si>
    <t>Lamus, FV (corresponding author), Univ Bernardo OHiggins, Observ Reg Paz &amp; Seguridad, Calle Fabr 1990, Santiago, Chile.</t>
  </si>
  <si>
    <t>fvillamizar@ubo.cl</t>
  </si>
  <si>
    <t>CENTRO ESTUDIOS HEMISFERICOS &amp; POLARES</t>
  </si>
  <si>
    <t>VINA DEL MAR</t>
  </si>
  <si>
    <t>CALLE ROMA, 116, CALETA ABARCA, VINA DEL MAR, 2580060, CHILE</t>
  </si>
  <si>
    <t>0718-9230</t>
  </si>
  <si>
    <t>REV ESTUD HEMISFERIC</t>
  </si>
  <si>
    <t>Rev. Estud. Hemisfericos Polares</t>
  </si>
  <si>
    <t>APR-JUN</t>
  </si>
  <si>
    <t>Area Studies</t>
  </si>
  <si>
    <t>FA1ZP</t>
  </si>
  <si>
    <t>WOS:000405240500003</t>
  </si>
  <si>
    <t>Wu, M; Chen, LQ; Zhan, LY; Zhang, JX; Li, YH; Liu, J</t>
  </si>
  <si>
    <t>Wu, Man; Chen, Liqi; Zhan, Liyang; Zhang, Jiexia; Li, Yuhong; Liu, Jian</t>
  </si>
  <si>
    <t>Spatial Variability and Factors Influencing the Air-Sea N2O Flux in the Bering Sea, Chukchi Sea and Chukchi Abyssal Plain</t>
  </si>
  <si>
    <t>N2O; Arctic Oceans; air-sea flux</t>
  </si>
  <si>
    <t>NITROUS-OXIDE DISTRIBUTION; WATER; EMISSIONS; PATTERNS; METHANE</t>
  </si>
  <si>
    <t>The concentrations of the ozone-depleting greenhouse gas nitrous oxide (N2O) in the upper 300 m of the Subarctic and Arctic Oceans determined during the 5th Chinese National Arctic Research Expedition were studied. The surface water samples revealed that the study area could be divided into three regions according to the distribution of dissolved N2O in the surface water, namely, the Aleutian Basin (52 degrees N-60 degrees N), continental shelf (60 degrees N-73 degrees N) and Canadian Basin (north of 73 degrees N), with N2O in the surface water in equilibrium, oversaturated and undersaturated relative to the atmosphere, respectively. The influences of physical and chemical processes, such as eddy diffusion and sedimentary emissions, beneath the surface layer are discussed. The results of a flux evaluation show that the Aleutian Basin may be a weak N2O source of approximately 0.46 +/- 0.1 mu mol.m(2).d(-1), and the continental shelf acts as a strong N2O source of approximately 8.2 +/- 1.4 mu mol.m(2).d(-1). By contrast, the Chukchi Abyssal Plain (CAP) of the Canadian Basin is at least a temporal N2O sink with a strength of approximately -10.2 +/- 1.4 mu mol.m(2).d(-1).</t>
  </si>
  <si>
    <t>[Wu, Man; Chen, Liqi; Zhan, Liyang; Zhang, Jiexia; Li, Yuhong; Liu, Jian] SOA, Inst Oceanog 3, Key Lab Global Change &amp; Marine Atmospher Chem GCM, Xiamen 361005, Peoples R China</t>
  </si>
  <si>
    <t>Third Institute of Oceanography, Ministry of Natural Resources</t>
  </si>
  <si>
    <t>Chen, LQ; Zhan, LY (corresponding author), SOA, Inst Oceanog 3, Key Lab Global Change &amp; Marine Atmospher Chem GCM, Xiamen 361005, Peoples R China.</t>
  </si>
  <si>
    <t>wuman@tio.org.cn; Chenliqi@tio.org.cn; zhanliyang@tio.org.cn; zhangjiexia@tio.org.cn; liyuhong@tio.org.cn; liujianhgd@163.com</t>
  </si>
  <si>
    <t>Zhan, Liyang/0000-0002-1380-453X</t>
  </si>
  <si>
    <t>National Natural Science Foundation of China [41230529, 41676186, 41506225]; Chinese Projects for Investigations and Assessments of the Arctic and Antarctic [01-4-02, 02-1, 03-04-02, 2016-03-04, 2016-04-03]; Chinese International Cooperation Projects [IC201114, IC201201, IC201308, 2016YFE0103300]</t>
  </si>
  <si>
    <t>National Natural Science Foundation of China(National Natural Science Foundation of China (NSFC)); Chinese Projects for Investigations and Assessments of the Arctic and Antarctic; Chinese International Cooperation Projects</t>
  </si>
  <si>
    <t>This work was supported by the National Natural Science Foundation of China (grants 41230529, 41676186, and 41506225), the Chinese Projects for Investigations and Assessments of the Arctic and Antarctic (grants CHINARE2012-2017 for 01-4-02, 02-1, 03-04-02, 2016-03-04, and 2016-04-03), and the Chinese International Cooperation Projects (IC201114, IC201201, IC201308, and 2016YFE0103300).</t>
  </si>
  <si>
    <t>10.3390/atmos8040065</t>
  </si>
  <si>
    <t>EY5YK</t>
  </si>
  <si>
    <t>WOS:000404058300003</t>
  </si>
  <si>
    <t>Carter, O; Mitchell, M; Porfririo, LL; Hugh, S; Lockwood, M; Gilfedder, L; Lefroy, EC</t>
  </si>
  <si>
    <t>Carter, Oberon; Mitchell, Michael; Porfririo, Luciana L.; Hugh, Sonia; Lockwood, Michael; Gilfedder, Louise; Lefroy, Edward C.</t>
  </si>
  <si>
    <t>Mapping Scenario Narratives: A Technique to Enhance Landscape-scale Biodiversity Planning</t>
  </si>
  <si>
    <t>CONSERVATION &amp; SOCIETY</t>
  </si>
  <si>
    <t>spatial planning; alternative futures; scenario visualisation; landscape change; private land conservation; Tasmanian Midlands</t>
  </si>
  <si>
    <t>LAND-USE; ECOSYSTEM SERVICES; CHANGE IMPACTS; RIVER-BASIN; CONSERVATION; CLIMATE; FUTURES; ADAPTATION; STRATEGIES; MANAGEMENT</t>
  </si>
  <si>
    <t>Developing regional scenarios enables planners to engage land managers in discussions about the future, especially in contexts that are complex, uncertain and difficult to control. Richly-crafted qualitative narratives are an effective way to document future scenarios that integrate social, economic and biophysical attributes. Converting such narratives into spatial representations of future landscapes often relies on computational modelling. This paper presents an alternative technique. Key themes from scenario narratives are translated into spatial representations using simple rule sets within a Geographic Information System (GIS). The technique was applied to a case study exploring future scenarios for biodiversity in a predominantly privately-owned agricultural landscape. Iterative analysis of scenarios and their spatial implications enables land managers to explore outcomes from potential interventions and identify strategies that might mitigate the impact of future issues of environmental concern.</t>
  </si>
  <si>
    <t>[Carter, Oberon; Gilfedder, Louise] Dept Primary Ind Pk Water &amp; Environm, Nat &amp; Cultural Heritage Div, Hobart, Tas, Australia; [Mitchell, Michael; Lockwood, Michael] Univ Tasmania, Sch Land &amp; Food, Geog &amp; Spatial Sci, Hobart, Tas, Australia; [Mitchell, Michael] Charles Sturt Univ, Inst Land Water &amp; Soc, Bathurst, NSW, Australia; [Porfririo, Luciana L.; Hugh, Sonia] Australian Natl Univ, Fenner Sch Environm &amp; Soc, Canberra, ACT, Australia; [Porfririo, Luciana L.] CSIRO, CSIRO Oceans &amp; Atmosphere, Canberra, ACT, Australia; Univ Tasmania, Sch Land &amp; Food, Hobart, Tas, Australia; [Lefroy, Edward C.] Univ Tasmania, Ctr Environm, Hobart, Tas, Australia</t>
  </si>
  <si>
    <t>University of Tasmania; Charles Sturt University; Australian National University; Commonwealth Scientific &amp; Industrial Research Organisation (CSIRO); University of Tasmania; University of Tasmania</t>
  </si>
  <si>
    <t>Mitchell, M (corresponding author), Univ Tasmania, Sch Land &amp; Food, Geog &amp; Spatial Sci, Hobart, Tas, Australia.;Mitchell, M (corresponding author), Charles Sturt Univ, Inst Land Water &amp; Soc, Bathurst, NSW, Australia.</t>
  </si>
  <si>
    <t>Michael.Mitchell@utas.edu.au</t>
  </si>
  <si>
    <t>Mitchell, Michael/C-2382-2014</t>
  </si>
  <si>
    <t>Mitchell, Michael/0000-0002-1082-3073</t>
  </si>
  <si>
    <t>Australian Government's National Environmental Research Programme</t>
  </si>
  <si>
    <t>Australian Government's National Environmental Research Programme(Australian Government)</t>
  </si>
  <si>
    <t>This paper is an output from the Landscapes and Policy Research Hub. The hub was supported through funding from the Australian Government's National Environmental Research Programme and involved researchers from the University of Tasmania, The Australian National University, Murdoch University, the Antarctic Climate and Ecosystems Cooperative Research Centre, Griffith University and Charles Sturt University.</t>
  </si>
  <si>
    <t>WOLTERS KLUWER MEDKNOW PUBLICATIONS</t>
  </si>
  <si>
    <t>MUMBAI</t>
  </si>
  <si>
    <t>WOLTERS KLUWER INDIA PVT LTD , A-202, 2ND FLR, QUBE, C T S NO 1498A-2 VILLAGE MAROL, ANDHERI EAST, MUMBAI, 400059, INDIA</t>
  </si>
  <si>
    <t>0972-4923</t>
  </si>
  <si>
    <t>0975-3133</t>
  </si>
  <si>
    <t>CONSERV SOC</t>
  </si>
  <si>
    <t>Conserv. Soc.</t>
  </si>
  <si>
    <t>10.4103/cs.cs_15_121</t>
  </si>
  <si>
    <t>Biodiversity Conservation; Environmental Studies</t>
  </si>
  <si>
    <t>EZ1QT</t>
  </si>
  <si>
    <t>WOS:000404486600006</t>
  </si>
  <si>
    <t>Musumeci, MA; Lozada, M; Rial, DV; Mac Cormack, WP; Jansson, JK; Sjöling, S; Carroll, J; Dionisi, HM</t>
  </si>
  <si>
    <t>Musumeci, Matias A.; Lozada, Mariana; Rial, Daniela V.; Mac Cormack, Walter P.; Jansson, Janet K.; Sjoling, Sara; Carroll, JoLynn; Dionisi, Hebe M.</t>
  </si>
  <si>
    <t>Prospecting Biotechnologically-Relevant Monooxygenases from Cold Sediment Metagenomes: An In Silico Approach</t>
  </si>
  <si>
    <t>MARINE DRUGS</t>
  </si>
  <si>
    <t>bacterial cytochrome P450; Baeyer-Villiger monooxygenases; bioprospecting biocatalysts; phylogenetic analysis; molecular modeling</t>
  </si>
  <si>
    <t>BAEYER-VILLIGER MONOOXYGENASES; CYCLOHEXANONE MONOOXYGENASE; CRYSTAL-STRUCTURE; STEREOCHEMISTRY; BIOCATALYSTS; HYDROXYLASE; DIVERSITY; ACCURACY; INSIGHT</t>
  </si>
  <si>
    <t>The goal of this work was to identify sequences encoding monooxygenase biocatalysts with novel features by in silico mining an assembled metagenomic dataset of polar and subpolar marine sediments. The targeted enzyme sequences were Baeyer-Villiger and bacterial cytochrome P450 monooxygenases (CYP153). These enzymes have wide-ranging applications, from the synthesis of steroids, antibiotics, mycotoxins and pheromones to the synthesis of monomers for polymerization and anticancer precursors, due to their extraordinary enantio-, regio-, and chemo-selectivity that are valuable features for organic synthesis. Phylogenetic analyses were used to select the most divergent sequences affiliated to these enzyme families among the 264 putative monooxygenases recovered from the similar to 14 million protein-coding sequences in the assembled metagenome dataset. Three-dimensional structure modeling and docking analysis suggested features useful in biotechnological applications in five metagenomic sequences, such as wide substrate range, novel substrate specificity or regioselectivity. Further analysis revealed structural features associated with psychrophilic enzymes, such as broader substrate accessibility, larger catalytic pockets or low domain interactions, suggesting that they could be applied in biooxidations at room or low temperatures, saving costs inherent to energy consumption. This work allowed the identification of putative enzyme candidates with promising features from metagenomes, providing a suitable starting point for further developments.</t>
  </si>
  <si>
    <t>[Musumeci, Matias A.; Lozada, Mariana; Dionisi, Hebe M.] Consejo Nacl Invest Cient &amp; Tecn, Lab Microb Ambiental, Ctr Estudio Sistemas Marinos, Chubut U9120ACD, Puerto Madryn, Argentina; [Rial, Daniela V.] Univ Nacl Rosario, Area Biol Mol, Dept Ciencias Biol, Fac Ciencias Bioquim &amp; Farmaceut,CONICET, Suipacha 531 S2002LRK, Rosario, Argentina; [Mac Cormack, Walter P.] Inst Antartico Argentino, C1010AAZ, Buenos Aires, DF, Argentina; [Mac Cormack, Walter P.] Univ Buenos Aires, CONICET, Inst Nanobiotecnol NANOBIOTEC, C1113AAD, Buenos Aires, DF, Argentina; [Jansson, Janet K.] Pacific Northwest Natl Lab, Earth &amp; Biol Sci Directorate, Richland, WA 99352 USA; [Sjoling, Sara] Sodertorn Univ, Sch Nat Sci &amp; Environm Studies, S-14189 Huddinge, Sweden; [Carroll, JoLynn] Akvaplan Niva, Fram High North Res Ctr Climate &amp; Environm, NO-9296 Tromso, Norway; [Carroll, JoLynn] UiT Arctic Univ Norway, ARCEx Res Ctr Arct Petr Explorat, Dept Geosci, N-9037 Tromso, Norway</t>
  </si>
  <si>
    <t>Consejo Nacional de Investigaciones Cientificas y Tecnicas (CONICET); National University of Rosario; Consejo Nacional de Investigaciones Cientificas y Tecnicas (CONICET); Instituto Antartico Argentino; University of Buenos Aires; Consejo Nacional de Investigaciones Cientificas y Tecnicas (CONICET); United States Department of Energy (DOE); Pacific Northwest National Laboratory; Sodertorn University; Akvaplan-niva; UiT The Arctic University of Tromso</t>
  </si>
  <si>
    <t>Dionisi, HM (corresponding author), Consejo Nacl Invest Cient &amp; Tecn, Lab Microb Ambiental, Ctr Estudio Sistemas Marinos, Chubut U9120ACD, Puerto Madryn, Argentina.</t>
  </si>
  <si>
    <t>musumeci@cenpat-conicet.gob.ar; lozada@cenpat-conicet.gob.ar; drial@fbioyf.unr.edu.ar; wmac@ffyb.uba.ar; janet.jansson@pnnl.gov; sara.sjoling@sh.se; jolynn.carroll@akvaplan.niva.no; hdionisi@cenpat-conicet.gob.ar</t>
  </si>
  <si>
    <t>Jansson, Janet/H-5478-2018; Carroll, JoLynn/AAH-5082-2021</t>
  </si>
  <si>
    <t>Jansson, Janet/0000-0002-5487-4315; Carroll, JoLynn/0000-0002-6598-0818; Dionisi, Hebe Monica/0000-0002-8075-2311; Musumeci, Matias/0000-0003-2358-1365; Mac Cormack, Walter/0000-0002-5280-5463</t>
  </si>
  <si>
    <t>Department of Energy-Joint Genome Institute (DOE-JGI) under the Community Sequencing Program (CSP) [328, 403959, 404206, 404777-404782, 404786, 404788-404801]; CONICET (PIP) [11220130100174]; National Agency for the Promotion of Science and Technology of Argentina (ANPCyT PICT) [2102]; grants CONICET PIP [11220110101156, 11220150100934CO, UNR BIO287, BIO451]; University of Buenos Aires [UBA 2014-2017 20020130100569BA]; European Commission through the Marie Curie Action IRSES; IMCONet (International Research Staff Exchange Scheme; Interdisciplinary Modelling of Climate Change in Coastal Western Antarctica-Network for Staff Exchange and Training) [318718]; Argentinean Antarctic Institute; Argentinean Antarctic Institute (PICTO) [0124]; Pacific Northwest National Laboratory [DE-AC05-76RLO1830]; Research Council of Norway [228107]</t>
  </si>
  <si>
    <t>Department of Energy-Joint Genome Institute (DOE-JGI) under the Community Sequencing Program (CSP); CONICET (PIP)(Consejo Nacional de Investigaciones Cientificas y Tecnicas (CONICET)); National Agency for the Promotion of Science and Technology of Argentina (ANPCyT PICT)(ANPCyT); grants CONICET PIP; University of Buenos Aires(University of Buenos Aires); European Commission through the Marie Curie Action IRSES; IMCONet (International Research Staff Exchange Scheme; Interdisciplinary Modelling of Climate Change in Coastal Western Antarctica-Network for Staff Exchange and Training); Argentinean Antarctic Institute(ANPCyT); Argentinean Antarctic Institute (PICTO); Pacific Northwest National Laboratory(United States Department of Energy (DOE)); Research Council of Norway(Research Council of Norway)</t>
  </si>
  <si>
    <t>M.A.M., M.L., D.V.R. and H.M.D. are staff members of the Consejo Nacional de Investigaciones Cientificas y Tecnicas (CONICET, Ciudad Autonoma de Buenos Aires, Argentina). The metagenomic dataset was generated at the Department of Energy-Joint Genome Institute (DOE-JGI) under the Community Sequencing Program (CSP proposal ID 328, project IDs 403959, 404206, 404777-404782, 404786, 404788-404801). H.M.D. and M.L. are supported by a grant from CONICET (PIP No 11220130100174). M. A. M. is supported by The National Agency for the Promotion of Science and Technology of Argentina (ANPCyT PICT 2015 No 2102). The work by D.V.R. is supported by grants CONICET PIP No 11220110101156, 11220150100934CO and UNR BIO287, BIO451. W.M.C. was supported by grants from the University of Buenos Aires (UBA 2014-2017 20020130100569BA), the European Commission through the Marie Curie Action IRSES; IMCONet (International Research Staff Exchange Scheme; Interdisciplinary Modelling of Climate Change in Coastal Western Antarctica-Network for Staff Exchange and Training) (Project No. 318718), the Argentinean Antarctic Institute and ANPCyT (PICTO 2010 No. 0124). J.K.J. was supported by the Pacific Northwest National Laboratory under Contract DE-AC05-76RLO1830. J. C.'s research contribution was supported by the Research Council of Norway (Grant No. 228107).</t>
  </si>
  <si>
    <t>1660-3397</t>
  </si>
  <si>
    <t>MAR DRUGS</t>
  </si>
  <si>
    <t>Mar. Drugs</t>
  </si>
  <si>
    <t>10.3390/md15040114</t>
  </si>
  <si>
    <t>Chemistry, Medicinal; Pharmacology &amp; Pharmacy</t>
  </si>
  <si>
    <t>Pharmacology &amp; Pharmacy</t>
  </si>
  <si>
    <t>EY8EV</t>
  </si>
  <si>
    <t>WOS:000404228300030</t>
  </si>
  <si>
    <t>Fernández, R; Gulick, S; Rodrigo, C; Domack, E; Leventer, A</t>
  </si>
  <si>
    <t>Fernandez, Rodrigo; Gulick, Sean; Rodrigo, Cristian; Domack, Eugene; Leventer, Amy</t>
  </si>
  <si>
    <t>Seismic stratigraphy and glacial cycles in the inland passages of the Magallanes Region of Chile, southernmost South America</t>
  </si>
  <si>
    <t>TIERRA-DEL-FUEGO; CENTRAL STRAIT; BAHIA INUTIL; ICE-SHEET; LAST GLACIATION; MAGELLAN-STRAIT; PATAGONIA; HOLOCENE; DEGLACIATION; CHRONOLOGY</t>
  </si>
  <si>
    <t>We present results of a marine geophysical survey that imaged submarine sedimentary and geomorphic features of the main inland channels of the Magallanes Region of Chile, in southernmost South America. This region holds a remarkable terrestrial and marine record of glacial variations in the closest landmass to Antarctica. We report evidence for grounded ice along the main channels associated with two ice lobes that flowed from Cordillera Darwin, part of the Austral Andes, into Central Estrecho de Magallanes and Seno Almirantazgo. Multibeam data show drumlins and glacial lineations in Whiteside Channel the northern continuation of Seno Almirantazgo, and iceberg plough marks in Central Estrecho de Magallanes. Multichannel seismic data show a complex array of seismic facies, interpreted as representing two main types of sedimentary units: glacimarine sediments, corresponding to glacial periods, and pelagic sediments, corresponding to interglacial periods. We find that there are two interglacial-glacial cycles represented in this marine sedimentary record. Chronologically: 1) the youngest glacial unit corresponds to the last regional glaciation (similar to 31-18 ka); 2) these passageways deglaciated with the retreat from regional glacial limit 'D' (similar to 17-18 ka), and 3) there is no marine sedimentary or morphological evidence that the Magallanes glaciers readvanced into the main passageways during the Antarctic Cold Reversal (similar to 14-13 ka). These findings suggest that final deglaciation of southernmost South America was driven by the atmospheric and ocean warming that started similar to 18 ka as recorded in Antarctic ice core records and sea surface temperature proxies offshore the Magallanes Region. (C) 2017 Elsevier B.V. All rights reserved.</t>
  </si>
  <si>
    <t>[Fernandez, Rodrigo; Gulick, Sean] Univ Texas Austin, Inst Geophys, 10100 Burnet Rd R2200,Bldg 196, Austin, TX 78712 USA; [Rodrigo, Cristian] Univ Andres Bello, Calle Quillota 980, Vina Del Mar, Region De Valpa, Chile; [Domack, Eugene] Univ S Florida, 4202 East Fowler Ave, Tampa, FL USA; [Leventer, Amy] Colgate Univ, 13 Oak Dr, Hamilton, NY 13346 USA</t>
  </si>
  <si>
    <t>University of Texas System; University of Texas Austin; Universidad Andres Bello; State University System of Florida; University of South Florida; Colgate University</t>
  </si>
  <si>
    <t>Fernández, R (corresponding author), Univ Texas Austin, Inst Geophys, 10100 Burnet Rd R2200,Bldg 196, Austin, TX 78712 USA.</t>
  </si>
  <si>
    <t>r.f@ig.utexas.edu</t>
  </si>
  <si>
    <t>Gulick, Sean/GNH-2042-2022; Fernandez, Rodrigo/ABC-8361-2020; Fernandez, Rodrigo/GRF-1350-2022</t>
  </si>
  <si>
    <t>Gulick, Sean/0000-0003-4740-9068; Leventer, Amy/0000-0001-9401-0987; Fernandez, Rodrigo/0000-0003-4226-6010; Rodrigo, Cristian/0000-0003-3523-9698</t>
  </si>
  <si>
    <t>National Science Foundation, Office of Polar [NSF-OPP-1143843]; U.S. Office of Naval Research Visiting Scientist [N62909-13-1-V011]</t>
  </si>
  <si>
    <t>National Science Foundation, Office of Polar(National Science Foundation (NSF)); U.S. Office of Naval Research Visiting Scientist(Office of Naval Research)</t>
  </si>
  <si>
    <t>This research was possible thanks to the support of the National Science Foundation, Office of Polar Programs (NSF-OPP-1143843). We thank the officers, NSF representatives, crew, and scientists who sailed on the RV/IB Nathaniel B. Palmer during seismic trial cruise NBP1208 in the Magallanes Region of Chile. We thank Caroline Lavoie who processed the multibeam data. We are grateful of all the assistance of Dr. Jorge Acevedo (CEQUA) and the team of marine mammals' watchers assembled by him, Antonela Messina, Daniela Haro and Gabriela Garrido We also thank INACH and the navy office SHOA for their collaboration and the assistance provided to obtain the permit to work in Chilean territorial waters. C.R. thanks the U.S. Office of Naval Research Visiting Scientist Support grant no. N62909-13-1-V011.</t>
  </si>
  <si>
    <t>APR 1</t>
  </si>
  <si>
    <t>10.1016/j.margeo.2017.02.006</t>
  </si>
  <si>
    <t>EX8PN</t>
  </si>
  <si>
    <t>WOS:000403512800002</t>
  </si>
  <si>
    <t>Bazhenova, E; Fagel, N; Stein, R</t>
  </si>
  <si>
    <t>Bazhenova, E.; Fagel, N.; Stein, R.</t>
  </si>
  <si>
    <t>North American origin of pink-white layers at the Mendeleev Ridge (Arctic Ocean): New insights from lead and neodymium isotope composition of detrital sediment component</t>
  </si>
  <si>
    <t>Pd and Nd isotopes; Detrital fraction; Pink-white layers; Sediment provenance; Arctic Ocean; Late Quaternary</t>
  </si>
  <si>
    <t>ICE-SHEET; ND; SEA; PROVENANCE; ATLANTIC; BASIN; RIVER; SIZE; CIRCULATION; SYSTEMATICS</t>
  </si>
  <si>
    <t>Dolomite-rich layers of distinct pinkish colour are used as lithostratigraphic markers in the Amerasian Basin of the Arctic Ocean. However, origin of dolomite in these sediment units has not been studied in detail. In this study, lead (Pb) and neodymium (Nd) isotope composition of detrital clay-size fraction from different lithofacies were investigated in core PS72/340-5 recovered at the eastern flank of the Mendeleev Ridge. Prior to the geochemical analyses, grain-size distribution was analyzed in order to minimize the grain-size effect on the provenance signature. For provenance discrimination, results of isotope measurements were compared with marine surface sediment data and values for the circum-Arctic subaerial provinces. Late Quaternary sediment supply variability was analyzed using the mixing model constrained by two tracers: Pb-207/Pb-206 and epsilon Nd. Variations of sediment isotopic composition are inferred to result from mixing of volcanic and plutonic components. Usage of Pb isotopic ratios alone does not allow distinction between these two types of sources. Results confirm that over the last estimated ca. 200 ka dolomite-rich pink layers at the Mendeleev Ridge were deposited during events probably associated with intensified iceberg transport from North America. In general, however, sedimentation was mostly controlled by terrigenous input from the Chukchi and East Siberian Seas, whereas sediment supply from the Laptev Sea area remained less important and relatively constant at the studied location. (C) 2017 Elsevier B.V. All rights reserved.</t>
  </si>
  <si>
    <t>[Bazhenova, E.; Stein, R.] Alfred Wegener Inst, Helmholtz Ctr Polar &amp; Marine Res, Dept Marine Geol &amp; Paleontol, Alten Hafen 26, D-27568 Bremerhaven, Germany; [Fagel, N.] Univ Liege, Fac Sci, Res Unit AGEs, 14 Allee 6 Aout, B-4000 Liege, Belgium; [Bazhenova, E.] St Petersburg State Univ, Inst Earth Sci, Univ Skaya Nab 7-9, St Petersburg 199034, Russia; [Stein, R.] Univ Bremen, Dept Geosci FB5, Klagenfurter Str 4, D-28359 Bremen, Germany</t>
  </si>
  <si>
    <t>Helmholtz Association; Alfred Wegener Institute, Helmholtz Centre for Polar &amp; Marine Research; University of Liege; Saint Petersburg State University; University of Bremen</t>
  </si>
  <si>
    <t>Bazhenova, E (corresponding author), St Petersburg State Univ, Inst Earth Sci, Univ Skaya Nab 7-9, St Petersburg 199034, Russia.</t>
  </si>
  <si>
    <t>e.bazhenova@spbu.ru</t>
  </si>
  <si>
    <t>Bazhenova, Evgenia/G-1505-2015</t>
  </si>
  <si>
    <t>Bazhenova, Evgenia/0000-0002-8092-702X; Stein, Ruediger/0000-0002-4453-9564; fagel, nathalie/0000-0002-8231-8295</t>
  </si>
  <si>
    <t>Helmholtz Graduate School for Polar and Marine Research (POLMAR); Otto Schmidt Laboratory for Polar and Marine Research (Arctic and Antarctic Research Institute, St. Petersburg, Russia) [OSL-11-04, OSL-14-04]; Institute of Earth Sciences at the St. Petersburg State University [3.50.1057.2014]; Russian Foundation for Basic Research [16-35-00491]</t>
  </si>
  <si>
    <t>Helmholtz Graduate School for Polar and Marine Research (POLMAR); Otto Schmidt Laboratory for Polar and Marine Research (Arctic and Antarctic Research Institute, St. Petersburg, Russia); Institute of Earth Sciences at the St. Petersburg State University; Russian Foundation for Basic Research(Russian Foundation for Basic Research (RFBR)Spanish Government)</t>
  </si>
  <si>
    <t>We thank the scientific party, the Captain and the Crew on the Polarstern ARK-XXIII/3 Cruise (2008). E. Gusev (VNII0keangeologia) and L. Polyak (Ohio State University) kindly shared surface sediment samples from the RUSLCA-2009 and ISSS-2008 Expeditions, respectively. Helmholtz Graduate School for Polar and Marine Research (POLMAR) funded the PhD study of EB at the AWI and also supported the research stay of EB at the University of Liege. J. Otten is thanked for his help with sample preparation in the clean lab at the University of Liege. N. Mattielli is acknowledged for the MC-ICP-MS measurements at the University Libre de Bruxelles. Sedigraph grain-size analysis was performed by S. Kostygov at the Otto Schmidt Laboratory for Polar and Marine Research (Arctic and Antarctic Research Institute, St. Petersburg, Russia) in the frame of research grants to EB and SK (project no. OSL-11-04 and OSL-14-04). Additional financial support for the preparation and publication of this article was provided by the Institute of Earth Sciences at the St. Petersburg State University (project no. 3.50.1057.2014), and by the Russian Foundation for Basic Research (project no. 16-35-00491). D. Mosher (University of New Hampshire) is thanked for the English editing of this</t>
  </si>
  <si>
    <t>10.1016/j.margeo.2017.01.010</t>
  </si>
  <si>
    <t>WOS:000403512800004</t>
  </si>
  <si>
    <t>Yu, ZJ; Colin, C; Douville, E; Meynadier, L; Duchamp-Alphonse, S; Sepulcre, S; Wan, SM; Song, LN; Wu, Q; Xu, ZK; Bassinot, F</t>
  </si>
  <si>
    <t>Yu, Zhaojie; Colin, Christophe; Douville, Eric; Meynadier, Laure; Duchamp-Alphonse, Stephanie; Sepulcre, Sophie; Wan, Shiming; Song, Lina; Wu, Qiong; Xu, Zhaokai; Bassinot, Frank</t>
  </si>
  <si>
    <t>Yttrium and rare earth element partitioning in seawaters from the Bay of Bengal</t>
  </si>
  <si>
    <t>ND ISOTOPIC COMPOSITION; SOUTH CHINA SEA; NEODYMIUM ISOTOPES; GANGA-BRAHMAPUTRA; RIVER SEDIMENT; INDIAN-OCEAN; PORE WATERS; CHEMISTRY; REE; FRACTIONATION</t>
  </si>
  <si>
    <t>The dissolved yttrium (Y) and rare earth element (REE) concentrations of seawater samples collected along a north-south hydrological transect within the Bay of Bengal (BoB) have been analyzed to estimate contributions of the Ganges and Brahmaputra (G-B) river inputs to the dissolved REE distribution of the Northern Indian Ocean. Surface water masses of the BoB are characterized by Y/Ho ratios (84) intermediate between the G-B river suspended sediment (41) and water mass from the South Indian Ocean (93). Covariation of MREE (middle REE, Sm) and LREE (light REE, La) concentrations suggests that the dissolved REEs in surface waters (upper 100 m depth) of the BoB (Sm/La=0.21) appear to derive mainly from the freshwater discharge of the G-B river system. In contrast, values obtained in the intermediate and deep waters (Sm/La=0.14) suggest a mixing of dissolved REEs deriving from the release of G-B river suspended particles (Sm/La=0.16) and the contribution of Antarctic Bottom Water (AABW) (Sm/La=0.12). Consequently, we propose that MREE/MREE* ratios in the BoB waters could be an accurate proxy to trace lithogenic inputs from the G-B river system. The dissolved and particle remineralization Nd fluxes from G-B river system are calculated to constitute about 9% and 4% of the global dissolved river discharge and boundary inputs flux. Our estimation indicates that the massive G-B river system inputs could greatly alter the dissolved REEs distribution in the BoB and contribute to the dissolved REEs budget in the ocean.</t>
  </si>
  <si>
    <t>[Yu, Zhaojie; Colin, Christophe; Duchamp-Alphonse, Stephanie; Sepulcre, Sophie] Univ Paris Saclay, Univ Paris Sud, CNRS, UMR 8148,Lab GEOsci Paris Sud, Orsay, France; [Douville, Eric; Bassinot, Frank] Univ Paris Saclay, UVSQ, CNRS, CEA,Lab Sci Climat &amp; Environm,LSCE IPSL, Gif Sur Yvette, France; [Meynadier, Laure] Univ Paris Diderot, Inst Phys Globe Paris, UMR 7154, Equipe Geochim &amp; Cosmochim,Sorbonne Paris Cite, Paris, France; [Wan, Shiming; Xu, Zhaokai] Chinese Acad Sci, Inst Oceanol, Key Lab Marine Geol &amp; Environm, Qingdao, Peoples R China; [Wan, Shiming] Qingdao Natl Lab Marine Sci &amp; Technol, Lab Marine Geol, Qingdao, Peoples R China; [Song, Lina] Chinese Acad Sci, Inst Oceanol, Key Lab Ocean Circulat &amp; Waves, Qingdao, Peoples R China; [Wu, Qiong] Tongji Univ, State Key Lab Marine Geol, Shanghai, Peoples R China</t>
  </si>
  <si>
    <t>Universite Paris Saclay; Universite Paris Cite; Centre National de la Recherche Scientifique (CNRS); CNRS - National Institute for Earth Sciences &amp; Astronomy (INSU); CEA; Centre National de la Recherche Scientifique (CNRS); Universite Paris Saclay; Universite Paris Cite; Centre National de la Recherche Scientifique (CNRS); CNRS - National Institute for Earth Sciences &amp; Astronomy (INSU); Universite Paris Cite; Chinese Academy of Sciences; Institute of Oceanology, CAS; Laoshan Laboratory; Chinese Academy of Sciences; Institute of Oceanology, CAS; Tongji University</t>
  </si>
  <si>
    <t>Yu, ZJ (corresponding author), Univ Paris Saclay, Univ Paris Sud, CNRS, UMR 8148,Lab GEOsci Paris Sud, Orsay, France.</t>
  </si>
  <si>
    <t>yuzhj1988@gmail.com</t>
  </si>
  <si>
    <t>YU, ZHAOJIE/L-8930-2019; Wan, Shiming/B-4735-2011</t>
  </si>
  <si>
    <t>Wan, Shiming/0000-0001-9335-2248; Douville, Eric/0000-0002-6673-1768; Xu, Zhaokai/0000-0003-0718-6736; Yu, Zhaojie/0000-0003-4135-9418; Colin, Christophe/0000-0002-3934-5191; Duchamp-Alphonse, Stephanie/0000-0002-3996-9789</t>
  </si>
  <si>
    <t>China Scholarship Council; French National Research Agency Investissement d'Avenir [ANR-10-LABX-0018]; MONOPOL project [ANR 2011 Blanc SIMI 5-6 024 04]</t>
  </si>
  <si>
    <t>China Scholarship Council(China Scholarship Council); French National Research Agency Investissement d'Avenir(Agence Nationale de la Recherche (ANR)); MONOPOL project</t>
  </si>
  <si>
    <t>The original data of this study are available in supporting information Table S1. We thank the scientific party and crew of the Marion Dufresne of MD191-MONOPOL cruise for collecting the seawater samples in the BoB. We thank the constructive comments of the two anonymous reviewers. Z. Yu acknowledges the financial support from the China Scholarship Council. We gratefully acknowledge the support provided by Louise Bordier during ICPMS analyses. We also thank Rhoda Cronin for the careful reading of the manuscript. The research leading to this study has received funding from the French National Research Agency Investissement d'Avenir (ANR-10-LABX-0018) and the MONOPOL project (ANR 2011 Blanc SIMI 5-6 024 04). This is LSCE contribution 6046.</t>
  </si>
  <si>
    <t>10.1002/2016GC006749</t>
  </si>
  <si>
    <t>EX8DH</t>
  </si>
  <si>
    <t>WOS:000403478500005</t>
  </si>
  <si>
    <t>Subt, C; Yoon, HI; Yoo, KC; Lee, JI; Leventer, A; Domack, EW; Rosenheim, BE</t>
  </si>
  <si>
    <t>Subt, C.; Yoon, H. I.; Yoo, K. C.; Lee, J. I.; Leventer, A.; Domack, E. W.; Rosenheim, B. E.</t>
  </si>
  <si>
    <t>Sub-ice shelf sediment geochronology utilizing novel radiocarbon methodology for highly detrital sediments</t>
  </si>
  <si>
    <t>LAST GLACIAL MAXIMUM; ANTARCTIC PENINSULA; ROSS SEA; RAMPED PYROLYSIS; SHEET RETREAT; CHRONOLOGIES; HISTORY; AGES</t>
  </si>
  <si>
    <t>Sub-ice shelf sediments near Larsen C ice shelf (LIS-C) show fine-scale rhythmic laminations that could provide a near-continuous seasonal-resolution record of regional ice mass changes. Despite the great potential of these sediments, a dependable Late Quaternary chronology is difficult to generate, rendering the record incomplete. As with many marginal Antarctic sediments, in the absence of preserved carbonate microfossils, the reliability of radiocarbon chronologies depends on presence of high proportions of autochthonous organic carbon with minimized detrital organic carbon. Consequently, acid insoluble organic (AIO) C-14 dating works best where high productivity drives high sediment accumulation rates, but can be problematic in condensed sequences with high proportions of detrital organic carbon. Ramped PyrOx C-14 dating has progressively been shown to improve upon AIO C-14 dates, to the point of matching foraminiferal carbonate C-14 dates, through differential thermochemical degradation of organic components within samples. But in highly detrital sediments, proportions of contemporaneously deposited material are too low to fully separate autochthonous organic carbon from detrital carbon in samples large enough to C-14 date. We introduce two modifications of the Ramped PyrOx C-14 approach applied to highly detrital sediments near LIS-C to maximize accuracy by utilizing ultra-small fractions of the highly detrital AIO material. With minimization of the uncertainty cost, these techniques allow us to generate chronologies for cores that would otherwise go undated, pushing the limits of radiocarbon dating to regions and facies with high proportions of pre-aged detritus. Wider use of these techniques will enable more coordinated a priori coring efforts to constrain regional glacial responses to rapid warming where sediments had previously been thought too difficult to date.</t>
  </si>
  <si>
    <t>[Subt, C.; Domack, E. W.; Rosenheim, B. E.] Univ S Florida, Coll Marine Sci, St Petersburg, FL 33701 USA; [Yoon, H. I.; Yoo, K. C.; Lee, J. I.] Korea Polar Res Inst, Incheon, South Korea; [Leventer, A.] Colgate Univ, Dept Geol, Hamilton, NY 13346 USA</t>
  </si>
  <si>
    <t>State University System of Florida; University of South Florida; Korea Polar Research Institute (KOPRI); Colgate University</t>
  </si>
  <si>
    <t>Subt, C (corresponding author), Univ S Florida, Coll Marine Sci, St Petersburg, FL 33701 USA.</t>
  </si>
  <si>
    <t>csubt@mail.usf.edu</t>
  </si>
  <si>
    <t>Rosenheim, Brad/F-6349-2012</t>
  </si>
  <si>
    <t>Rosenheim, Brad/0000-0001-6141-4651; Leventer, Amy/0000-0001-9401-0987</t>
  </si>
  <si>
    <t>College of Marine Science; Office of the Provost; Office of the Senior Vice President for Research at the University of South Florida through BER's laboratory start-up package; Ministry of Oceans and Fisheries, Korea [PM 16060]; KOPRI project [PE17030]; USF Florida Georgia Louis Stokes Alliance for Minority Participation (FGLSAMP) Bridge [1400837]; [NSF PLR 0732625]; [NSF OPP-0732467]; Direct For Education and Human Resources; Division Of Human Resource Development [1400837] Funding Source: National Science Foundation</t>
  </si>
  <si>
    <t>College of Marine Science; Office of the Provost; Office of the Senior Vice President for Research at the University of South Florida through BER's laboratory start-up package; Ministry of Oceans and Fisheries, Korea; KOPRI project(Korea Polar Research Institute of Marine Research Placement (KOPRI)); USF Florida Georgia Louis Stokes Alliance for Minority Participation (FGLSAMP) Bridge; ; ; Direct For Education and Human Resources; Division Of Human Resource Development(National Science Foundation (NSF)NSF - Directorate for STEM Education (EDU))</t>
  </si>
  <si>
    <t>Most of the analyses reported herein were supported by funds from the Dean of the College of Marine Science, the Office of the Provost, and the Office of the Senior Vice President for Research at the University of South Florida through BER's laboratory start-up package. Samples were collected and initially dated as part of the project titled KIFES (KOPRI, PM 16060), funded by the Ministry of Oceans and Fisheries, Korea, and the KOPRI project PE17030. Sedimentological work on this core was supported by grants NSF PLR 0732625 to A.L. and NSF OPP-0732467 to E.W.D. C.S. was supported by the USF Florida Georgia Louis Stokes Alliance for Minority Participation (FGLSAMP) Bridge to the Doctorate Fellowship Award (HRD # 1400837). For additional information and data, please see the supporting information.</t>
  </si>
  <si>
    <t>10.1002/2016GC006578</t>
  </si>
  <si>
    <t>WOS:000403478500006</t>
  </si>
  <si>
    <t>Mangelsdorf, K; Bajerski, F; Karger, C; Wagner, D</t>
  </si>
  <si>
    <t>Mangelsdorf, Kai; Bajerski, Felizitas; Karger, Cornelia; Wagner, Dirk</t>
  </si>
  <si>
    <t>Identification of a novel fatty acid in the cell membrane of Chryseobacterium frigidisoli PB4T isolated from an East Antarctic glacier forefield</t>
  </si>
  <si>
    <t>ORGANIC GEOCHEMISTRY</t>
  </si>
  <si>
    <t>Membrane phospholipid fatty acids (PLFAs); Temperature adaptation; Characteristic biomarker; Chryseobacterium; Fatty acid identification</t>
  </si>
  <si>
    <t>DOUBLE-BOND LOCATION; COLD-SHOCK RESPONSE; SP NOV.; LARSEMANN HILLS; DIMETHYL DISULFIDE; GENUS CHRYSEOBACTERIUM; SEJONGIA-ANTARCTICA; MASS-SPECTROMETRY; RAPID METHOD; COMB. NOV</t>
  </si>
  <si>
    <t>The cell membrane phospholipid fatty acid (PLFA) inventory of Chryseobacterium frigidisoli PB4T, a psychrotolerant, non-motile, gram-negative, aerobic bacterium isolated from ice free permafrost deposits in continental Antarctica contains a FA with a novel methyl ester mass spectrum. In a temperature cultivation experiment of C. frigidisoli at 0 degrees C this unknown FA was the dominant PLFA. The molecular mass indicates a C-17 FA with two double bond equivalents (DBEs). A 3-pyridylcarbinol derivatization experiment as well as hydrogenation of the double bonds allowed structural assignment of the respective FA as 14-methyl-hexadeca-9,13-dienoic acid (anteiso-heptadeca-9,13-dienoic acid or ai-17: 2 Delta (9,13)) an unusual anteiso-omega 3-FA with bis-methylene interrupted double bonds (ai-17: 2 omega 3,7 or ai-17: 2n-3,7). The iso-counterpart of this unsaturated FA also occurred in trace amount. The close vicinity of the omega 3 double bond to the anteiso branch and also to the iso branch seems to be responsible for a shift in the gas chromatography retention times of these compounds, resulting in elution shortly after the saturated counterparts. The dominance of the ai-17: 2 omega 3,7 at 0 degrees C cultivation temperature suggests its importance for cell membrane adaptation of C. frigidisoli with respect to low ambient temperature conditions. (C) 2017 Elsevier Ltd. All rights reserved.</t>
  </si>
  <si>
    <t>[Mangelsdorf, Kai; Karger, Cornelia] Helmholtz Ctr Potsdam Organ Geochem, GFZ German Res Ctr Geosci, Potsdam, Germany; [Bajerski, Felizitas] Alfred Wegener Inst, Helmholtz Ctr Polar &amp; Marine Res, Potsdam, Germany; [Wagner, Dirk] Helmholtz Ctr Potsdam, GFZ German Res Ctr Geosci, Geomicrobiol, Potsdam, Germany; [Bajerski, Felizitas] Leibniz Inst DSMZ, German Collect Microorganisms &amp; Cell Cultures, Braunschweig, Germany</t>
  </si>
  <si>
    <t>Helmholtz Association; Helmholtz-Center Potsdam GFZ German Research Center for Geosciences; Helmholtz Association; Alfred Wegener Institute, Helmholtz Centre for Polar &amp; Marine Research; Helmholtz Association; Helmholtz-Center Potsdam GFZ German Research Center for Geosciences; Leibniz Institut fur Deutsche Sammlung von Mikroorganismen und Zellkulturen (DSMZ)</t>
  </si>
  <si>
    <t>Mangelsdorf, K (corresponding author), Helmholtz Ctr Potsdam Organ Geochem, GFZ German Res Ctr Geosci, Potsdam, Germany.</t>
  </si>
  <si>
    <t>K.Mangelsdorf@gfz-potsdam.de</t>
  </si>
  <si>
    <t>Deutsche Forschungsgemeinschaft (DFG) [WA 1554/9]</t>
  </si>
  <si>
    <t>Deutsche Forschungsgemeinschaft (DFG)(German Research Foundation (DFG))</t>
  </si>
  <si>
    <t>We are grateful to the shipboard scientific party, in particular, H.-W. Hubberten (Alfred Wegener Institute, Helmholtz Center for Polar and Marine Research) and the crew of the expedition ANT XXIII/9 in 2007 with the RV Polarstern. We also thank R.B. Sparkes and an unknown reviewer for constructive comments. The main project was funded by the Deutsche Forschungsgemeinschaft (DFG) in the framework of the priority programme SPP 1158 'Antarctic Research with Comparative Investigations in Arctic Ice Areas' by a grant to D.W. (WA 1554/9).</t>
  </si>
  <si>
    <t>0146-6380</t>
  </si>
  <si>
    <t>ORG GEOCHEM</t>
  </si>
  <si>
    <t>Org. Geochem.</t>
  </si>
  <si>
    <t>10.1016/j.orggeochem.2017.01.003</t>
  </si>
  <si>
    <t>EW4PP</t>
  </si>
  <si>
    <t>WOS:000402483700007</t>
  </si>
  <si>
    <t>Alsina-Pagès, RM; Hervás, M; Altadill, D; Calduch, J; Blanch, E</t>
  </si>
  <si>
    <t>Alsina-Pages, R. M.; Hervas, M.; Altadill, D.; Calduch, J.; Blanch, E.</t>
  </si>
  <si>
    <t>Vertical and oblique ionospheric soundings performance comparison over the 12,760 km transequatorial HF link between Antarctica and Spain</t>
  </si>
  <si>
    <t>RADIO SCIENCE</t>
  </si>
  <si>
    <t>CHANNEL; PATHS; FOF2</t>
  </si>
  <si>
    <t>This paper presents the second part of the study of the oblique sounding of a 12,760 km transequatorial ionospheric link between Livingston Island (Antarctica) and Cambrils in Spain. The study consists of the comparison among the oblique sounding results using an inverted V as receiver antenna, the International Telecommunication Union Rec533 HF prediction model, and the vertical sounding results on the path of the long haul channel. The data were collected the last consecutive surveys, when the inverted V antenna was operative (2010-2011, 2011-2012, 2012-2013, and 2013-2014). The ionospheric channel is studied in terms of frequency availability depending on time using the measurements of an oblique incidence sounder (OIS) and also measurements of several vertical incidence sounding stations (VIS) on the path of the long haul channel. The results obtained show similarities between the VIS and the OIS measurements; following previous studies preliminary results, the experiments conducted led us to think that the frequency of large availability can be estimated depending on the VIS sounding results.</t>
  </si>
  <si>
    <t>[Alsina-Pages, R. M.; Hervas, M.; Calduch, J.] La Salle Univ Ramon Llull, GTM Grp Recerca Tecnol Media, Barcelona, Spain; [Altadill, D.; Blanch, E.] Univ Ramon Llull, CSIC, Observ Ebre, Roquetes, Spain</t>
  </si>
  <si>
    <t>Universitat Ramon Llull; Consejo Superior de Investigaciones Cientificas (CSIC); Universitat Ramon Llull; Ebre Observatory</t>
  </si>
  <si>
    <t>Alsina-Pagès, RM (corresponding author), La Salle Univ Ramon Llull, GTM Grp Recerca Tecnol Media, Barcelona, Spain.</t>
  </si>
  <si>
    <t>Hervás, Marcos/K-7016-2015; Alsina-Pagès, Rosa Ma/M-6099-2017; Altadill, David/K-9309-2014; Blanch Llosa, Estefania/L-7046-2014</t>
  </si>
  <si>
    <t>Hervás, Marcos/0000-0003-2021-9264; Alsina-Pagès, Rosa Ma/0000-0003-2261-5471; Altadill, David/0000-0001-7730-385X; Blanch Llosa, Estefania/0000-0002-8438-2776</t>
  </si>
  <si>
    <t>Spanish Government [CGL2006-12437-C02, CTM2008-03536-E, CTM2009-13843C02, CTM2010-21312-C03, CTM2014-52182-C3-1-P]; Secretaria d'Universitats i Recerca del Departament d'Economia i Coneixement (Generalitat de Catalunya) [2014-SGR0590, 2015-URL-Proj-046]; Universitat Ramon Llull [2016-URL-Trac-001]; Obra Social la Caixa [2016-URL-Internac-027]; Generalitat de Catalunya [2016-URL-IR-001]</t>
  </si>
  <si>
    <t>Spanish Government(Spanish Government); Secretaria d'Universitats i Recerca del Departament d'Economia i Coneixement (Generalitat de Catalunya)(Generalitat de Catalunya); Universitat Ramon Llull; Obra Social la Caixa(La Caixa Foundation); Generalitat de Catalunya(Generalitat de Catalunya)</t>
  </si>
  <si>
    <t>This work has been funded by the Spanish Government under the projects CGL2006-12437-C02, CTM2008-03536-E, CTM2009-13843C02, CTM2010-21312-C03, and CTM2014-52182-C3-1-P. Rosa Ma Alsina Pages and Marcos Hervas thank the Secretaria d'Universitats i Recerca del Departament d'Economia i Coneixement (Generalitat de Catalunya), under grant 2014-SGR0590 and 2015-URL-Proj-046, for funding partially the study that led to this paper. David Altadill and Estefania Blanch were supported by Universitat Ramon Llull projects 2016-URL-Trac-001 and 2016-URL-Internac-027 funded by Obra Social la Caixa and 2016- URL-IR-001 funded by Generalitat de Catalunya. We also acknowledge the Global Ionospheric Radio Observatory (GIRO) and GIRO Principal Investigator B.W. Reinisch of the University of Massachusetts Lowell and GIRO data providers for making data available. Long haul ionospheric Antarctic link data are available at IGME (Instituto Geologico y Minero de Espana) after registration.</t>
  </si>
  <si>
    <t>0048-6604</t>
  </si>
  <si>
    <t>1944-799X</t>
  </si>
  <si>
    <t>RADIO SCI</t>
  </si>
  <si>
    <t>Radio Sci.</t>
  </si>
  <si>
    <t>10.1002/2016RS006232</t>
  </si>
  <si>
    <t>Astronomy &amp; Astrophysics; Geochemistry &amp; Geophysics; Meteorology &amp; Atmospheric Sciences; Remote Sensing; Telecommunications</t>
  </si>
  <si>
    <t>EX5MR</t>
  </si>
  <si>
    <t>WOS:000403287200007</t>
  </si>
  <si>
    <t>Lillo, SP; Parsons, DB</t>
  </si>
  <si>
    <t>Lillo, Samuel P.; Parsons, David B.</t>
  </si>
  <si>
    <t>Investigating the dynamics of error growth in ECMWF medium-range forecast busts</t>
  </si>
  <si>
    <t>QUARTERLY JOURNAL OF THE ROYAL METEOROLOGICAL SOCIETY</t>
  </si>
  <si>
    <t>forecast busts; Rossby waves; wave breaking; NAO</t>
  </si>
  <si>
    <t>EXTRATROPICAL TRANSITION; TROPICAL CYCLONES; WAVE-PROPAGATION; CLUSTER-ANALYSIS; CONVECTION; ENSEMBLE; CIRCULATION; PERSISTENT; ATMOSPHERE</t>
  </si>
  <si>
    <t>Despite steady and significant progress in the skill of global numerical weather prediction, 'bust' or 'dropout' events occur when forecast errors grow much larger than expected from themean performance of the model. Researchers at the European Centre for Medium-Range Weather Forecasts (ECMWF) identified 584 bust cases for 6 day predictions over Europe utilizing the ERA-Interim system as a fixed forecast model. Rodwell et al. proposed that the model's handling of mesoscale convective systems over North America, particularly during the spring, is a likely culprit for these busts. In our study, the 584 cases were examined through an empirical orthogonal function (EOF) analysis of Northern Hemisphere 500 hPa heights during the 6 day forecast period. The cases were clustered according to their behaviour in the first EOF, revealing distinctly different pattern changes. Patterns are consistent with a low wave-number Rossby train reflecting over Greenland and a higher wave-number Rossby train trapped in the Atlantic waveguide. Analysis of the waveguide reveals increased definition of the southern reflecting boundary and an extension toward Europe during bust cases. The seasonal variation of these regimes is also examined, with the maximum in bust frequency taking place during September-October, when recurving tropical storms are common in the central Atlantic. Other seasonal peaks occur in the summer and winter, proposed to be associated with mesoscale convective systems over North America and east coast cyclogenesis. Overall, these results suggest that the busts are occurring in association with the triggering and amplification of Rossby-wave activity across the Atlantic, leading to large-scale pattern transitions.</t>
  </si>
  <si>
    <t>[Lillo, Samuel P.; Parsons, David B.] Univ Oklahoma, Sch Meteorol, 120 David L Boren Blvd, Norman, OK 73072 USA</t>
  </si>
  <si>
    <t>University of Oklahoma System; University of Oklahoma - Norman</t>
  </si>
  <si>
    <t>Lillo, SP (corresponding author), Univ Oklahoma, Sch Meteorol, 120 David L Boren Blvd, Norman, OK 73072 USA.</t>
  </si>
  <si>
    <t>splillo@gmail.com</t>
  </si>
  <si>
    <t>Parsons, David B./N-6693-2019</t>
  </si>
  <si>
    <t>Parsons, David/0000-0002-7642-1085</t>
  </si>
  <si>
    <t>National Science Foundation [AGS-1237404]; Directorate For Geosciences; Div Atmospheric &amp; Geospace Sciences [1237404] Funding Source: National Science Foundation</t>
  </si>
  <si>
    <t>National Science Foundation(National Science Foundation (NSF)); Directorate For Geosciences; Div Atmospheric &amp; Geospace Sciences(National Science Foundation (NSF)NSF - Directorate for Geosciences (GEO))</t>
  </si>
  <si>
    <t>This study was supported by the National Science Foundation under Grant AGS-1237404. The list of bust cases analyzed was provided by Mark Rodwell (ECMWF), to whom we are grateful for collaboration. Steven Cavallo (OU) and David Stensrud (Penn State) have our deep appreciation for collaboration and reviewing drafts of the initial article. We all appreciate Alan Thorpe ( ECMWF) for first suggesting this general topic. Thanks are due to Nicholas Szapiro and the rest of the Arctic and Antarctic Research Group (AAARG) for many fruitful discussions over the course of this research. We thank the reviewers for their thoughtful and insightful comments and in particular for suggesting text to improve clarification.</t>
  </si>
  <si>
    <t>0035-9009</t>
  </si>
  <si>
    <t>1477-870X</t>
  </si>
  <si>
    <t>Q J ROY METEOR SOC</t>
  </si>
  <si>
    <t>Q. J. R. Meteorol. Soc.</t>
  </si>
  <si>
    <t>10.1002/qj.2938</t>
  </si>
  <si>
    <t>EW5IQ</t>
  </si>
  <si>
    <t>WOS:000402539500003</t>
  </si>
  <si>
    <t>Vignon, E; van de Wiel, BJH; van Hooijdonk, IGS; Genthon, C; van der Linden, SJA; van Hooft, JA; Baas, P; Maurel, W; Traullé, O; Casasanta, G</t>
  </si>
  <si>
    <t>Vignon, Etienne; van de Wiel, Bas J. H.; van Hooijdonk, Ivo G. S.; Genthon, Christophe; van der Linden, Steven J. A.; van Hooft, J. Antoon; Baas, Peter; Maurel, William; Traulle, Olivier; Casasanta, Giampietro</t>
  </si>
  <si>
    <t>Stable boundary-layer regimes at Dome C, Antarctica: observation and analysis</t>
  </si>
  <si>
    <t>Antarctic atmosphere; critical transition; stable boundary layer; wind-speed threshold</t>
  </si>
  <si>
    <t>SURFACE-ENERGY BALANCE; LOW-LEVEL JETS; TURBULENCE; PLATEAU; WIND; SENSITIVITY; INSTABILITY; MODEL; LAND; OSCILLATIONS</t>
  </si>
  <si>
    <t>Investigation of meteorological measurements along a 45m tower at Dome C on the high East Antarctic Plateau revealed two distinct stable boundary layer (SBL) regimes at this location. The first regime is characterized by strong winds and continuous turbulence. It results in full vertical coupling of temperature, wind magnitude and wind direction in the SBL. The second regime is characterized by weak winds, associated with weak turbulent activity and very strong temperature inversions reaching up to 25 K in the lowest 10 m. Vertical temperature profiles are generally exponentially shaped (convex) in the first regime and 'convex-concave-convex' in the second. The transition between the two regimes is particularly abrupt when looking at the near-surface temperature inversion and it can be identified by a 10 m wind-speed threshold. With winds under this threshold, the turbulent heat supply toward the surface becomes significantly lower than the net surface radiative cooling. The threshold value (including its range of uncertainty) appears to agree with recent theoretical predictions from the so-called 'minimum wind speed for sustainable turbulence' (MWST) theory. For the quasi-steady, clear-sky winter cases, the relation between the near-surface inversion amplitude and the wind speed takes a characteristic 'S' shape. Closer analysis suggests that this relation corresponds to a 'critical transition' between a steady turbulent and a steady 'radiative' regime, with a dynamically unstable branch in the transition zone. These fascinating characteristics of the Antarctic boundary layer challenge present and future numerical models to represent this region in a physically correct manner.</t>
  </si>
  <si>
    <t>[Vignon, Etienne; Genthon, Christophe] Univ Grenoble Alpes, CNRS, IRD, IGE, F-38000 Grenoble, France; [van de Wiel, Bas J. H.; van der Linden, Steven J. A.; van Hooft, J. Antoon; Baas, Peter] Delft Univ Technol, Fac Civil Engn &amp; Geosci, Geosci &amp; Remote Sensing, Delft, Netherlands; [van Hooijdonk, Ivo G. S.] Eindhoven Univ Technol, Fluid Dynam Lab, Eindhoven, Netherlands; [van Hooijdonk, Ivo G. S.] Eindhoven Univ Technol, JM Burgersctr, Eindhoven, Netherlands; [Maurel, William; Traulle, Olivier; Casasanta, Giampietro] CNRM GAME, Toulouse, France; [Casasanta, Giampietro] CNR, Inst Atmospher Sci &amp; Climate, Rome, Italy</t>
  </si>
  <si>
    <t>Centre National de la Recherche Scientifique (CNRS); Institut de Recherche pour le Developpement (IRD); Communaute Universite Grenoble Alpes; Universite Grenoble Alpes (UGA); Delft University of Technology; Eindhoven University of Technology; Eindhoven University of Technology; Centre National de la Recherche Scientifique (CNRS); Consiglio Nazionale delle Ricerche (CNR); Istituto di Scienze dell'Atmosfera e del Clima (ISAC-CNR)</t>
  </si>
  <si>
    <t>Vignon, E (corresponding author), Inst Geosci Environm, CS 40700, F-38058 Grenoble 9, France.</t>
  </si>
  <si>
    <t>etienne.vignon@univ-grenoble-alpes.fr</t>
  </si>
  <si>
    <t>van der Linden, Steven/ABB-9017-2021; van der Linden, Steven/HOC-7303-2023</t>
  </si>
  <si>
    <t>van der Linden, Steven/0000-0001-9150-0892; van der Linden, Steven/0000-0001-9150-0892; VIGNON, Etienne/0000-0003-3801-9367; van Hooft, Antoon/0000-0002-3952-0172</t>
  </si>
  <si>
    <t>Bas van de Wiel's ERC-Consolidator grant [648666]; INSU (programs LEFE CLAPA and GABLS4, OSUG (GLACIOCLIM observatory)</t>
  </si>
  <si>
    <t>Bas van de Wiel's ERC-Consolidator grant; INSU (programs LEFE CLAPA and GABLS4, OSUG (GLACIOCLIM observatory)</t>
  </si>
  <si>
    <t>We are grateful to Hubert Gallee, Arnold Moene, Chiel van Heerwaarden and Stephan de Roode for many fruitful discussions and to three anonymous referees for very helpful comments. We gratefully acknowledge Christian Lanconelli and Maurizio Busetto for dissemination of the BSRN data and Guylaine Canut for her help in processing data from the sonic thermo-anemometers. We acknowledge financial support provided by Bas van de Wiel's ERC-Consolidator grant (648666), which enabled a visit to his group by the first author. This research was supported by INSU (programs LEFE CLAPA and GABLS4, OSUG (GLACIOCLIM observatory). Logistical support by the French (IPEV) and Italian (PNRA) polar agencies through 'program CALVA' (1013) and 'CoMPASs project' is also acknowledged. Further information on the CALVA meteorological programme is available at the website http://lgge.osug.fr/similar to genthon/calva/home.shtml.</t>
  </si>
  <si>
    <t>10.1002/qj.2998</t>
  </si>
  <si>
    <t>WOS:000402539500005</t>
  </si>
  <si>
    <t>Li, DD; Liu, C; Zhang, YQ; Wang, XJ; Wang, N; Peng, M; Song, XY; Su, HN; Zhang, XY; Zhang, YZ; Shi, M</t>
  </si>
  <si>
    <t>Li, Dan-Dan; Liu, Chang; Zhang, Yan-Qi; Wang, Xiu-Juan; Wang, Ning; Peng, Ming; Song, Xiao-Yan; Su, Hai-Nan; Zhang, Xi-Ying; Zhang, Yu-Zhong; Shi, Mei</t>
  </si>
  <si>
    <t>Flavobacterium arcticum sp nov., isolated from Arctic seawater</t>
  </si>
  <si>
    <t>The genus Flavobacterium; sp nov.; Arctic seawater</t>
  </si>
  <si>
    <t>EMENDED DESCRIPTION; MICROBIAL MATS; DEOXYRIBONUCLEIC-ACID; GENUS FLAVOBACTERIUM; BACTERIUM; DATABASE; FAMILY</t>
  </si>
  <si>
    <t>A Gram-reaction-negative, aerobic, non-flagellated, rod-shaped and yellow-pigmented bacterium, designated strain SM1502(T), was isolated from Arctic seawater. The isolate grew at 10-40 degrees C and with 0-8.0% (w/v) NaCl. Phylogenetic analysis based on 16S rRNA gene sequences revealed that the isolate was affiliated with the genus Flavobacterium, with the highest sequence similarity (96.0 %) found with Flavobacterium suzhouense XIN-1(T). The major fatty acids of strain SM1502(T) were iso-C-15 : 0, iso-C (17) (: 1)omega 9c, iso-C-15 : 1 G, C-15 : 0, iso-C-17 : 0 3-OH and unknown ECL 13.565. The major respiratory quinone of strain SM1502(T) was menaquinone-6 (MK-6). Polar lipids of strain SM1502(T) included phosphatidylethanolamine and one unidentified aminolipid and lipid. The genomic DNA G+C content of strain SM1502(T) was 37.0 mol%. Based on the polyphasic data obtained in this study, strain SM1502(T) is considered to represent a novel species of the genus Flavobacterium, for which the name Flavobacterium arcticum sp. nov. is proposed. The type strain is SM1502(T) (=KCTC 42668(T)=CCTCC AB 2015346(T)).</t>
  </si>
  <si>
    <t>[Li, Dan-Dan; Liu, Chang; Zhang, Yan-Qi; Wang, Xiu-Juan; Wang, Ning; Peng, Ming; Song, Xiao-Yan; Su, Hai-Nan; Zhang, Xi-Ying; Zhang, Yu-Zhong; Shi, Mei] Shandong Univ, Marine Biotechnol Res Ctr, State Key Lab Microbial Technol, Jinan 250100, Peoples R China; [Song, Xiao-Yan; Su, Hai-Nan; Zhang, Xi-Ying; Zhang, Yu-Zhong; Shi, Mei] Shandong Univ, Inst Marine Sci &amp; Technol, Jinan 250100, Peoples R China; [Zhang, Yu-Zhong] Qingdao Natl Lab Marine Sci &amp; Technol, Lab Marine Biol &amp; Biotechnol, Qingdao 266235, Peoples R China</t>
  </si>
  <si>
    <t>Shandong University; Shandong University; Laoshan Laboratory</t>
  </si>
  <si>
    <t>Shi, M (corresponding author), Shandong Univ, Marine Biotechnol Res Ctr, State Key Lab Microbial Technol, Jinan 250100, Peoples R China.;Shi, M (corresponding author), Shandong Univ, Inst Marine Sci &amp; Technol, Jinan 250100, Peoples R China.</t>
  </si>
  <si>
    <t>clubstone@sdu.edu.cn</t>
  </si>
  <si>
    <t>Li, Dan/HJA-0406-2022; Zhang, Xi/HJH-1211-2023</t>
  </si>
  <si>
    <t>National Science Foundation of China [31470541, 41376153]; Program of Shandong for Taishan Scholars [2009TS079]; Chinese Arctic and Antarctic Administration, State Oceanic Administration, PR China [15/16YR07, 2013 YR03003, 2014 YR01011, 2016YR07007]; Fundamental Research Funds of Shandong University [2014QY006, 2015JC001]</t>
  </si>
  <si>
    <t>National Science Foundation of China(National Natural Science Foundation of China (NSFC)); Program of Shandong for Taishan Scholars; Chinese Arctic and Antarctic Administration, State Oceanic Administration, PR China; Fundamental Research Funds of Shandong University</t>
  </si>
  <si>
    <t>The work was supported by the National Science Foundation of China (grant nos 31470541 and 41376153, awarded to M. S. and H.-N. S., respectively), Program of Shandong for Taishan Scholars (2009TS079, awarded to Y.-Z. Z.), Chinese Arctic and Antarctic Administration, State Oceanic Administration, PR China (15/16YR07, 2013 YR03003, 2014 YR01011 and 2016YR07007, all awarded to Y.- Z. Z.) and the Fundamental Research Funds of Shandong University (2014QY006 and 2015JC001, awarded to X.-Y. Z. and Y.-Z. Z., respectively). Persons employed by the funders had no role in the study or in the preparation of the article or decision to publish.</t>
  </si>
  <si>
    <t>10.1099/ijsem.0.001804</t>
  </si>
  <si>
    <t>EV7WR</t>
  </si>
  <si>
    <t>WOS:000401992800051</t>
  </si>
  <si>
    <t>Graw, JH; Hansen, SE; Langston, CA; Young, BA; Mostafanejad, A; Park, Y</t>
  </si>
  <si>
    <t>Graw, Jordan H.; Hansen, Samantha E.; Langston, Charles A.; Young, Brian A.; Mostafanejad, Akram; Park, Yongcheol</t>
  </si>
  <si>
    <t>An Assessment of Crustal and Upper-Mantle Velocity Structure by Removing the Effect of an Ice Layer on the P-Wave Response: An Application to Antarctic Seismic Studies</t>
  </si>
  <si>
    <t>BULLETIN OF THE SEISMOLOGICAL SOCIETY OF AMERICA</t>
  </si>
  <si>
    <t>NORTHERN TRANSANTARCTIC MOUNTAINS; STRUCTURE BENEATH; RECEIVER FUNCTION; WEST ANTARCTICA; PERFORMANCE; DEPLOYMENT; NETWORK; ARRAY</t>
  </si>
  <si>
    <t>Standard P-wave receiver function analyses in polar environments can be difficult because reverberations in thick ice coverage often mask important P-to-S conversions from deeper subsurface structure and increase ambient noise levels, thereby significantly decreasing the signal-to-noise ratio of the data. In this study, we present an alternative approach to image the subsurface structure beneath ice sheets. We utilize downward continuation and wavefield decomposition of the P-wave response to obtain the up-and downgoing P and S wavefield potentials, which removes the effects of the ice sheet. The upgoing P wavefield, computed from decomposition of the waveform at a reference depth, is capable of indicating ice layer thickness. This simple step removes the necessity of modeling ice layer effects during iterative inversions and hastens the overall velocity analysis needed for downward continuation. The upgoing S wave is employed and modeled using standard inversion techniques as is done with receiver functions at the free surface using a least-squares approximation. To illustrate our proof of concept, data from several Antarctic networks are examined, and our results are compared with those from previous investigations using P-and S-wave receiver functions as well as body- and surface-wave tomographic analyses. We demonstrate how our approach satisfactorily removes the ice layer, thus creating a dataset that can be modeled for crustal and upper-mantle structure. Solution models indicate crustal thicknesses as well as average crustal and upper-mantle shear-wave velocities.</t>
  </si>
  <si>
    <t>[Graw, Jordan H.; Hansen, Samantha E.] Univ Alabama, Dept Geol Sci, Box 870338, Tuscaloosa, AL 35487 USA; [Langston, Charles A.] Univ Memphis, Ctr Earthquake Res &amp; Informat, 3890 Cent Ave, Memphis, TN 38152 USA; [Young, Brian A.] Sandia Natl Labs, POB 5800, Albuquerque, NM 87185 USA; [Mostafanejad, Akram] New Mexico Inst Min &amp; Technol, IRIS PASSCAL Instrument Ctr, 801 Leroy Pl, Socorro, NM 87801 USA; [Park, Yongcheol] Korea Polar Res Inst, 26 Songdomirae Ro, Incheon 406840, South Korea</t>
  </si>
  <si>
    <t>University of Alabama System; University of Alabama Tuscaloosa; University of Memphis; United States Department of Energy (DOE); Sandia National Laboratories; New Mexico Institute of Mining Technology; Korea Polar Research Institute (KOPRI)</t>
  </si>
  <si>
    <t>Graw, JH (corresponding author), Univ Alabama, Dept Geol Sci, Box 870338, Tuscaloosa, AL 35487 USA.</t>
  </si>
  <si>
    <t>jhgraw@crimson.ua.edu; clangstn@memphis.edu; byoung@sandia.gov; akram@passcal.nmt.edu; ypark@kopri.re.kr</t>
  </si>
  <si>
    <t>Langston, Charles/0000-0002-2385-918X</t>
  </si>
  <si>
    <t>National Science Foundation (NSF) [EAR-1063471]; NSF Office of Polar Programs; Department of Energy National Nuclear Security Administration; NSF [ANT-1148982]; Korean Grant [PM15020]; Directorate For Geosciences; Office of Polar Programs (OPP) [1148982] Funding Source: National Science Foundation</t>
  </si>
  <si>
    <t>National Science Foundation (NSF)(National Science Foundation (NSF)); NSF Office of Polar Programs(National Science Foundation (NSF)); Department of Energy National Nuclear Security Administration(National Nuclear Security AdministrationUnited States Department of Energy (DOE)); NSF(National Science Foundation (NSF)); Korean Grant; Directorate For Geosciences; Office of Polar Programs (OPP)(National Science Foundation (NSF)NSF - Directorate for Geosciences (GEO))</t>
  </si>
  <si>
    <t>We thank the Transantarctic Mountains Northern Network (TAMN-NET), Polar Earth Observing Network (POLENET), and KPSN field teams responsible for maintaining the instrumentation and for collecting the data that have been used in our study, as well as the staff at Incorporated Research Institutions for Seismology (IRIS)-Program for the Array Seismic Studies of the Continental Lithosphere (PASSCAL), Ken Borek Air, and McMurdo Station for their technical and logistical support. We also thank Thomas Brocher, DouglasWiens, and an anonymous reviewer for their thorough critiques of this article. The facilities of the IRIS Consortium are supported by the National Science Foundation (NSF) under Cooperative Agreement EAR-1063471, the NSF Office of Polar Programs, and the Department of Energy National Nuclear Security Administration. Funding for this project was provided by the NSF (Grant Number ANT-1148982) and by Korean Grant PM15020.</t>
  </si>
  <si>
    <t>SEISMOLOGICAL SOC AMER</t>
  </si>
  <si>
    <t>ALBANY</t>
  </si>
  <si>
    <t>400 EVELYN AVE, SUITE 201, ALBANY, CA 94706-1375 USA</t>
  </si>
  <si>
    <t>0037-1106</t>
  </si>
  <si>
    <t>1943-3573</t>
  </si>
  <si>
    <t>B SEISMOL SOC AM</t>
  </si>
  <si>
    <t>Bull. Seismol. Soc. Amer.</t>
  </si>
  <si>
    <t>10.1785/0120160262</t>
  </si>
  <si>
    <t>EW3CT</t>
  </si>
  <si>
    <t>WOS:000402373000012</t>
  </si>
  <si>
    <t>Kamenkovich, I; Garraffo, Z; Pennel, R; Fine, RA</t>
  </si>
  <si>
    <t>Kamenkovich, Igor; Garraffo, Zulema; Pennel, Romain; Fine, Rana A.</t>
  </si>
  <si>
    <t>Importance of mesoscale eddies and mean circulation in ventilation of the Southern Ocean</t>
  </si>
  <si>
    <t>Southern Ocean; tracers; mesoscale eddies; ventilation</t>
  </si>
  <si>
    <t>ANTARCTIC CIRCUMPOLAR CURRENT; TRANSIT-TIME DISTRIBUTIONS; INTERMEDIATE WATER; OVERTURNING CIRCULATION; ANTHROPOGENIC CARBON; VERTICAL COORDINATE; NORTH-ATLANTIC; MODEL HYCOM; TRANSPORT; AGE</t>
  </si>
  <si>
    <t>This study examines the relative importance of the mean advection and mesoscale currents in the property exchange between the Southern Ocean mixed layer and downstream in the upper 2000 m; this exchange is referred to as ventilation. A new, highly efficient off-line tracer model employed here uses precalculated velocities to advect dynamically passive tracers. Two idealized tracers are considered: the Boundary Impulse Response (BIR) tracer, which helps to determine the ventilation pathways and time scales, and the Transient Surface Tracer (TST), which is relevant to transient atmospheric tracers. The importance of eddies is isolated by contrasting the control simulation with a simulation without mesoscale currents. The analysis reveals complex three-dimensional ventilation pathways, controlled by the interplay between the mean advection and eddy-induced spreading. The mean currents carry the tracers eastward within ACC and contribute to the formation of the Antarctic Intermediate Water (AAIW) in the South Pacific and South Atlantic. The main effect of eddies is to disperse tracers away from the mean pathways, and this dispersion acts to retain the BIR tracer in the Atlantic and Indian sectors and reduce the upstream influence of these regions on the South Pacific. In addition, the eddy-induced along-isopycnal spreading within ACC increases the ventilated depth and the inventory of TST. The results can be used to interpret distribution of tracers in the ocean in numerical simulations and observations.</t>
  </si>
  <si>
    <t>[Kamenkovich, Igor; Fine, Rana A.] Univ Miami, RSMAS, Miami, FL 33124 USA; [Garraffo, Zulema] NOAA EMC, IMSG, College Pk, MD USA; [Pennel, Romain] Ecole Polytech, LMD IPSL, Palaiseau, France</t>
  </si>
  <si>
    <t>University of Miami; Ecole des Ponts ParisTech; Institut Polytechnique de Paris</t>
  </si>
  <si>
    <t>Kamenkovich, I (corresponding author), Univ Miami, RSMAS, Miami, FL 33124 USA.</t>
  </si>
  <si>
    <t>ikamenkovich@miami.edu</t>
  </si>
  <si>
    <t>Kamenkovich, Igor/AAG-3451-2019</t>
  </si>
  <si>
    <t>Kamenkovich, Igor/0000-0001-6228-5599; Pennel, Romain/0000-0003-4448-4820</t>
  </si>
  <si>
    <t>NSF [OCE-1060163, OCE-1433922]; NSF's Southern Ocean Carbon and Climate Observations and Modeling (SOCCOM) project under NSF award [PLR-1425989]; NOAA; NASA; Office of Polar Programs (OPP); Directorate For Geosciences [1425989] Funding Source: National Science Foundation</t>
  </si>
  <si>
    <t>NSF(National Science Foundation (NSF)); NSF's Southern Ocean Carbon and Climate Observations and Modeling (SOCCOM) project under NSF award; NOAA(National Oceanic Atmospheric Admin (NOAA) - USA); NASA(National Aeronautics &amp; Space Administration (NASA)); Office of Polar Programs (OPP); Directorate For Geosciences(National Science Foundation (NSF)NSF - Directorate for Geosciences (GEO))</t>
  </si>
  <si>
    <t>The authors are grateful to two anonymous reviewers for their helpful suggestions on improving this manuscript. This study was supported by NSF grant OCE-1060163. I.K. was in part supported by NSF's Southern Ocean Carbon and Climate Observations and Modeling (SOCCOM) project under the NSF award PLR-1425989, with additional support from NOAA and NASA; R.A.F. was in part supported by NSF award OCE-1433922. We would like to thank Joseph Metzger for his help in preparing the online simulations. CFC distributions along WOCE sections were downloaded from the online WOCE Atlas (http://woceatlas.ucsd.edu). All data from numerical simulations are available upon request from ikamenkovich@miami.edu.</t>
  </si>
  <si>
    <t>10.1002/2016JC012292</t>
  </si>
  <si>
    <t>EV9XJ</t>
  </si>
  <si>
    <t>WOS:000402139900006</t>
  </si>
  <si>
    <t>Mason, E; Pascual, A; Gaube, P; Ruiz, S; Pelegri, JL; Delepoulle, A</t>
  </si>
  <si>
    <t>Mason, Evan; Pascual, Ananda; Gaube, Peter; Ruiz, Simon; Pelegri, Josep L.; Delepoulle, Antoine</t>
  </si>
  <si>
    <t>Subregional characterization of mesoscale eddies across the Brazil-Malvinas Confluence</t>
  </si>
  <si>
    <t>mesoscale eddies; vertical velocity; eddy compositing; subregional compositing; Brazil-Malvinas Confluence; quasi-geostrophic omega equation</t>
  </si>
  <si>
    <t>ANTARCTIC CIRCUMPOLAR CURRENT; SEA-SURFACE TEMPERATURE; SOUTH-ATLANTIC-OCEAN; IN-SITU MEASUREMENTS; SOUTHWESTERN ATLANTIC; SATELLITE-OBSERVATIONS; VERTICAL VELOCITY; EDDY PROPERTIES; ARGO FLOATS; CIRCULATION</t>
  </si>
  <si>
    <t>Horizontal and vertical motions associated with coherent mesoscale structures, including eddies and meanders, are responsible for significant global transports of many properties, including heat and mass. Mesoscale vertical fluxes also influence upper ocean biological productivity by mediating the supply of nutrients into the euphotic layer, with potential impacts on the global carbon cycle. The Brazil-Malvinas Confluence (BMC) is a western boundary current region in the South Atlantic with intense mesoscale activity. This region has an active role in the genesis and transformation of water masses and thus is a critical component of the Atlantic meridional overturning circulation. The collision between the Malvinas and Brazil Currents over the Patagonian shelf/slope creates an energetic front that translates offshore to form a vigorous eddy field. Recent improvements in gridded altimetric sea level anomaly fields allow us to track BMC mesoscale eddies with high spatial and temporal resolutions using an automated eddy tracker. We characterize the eddies across fourteen 5 degrees x 5 degrees subregions. Eddy-centric composites of tracers and geostrophic currents diagnosed from a global reanalysis of surface and in situ data reveal substantial subregional heterogeneity. The in situ data are also used to compute the evolving quasi-geostrophic vertical velocity (QG-) associated with each instantaneous eddy instance. The QG- eddy composites have the expected dipole patterns of alternating upwelling/downwelling, however, the magnitude and sign of azimuthally averaged vertical velocity varies among subregions. Maximum eddy values are found near fronts and sharp topographic gradients. In comparison with regional eddy composites, subregional composites provide refined information about mesoscale eddy heterogeneity.</t>
  </si>
  <si>
    <t>[Mason, Evan; Pascual, Ananda; Ruiz, Simon] IMEDEA CSIC UIB, Esporles, Illes Balears, Spain; [Gaube, Peter] Univ Washington, Appl Phys Lab, Seattle, WA 98105 USA; [Pelegri, Josep L.] CSIC, Inst Ciencies Mar, Barcelona, Spain; [Delepoulle, Antoine] CLS Space Oceanog Div, Toulouse, France</t>
  </si>
  <si>
    <t>Universitat de les Illes Balears; Consejo Superior de Investigaciones Cientificas (CSIC); ATTITUS Educacao; University of Washington; University of Washington Seattle; Consejo Superior de Investigaciones Cientificas (CSIC); CSIC - Centro Mediterraneo de Investigaciones Marinas y Ambientales (CMIMA); CSIC - Instituto de Ciencias del Mar (ICM)</t>
  </si>
  <si>
    <t>Mason, E (corresponding author), IMEDEA CSIC UIB, Esporles, Illes Balears, Spain.</t>
  </si>
  <si>
    <t>emason@imedea.uib-csic.es</t>
  </si>
  <si>
    <t>Ruiz, Simon/N-9164-2019; Mason, Evan/A-5101-2019; Pascual, Ananda/H-8214-2013; Pelegrí, Josep L/L-5815-2014</t>
  </si>
  <si>
    <t>Ruiz, Simon/0000-0002-9395-9370; Mason, Evan/0000-0002-2283-6285; Pelegrí, Josep L/0000-0003-0661-2190; Pascual, Ananda/0000-0001-9476-9272; Gaube, Peter/0000-0002-3282-5803; Delepoulle, Antoine/0000-0003-4922-4198</t>
  </si>
  <si>
    <t>Conselleria d'Educacio, Cultura i Universitats del Govern de les Illes Balears (Mallorca, Spain); European Social Fund; Copernicus Marine Environment Monitoring Service (CMEMS) MedSUB project; NASA [NNX16AH9G]; NSF [OCE-1558809]; VA-DE-RETRO project - Spanish National Research Program [CTM2014-56987-P]; Spanish National Research Program [CTM2012-31014]</t>
  </si>
  <si>
    <t>Conselleria d'Educacio, Cultura i Universitats del Govern de les Illes Balears (Mallorca, Spain); European Social Fund(European Social Fund (ESF)); Copernicus Marine Environment Monitoring Service (CMEMS) MedSUB project; NASA(National Aeronautics &amp; Space Administration (NASA)); NSF(National Science Foundation (NSF)); VA-DE-RETRO project - Spanish National Research Program; Spanish National Research Program(Spanish Government)</t>
  </si>
  <si>
    <t>E.M. is supported by a postdoctoral grant from the Conselleria d'Educacio, Cultura i Universitats del Govern de les Illes Balears (Mallorca, Spain) and the European Social Fund. S.R. and E.M. have been partially supported by the Copernicus Marine Environment Monitoring Service (CMEMS) MedSUB project. P.G. acknowledges the support of NASA grant NNX16AH9G and NSF grant OCE-1558809. J.L.P. wishes to acknowledge support from the VA-DE-RETRO project (CTM2014-56987-P) funded by the Spanish National Research Program. ACC frontal positions were provided by CTOH (http://ctoh.legos.obs-mip.fr). ARMOR3D data supplied by Copernicus Marine Environment Monitoring Service (CMEMS) at http://marine.copernicus.eu/. SRTM bathymetry data taken from http://topex.ucsd.edu/www_html/srtm30_plus.html. The eddy data set used in this study are available from the authors upon request. This paper is a contribution to the E-MOTION project (CTM2012-31014) funded by the Spanish National Research Program. Lastly we thank two anonymous reviewers for constructive feedback.</t>
  </si>
  <si>
    <t>10.1002/2016JC012611</t>
  </si>
  <si>
    <t>WOS:000402139900039</t>
  </si>
  <si>
    <t>Hoppe, CJM; Klaas, C; Ossebaar, S; Soppa, MA; Cheah, W; Laglera, LM; Santos-Echeandia, J; Rost, B; Wolf-Gladrow, DA; Bracher, A; Hoppema, M; Strass, V; Trimborn, S</t>
  </si>
  <si>
    <t>Hoppe, C. J. M.; Klaas, C.; Ossebaar, S.; Soppa, M. A.; Cheah, W.; Laglera, L. M.; Santos-Echeandia, J.; Rost, B.; Wolf-Gladrow, D. A.; Bracher, A.; Hoppema, M.; Strass, V.; Trimborn, S.</t>
  </si>
  <si>
    <t>Controls of primary production in two phytoplankton blooms in the Antarctic Circumpolar Current</t>
  </si>
  <si>
    <t>Biological pump; Nutrient budgets; Primary productivity; Southern Ocean</t>
  </si>
  <si>
    <t>POLAR FRONTAL ZONE; SOUTHERN-OCEAN; ATLANTIC SECTOR; PACIFIC SECTOR; ATMOSPHERIC CORRECTION; SEASONAL CYCLE; CARBON EXPORT; HIGH-NUTRIENT; SILICIC-ACID; ROSS SEA</t>
  </si>
  <si>
    <t>The Antarctic Circumpolar Current has a high potential for primary production and carbon sequestration through the biological pump. In the current study, two large-scale blooms observed in 2012 during a cruise with R.V. Polarstern were investigated with respect to phytoplankton standing stocks, primary productivity and nutrient budgets. While net primary productivity was similar in both blooms, chlorophyll a-specific photosynthesis was more efficient in the bloom closer to the island of South Georgia (39 degrees W, 50 degrees S) compared to the open ocean bloom further east (12 degrees W, 51 degrees S). We did not find evidence for light.being the driver of bloom dynamics as chlorophyll standing stocks up to 165 mg m(-2) developed despite mixed layers as deep as 90 m. Since the two bloom regions differ in their distance to shelf areas, potential sources of iron vary. Nutrient (nitrate, phosphate, silicate) deficits were similar in both areas despite different bloom ages, but their ratios indicated more pronounced iron limitation at 12 degrees W compared to 39 degrees W. While primarily the supply of iron and not the availability of light seemed to control onset and duration of the blooms, higher grazing pressure could have exerted a stronger control toward the declining phase of the blooms. (C) 2015 The Authors. Published by Elsevier Ltd.</t>
  </si>
  <si>
    <t>[Hoppe, C. J. M.; Klaas, C.; Soppa, M. A.; Cheah, W.; Rost, B.; Wolf-Gladrow, D. A.; Bracher, A.; Hoppema, M.; Strass, V.; Trimborn, S.] Alfred Wegener Inst Helmholtz Ctr Polar &amp; Marine, Handelshafen 12, D-27570 Bremerhaven, Germany; [Ossebaar, S.] NIOZ Royal Netherlands Inst Sea Res, Landsdiep 4, NL-1797 SZ Horntje, Texel, Netherlands; [Cheah, W.] Acad Sinica, Res Ctr Environm Changes, 128 Acad Rd, Taipei 11529, Taiwan; [Laglera, L. M.] Univ Islas Baleares, FITRACE, Dept Quim, Cra Valldemossa, Palma De Mallorca 07122, Balearic Island, Spain; [Santos-Echeandia, J.] Inst Invest Marinas CSIC, Marine Biogeochem, Edu Cabello 6, Vigo 36208, Spain; [Bracher, A.] Univ Bremen, Inst Environm Phys, Otto Hahn Allee 1, D-28359 Bremen, Germany; [Trimborn, S.] Univ Bremen, Marine Bot, Leobener Str NW2, D-28359 Bremen, Germany</t>
  </si>
  <si>
    <t>Helmholtz Association; Alfred Wegener Institute, Helmholtz Centre for Polar &amp; Marine Research; Utrecht University; Royal Netherlands Institute for Sea Research (NIOZ); Academia Sinica - Taiwan; Universitat de les Illes Balears; Consejo Superior de Investigaciones Cientificas (CSIC); CSIC - Instituto de Investigaciones Marinas (IIM); University of Bremen; University of Bremen</t>
  </si>
  <si>
    <t>Hoppe, CJM (corresponding author), Alfred Wegener Inst Helmholtz Ctr Polar &amp; Marine, Handelshafen 12, D-27570 Bremerhaven, Germany.</t>
  </si>
  <si>
    <t>Clara.Hoppe@awi.de</t>
  </si>
  <si>
    <t>Bracher, Astrid/B-7805-2013; Santos Echeandia, Juan/HMD-1503-2023; Trimborn, Scarlett/AAM-1061-2021; Soppa, Mariana A./F-3878-2011; Bracher, Astrid/I-2672-2013; Cheah, Wee/C-8282-2012; Rost, Bjoern/B-4447-2015; Laglera, Luis/B-7983-2010; Hoppe, Clara Jule Marie/AFT-1558-2022; Hoppema, Mario/I-6286-2013</t>
  </si>
  <si>
    <t>Trimborn, Scarlett/0000-0003-1434-9927; Bracher, Astrid/0000-0003-3025-5517; Cheah, Wee/0000-0002-1824-0577; Rost, Bjoern/0000-0001-5452-5505; Laglera, Luis/0000-0002-5941-5900; Hoppe, Clara Jule Marie/0000-0002-2509-0546; Hoppema, Mario/0000-0002-2326-619X; Wolf-Gladrow, Dieter/0000-0001-9531-8668; Altenburg Soppa, Mariana/0000-0002-5100-8809; Strass, Volker/0000-0002-7539-1400; SANTOS-ECHEANDIA, JUAN/0000-0001-9101-7307; Klaas, Christine/0000-0002-6679-8970</t>
  </si>
  <si>
    <t>European Research Council (ERC) under the European Community's Seventh Framework Programme (FP7), ERC [205150]; German Science Foundation (DFG) [TR 899/2]; Helmholtz Impulse Fond (HGF Young Investigator Group EcoTrace); CAPES, Brazil [BEX 3483/09-6]; Helmholtz Innovation Fund Phytooptics; MINECO of Spain [CGL2010-11846-E]; Government of the Balearic Islands [AAEE083/09]; JAE-Doc program of the CSIC; EU FP7 project CARBOCHANGE; European Community's Seventh Framework Programme [264879]; DFG [HO 4680/1]</t>
  </si>
  <si>
    <t>European Research Council (ERC) under the European Community's Seventh Framework Programme (FP7), ERC(European Research Council (ERC)); German Science Foundation (DFG)(German Research Foundation (DFG)); Helmholtz Impulse Fond (HGF Young Investigator Group EcoTrace); CAPES, Brazil(Coordenacao de Aperfeicoamento de Pessoal de Nivel Superior (CAPES)); Helmholtz Innovation Fund Phytooptics; MINECO of Spain(Spanish Government); Government of the Balearic Islands; JAE-Doc program of the CSIC; EU FP7 project CARBOCHANGE(European Union (EU)); European Community's Seventh Framework Programme(European Union (EU)); DFG(German Research Foundation (DFG))</t>
  </si>
  <si>
    <t>We would like to thank all scientists as well as the captain, officers and crew of RV Polarstern for their work and support during the ANT-XXVIII/3 cruise. Especially, we would like to thank E. Jones and M. Iversen for helpful discussions on the present dataset. We thank S. Wiegmann for help with the HPLC analysis, F. Steinmetz (HYGEOS) for supplying Polymer-MERIS CHL data and ESA for MERIS level-1 satellite data. We also thank E. Jones for providing DIC measurements. Furthermore, we would like to thank E Altvater, D. Koilineier, R. Kottnteier, T. Rueger, V. Schourup-Kristensen for their help during the cruise as well as A. Terbriiggen, K.-U. Richter and U. Richter for help with the cruise preparations. CJ.M.H. and B.R. were funded by the European Research Council (ERC) under the European Community's Seventh Framework Programme (FP7/2007-2013), ERC Grant agreement no. 205150. S.T. was funded by the German Science Foundation (DFG), project TR 899/2 and the Helmholtz Impulse Fond (HGF Young Investigator Group EcoTrace). Funding to M.S. was supplied by CAPES, Brazil (Grant BEX 3483/09-6), and to A.B. by the Helmholtz Innovation Fund Phytooptics. This work was funded by the MINECO of Spain (Grant CGL2010-11846-E) and the Government of the Balearic Islands (Grant AAEE083/09). J.S.E. was supported by the JAE-Doc program of the CSIC. M.H. was supported through EU FP7 project CARBOCHANGE, which received funding from the European Community's Seventh Framework Programme under Grant agreement no. 264879. This work was furthermore supported by the DFG in the framework of the priority programme Antarctic Research with comparative investigations in Arctic ice areas by a Grant HO 4680/1.</t>
  </si>
  <si>
    <t>10.1016/j.dsr2.2015.10.005</t>
  </si>
  <si>
    <t>EU7JM</t>
  </si>
  <si>
    <t>hybrid, Green Published, Green Submitted</t>
  </si>
  <si>
    <t>WOS:000401211100006</t>
  </si>
  <si>
    <t>Cheah, W; Soppa, MA; Wiegmann, S; Ossebaar, S; Laglera, LM; Strass, VH; Santos-Echeandía, J; Hoppema, M; Wolf-Gladrow, D; Bracher, A</t>
  </si>
  <si>
    <t>Cheah, Wee; Soppa, Mariana A.; Wiegmann, Sonja; Ossebaar, Sharyn; Laglera, Luis M.; Strass, Volker H.; Santos-Echeandia, Juan; Hoppema, Mario; Wolf-Gladrow, Dieter; Bracher, Astrid</t>
  </si>
  <si>
    <t>Importance of deep mixing and silicic acid in regulating phytoplankton biomass and community in the iron-limited Antarctic Polar Front region in summer</t>
  </si>
  <si>
    <t>Phytoplankton; Photophysiology; Nutrients; Antarctic Polar Front</t>
  </si>
  <si>
    <t>SOUTHERN-OCEAN; EXCESSIVE IRRADIANCE; OPTICAL-PROPERTIES; EMILIANIA-HUXLEYI; PACIFIC SECTOR; CHLOROPHYLL; LIGHT; FLUORESCENCE; ACCLIMATION; LIMITATION</t>
  </si>
  <si>
    <t>Phytoplankton community structure and their physiological response in the vicinity of the Antarctic Polar Front (APF; 44 degrees S to 53 degrees S, centred at 10 degrees E) were investigated as part of the ANT-XXVIII/3 Eddy-Pump cruise conducted in austral summer 2012. Our results show that under iron-limited ( &lt; 0.3 mu mol m(-3)) conditions, high total chlorophyll-a (TChI-a) concentrations ( &gt; 0.6 mg m(-3)) can be observed at stations with deep mixed layer ( &gt; 60 m) across the APF. In contrast, light was excessive at stations with shallower mixed layer and phytoplankton were producing higher amounts of photoprotective pigments, diadinoxanthin (DD) and diatoxanthin (DT), at the expense of TChl-a, resulting in higher ratios of (DD+DT)/ TChI-a. North of the APF, significantly lower silicic acid (Si(OH)(4)) concentrations ( &lt; 2 mmol m(-3)) lead to the domination of nanophytoplankton consisting mostly of haptophytes, which produced higher ratios of (DD+DT)/TCh1-a under relatively low irradiance conditions. The Si(OH)(4) replete ( &gt; 5 mmol m(-3)) region south of the APF, on the contrary, was dominated by microphytoplankton (diatoms and dinoflagellates) with lower ratios of (DD+DT)/TChI-a, despite having been exposed to higher levels of irradiance. The significant correlation between nanophytoplankton and (DD+DT)/TChl-a indicates that differences in taxon-specific response to light are also influencing TChl-a concentration in the APF during summer. Our results reveal that provided mixing is deep and Si(OH)(4) is replete, TChI-a concentrations higher than 0.6 mg m(-3) are achievable in the iron-limited APF waters during summer. (C) 2016 Elsevier Ltd. All rights reserved.</t>
  </si>
  <si>
    <t>[Cheah, Wee] Acad Sinica, Res Ctr Environm Changes, Taipei, Taiwan; [Cheah, Wee; Soppa, Mariana A.; Wiegmann, Sonja; Strass, Volker H.; Hoppema, Mario; Wolf-Gladrow, Dieter; Bracher, Astrid] Alfred Wegener Inst, Helmholtz Ctr Polar &amp; Marine Res, Bremerhaven, Germany; [Ossebaar, Sharyn] Royal Netherlands Inst Sea Res, Texel, Netherlands; [Laglera, Luis M.] Univ Islas Baleares, FI TRACE, Dept Quim, Balearic Islands, Spain; [Santos-Echeandia, Juan] Spanish Inst Oceanog IEO, Contaminat &amp; Biol Effects, Murcia, Spain; [Bracher, Astrid] Univ Bremen, Inst Environm Phys, Bremen, Germany</t>
  </si>
  <si>
    <t>Academia Sinica - Taiwan; Helmholtz Association; Alfred Wegener Institute, Helmholtz Centre for Polar &amp; Marine Research; Utrecht University; Royal Netherlands Institute for Sea Research (NIOZ); University of Bremen</t>
  </si>
  <si>
    <t>Cheah, W (corresponding author), Acad Sinica, Res Ctr Environm Changes, Taipei, Taiwan.</t>
  </si>
  <si>
    <t>weecheah@gate.sinica.edu.tw</t>
  </si>
  <si>
    <t>Bracher, Astrid/B-7805-2013; Bracher, Astrid/I-2672-2013; Laglera, Luis/B-7983-2010; Soppa, Mariana A./F-3878-2011; Cheah, Wee/C-8282-2012; Santos Echeandia, Juan/HMD-1503-2023; Hoppema, Mario/I-6286-2013</t>
  </si>
  <si>
    <t>Bracher, Astrid/0000-0003-3025-5517; Laglera, Luis/0000-0002-5941-5900; Cheah, Wee/0000-0002-1824-0577; SANTOS-ECHEANDIA, JUAN/0000-0001-9101-7307; Strass, Volker/0000-0002-7539-1400; Altenburg Soppa, Mariana/0000-0002-5100-8809; Hoppema, Mario/0000-0002-2326-619X</t>
  </si>
  <si>
    <t>Helmholtz Innovation Fund Phytooptics [VHNG-300]; DFG [HO 4680/1]</t>
  </si>
  <si>
    <t>Helmholtz Innovation Fund Phytooptics; DFG(German Research Foundation (DFG))</t>
  </si>
  <si>
    <t>We would like to thank the captain and crew of RV Polarstern and fellow expeditioners for their assistance during the ANT-XVIII/III Eddy-Pump cruise. We thank NASA for providing MODIS Chl-a and PAR data, and SeaWiFS Chl-a data, and NOAA for the AVHRR data. We also thank ESA for the MERIS Chl-a data and the GC-CC' merged Chl-a data. We are indebted to Dr. Simon Wright for his kind assistance in the analysis of the CHEMTAX data. This work was supported by the Helmholtz Innovation Fund Phytooptics VHNG-300 and DFG in the framework of the priority programme Antarctic Research with comparative investigations in Arctic ice areas by a Grant HO 4680/1.</t>
  </si>
  <si>
    <t>10.1016/j.dsr2.2016.05.019</t>
  </si>
  <si>
    <t>WOS:000401211100007</t>
  </si>
  <si>
    <t>Puigcorbé, V; Roca-Martí, M; Masqué, P; Benitez-Nelson, CR; van der Loeff, MR; Laglera, LM; Bracher, A; Cheah, W; Strass, VH; Hoppema, M; Santos-Echeandía, J; Hunt, BPV; Pakhomov, EA; Klaas, C</t>
  </si>
  <si>
    <t>Puigcorbe, Viena; Roca-Marti, Montserrat; Masque, Pere; Benitez-Nelson, Claudia R.; van der Loeff, Michiel Rutgers; Laglera, Luis M.; Bracher, Astrid; Cheah, Wee; Strass, Volker H.; Hoppema, Mario; Santos-Echeandia, Juan; Hunt, Brian P. V.; Pakhomov, Evgeny A.; Klaas, Christine</t>
  </si>
  <si>
    <t>Particulate organic carbon export across the Antarctic Circumpolar Current at 10°E: Differences between north and south of the Antarctic Polar Front</t>
  </si>
  <si>
    <t>Particulate organic carbon export; Thorium; Southern Ocean; Antarctic Circumpolar Current; Polar Front; Export efficiency; Transfer efficiency; Plankton community</t>
  </si>
  <si>
    <t>ZOOPLANKTON FECAL PELLETS; UPPER OCEAN EXPORT; IRON-FERTILIZED AREA; ATLANTIC SECTOR; PARTICLE FLUXES; BIOGENIC SILICA; SEDIMENT TRAPS; AUSTRAL SUMMER; WATER COLUMN; SPRING BLOOM</t>
  </si>
  <si>
    <t>The vertical distribution of Th-234 was measured along the 10 degrees E meridian between 44 degrees S and 53 degrees S in the Antarctic Circumpolar Current (ACC) during the austral summer of 2012. The overarching goal of this work was to estimate particulate organic carbon (POC) export across three fronts: the Sub-Antarctic Front (SAF), the Antarctic Polar Front (APF) and the Southern Polar Front (SPF). Steady state export fluxes of Th-234 in the upper 100 m ranged from 1600 to 2600 dpm m(-2) d(-1), decreasing with increasing latitude. Using large particle ( &gt; 53 mu m) C/Th-234 ratios, the Th-234-derived POC fluxes at 100 m ranged from 25 to 41 mmol C m(-2) d(-1). Observed C/Th-234 ratios decreased with increasing depth north of the APF while south of the APF, ratios remained similar or even increased with depth. These changes in C/Th-234 ratios are likely due to differences in the food web: Indeed, satellite images, together with macro nutrients and dissolved iron concentrations suggest two different planktonic community structures north and south of the APF. Our results indicate that higher ratios of POC flux at 100 m to primary production occurred in nanophytoplankton dominated surface waters, where primary production rates were lower. Satellite images prior to the expedition suggest that the higher export efficiencies obtained in the northern half of the transect may be the result of the decoupling between production and export (Buesseler 1998). Transfer efficiencies to 400 m, i.e. the fraction of exported POC that reached 400 m, were found to be higher south of the APF, where diatoms were dominant and salps largely abundant. This suggests different remineralization pathways of sinking particles, influencing the transfer efficiency of exported POC to depth. (C) 2016 Elsevier Ltd. All rights reserved.</t>
  </si>
  <si>
    <t>[Puigcorbe, Viena; Roca-Marti, Montserrat; Masque, Pere] Univ Autonoma Barcelona, Inst Ciencia &amp; Tecnol Ambientals, Bellaterra 08193, Spain; [Puigcorbe, Viena; Roca-Marti, Montserrat; Masque, Pere] Univ Autonoma Barcelona, Dept Fis, Bellaterra 08193, Spain; [Puigcorbe, Viena; Masque, Pere] Edith Cowan Univ, Sch Sci, Joondalup, WA 6027, Australia; [Puigcorbe, Viena; Masque, Pere] Edith Cowan Univ, Ctr Marine Ecosyst Res, Joondalup, WA 6027, Australia; [Masque, Pere] Univ Western Australia, Oceans Inst, Crawley, WA 6009, Australia; [Masque, Pere] Univ Western Australia, Sch Phys, Crawley, WA 6009, Australia; [Benitez-Nelson, Claudia R.] Univ South Carolina, Marine Sci Program, Columbia, SC 29208 USA; [Benitez-Nelson, Claudia R.] Univ South Carolina, Dept Earth &amp; Ocean Sci, Columbia, SC 29208 USA; [van der Loeff, Michiel Rutgers; Bracher, Astrid; Cheah, Wee; Strass, Volker H.; Hoppema, Mario; Klaas, Christine] Alfred Wegener Inst, Helmholtz Ctr Polar &amp; Marine Res, D-27570 Bremerhaven, Germany; [Laglera, Luis M.] Univ Illes Balears, Dept Quim, FI TRACE, E-07122 Palma De Mallorca, Spain; [Bracher, Astrid] Univ Bremen, Inst Environm Phys, D-28359 Bremen, Germany; [Cheah, Wee] Acad Sinica, Res Ctr Environm Changes, Taipei 11529, Taiwan; [Santos-Echeandia, Juan] Inst Invest Marinas CSIC Eduardo Cabel, Grp Biogeoquim Marina, E-36208 Vigo, Spain; [Hunt, Brian P. V.; Pakhomov, Evgeny A.] Univ British Columbia, Dept Earth Ocean &amp; Atmospher Sci, Vancouver, BC V6T1Z4, Canada; [Hunt, Brian P. V.] Hakai Inst, P Box 309, Heriot Bay, BC V0P 1H0, Canada</t>
  </si>
  <si>
    <t>Autonomous University of Barcelona; Autonomous University of Barcelona; Edith Cowan University; Edith Cowan University; University of Western Australia; University of Western Australia; University of South Carolina System; University of South Carolina Columbia; University of South Carolina System; University of South Carolina Columbia; Helmholtz Association; Alfred Wegener Institute, Helmholtz Centre for Polar &amp; Marine Research; Universitat de les Illes Balears; University of Bremen; Academia Sinica - Taiwan; Consejo Superior de Investigaciones Cientificas (CSIC); CSIC - Instituto de Investigaciones Marinas (IIM); University of British Columbia; Hakai Institute</t>
  </si>
  <si>
    <t>Puigcorbé, V (corresponding author), Edith Cowan Univ, Sch Sci, Joondalup, WA 6027, Australia.;Puigcorbé, V (corresponding author), Edith Cowan Univ, Ctr Marine Ecosyst Res, Joondalup, WA 6027, Australia.</t>
  </si>
  <si>
    <t>viena.puigcorbe@outlook.com</t>
  </si>
  <si>
    <t>Puigcorbé, Viena/I-9349-2016; Masque, Pere/B-7379-2008; Santos Echeandia, Juan/HMD-1503-2023; Martí, Montserrat Roca/AAD-2094-2022; Cheah, Wee/C-8282-2012; Hoppema, Mario/I-6286-2013; Laglera, Luis/B-7983-2010; Bracher, Astrid/B-7805-2013; Masque, Pere/AAC-9349-2022; Bracher, Astrid/I-2672-2013</t>
  </si>
  <si>
    <t>Puigcorbé, Viena/0000-0001-5892-2305; Masque, Pere/0000-0002-1789-320X; Martí, Montserrat Roca/0000-0002-4719-9358; Cheah, Wee/0000-0002-1824-0577; Laglera, Luis/0000-0002-5941-5900; Masque, Pere/0000-0002-1789-320X; Bracher, Astrid/0000-0003-3025-5517; SANTOS-ECHEANDIA, JUAN/0000-0001-9101-7307; Klaas, Christine/0000-0002-6679-8970</t>
  </si>
  <si>
    <t>Ministerio de Ciencia e Innovation, Spain [CTM2011-14027-E]; Generalitat de Catalunya to the research group MERS [SGR-1365]; Ph.D. fellowships from the Spanish Government [AP-2009-4733, AP2010-2510]; MINECO of Spain [CGL2010-11846-E]; Helmholtz Innovation Fund Phytooptics [VH-NG-300]; DFG in the framework of the priority program Antarctic Research with comparative investigations in Arctic ice areas [HO 4680/1]</t>
  </si>
  <si>
    <t>Ministerio de Ciencia e Innovation, Spain(Spanish Government); Generalitat de Catalunya to the research group MERS; Ph.D. fellowships from the Spanish Government; MINECO of Spain(Spanish Government); Helmholtz Innovation Fund Phytooptics; DFG in the framework of the priority program Antarctic Research with comparative investigations in Arctic ice areas</t>
  </si>
  <si>
    <t>We are grateful to the crew of R/V Polarstern, the chief scientist Dieter Wolf-Gladrow and the scientists on board for their cooperation and assistance during the cruise. We further thank the members of the oceanography team, Harry Leach, Harmut Prandke, Matthew Donnelly and Matthias Kruger, for providing the hydro graphical data. We wish to acknowledge Matthew Donnelly for the help with the in situ pump sampling, Ingrid Stimac for her assistance with the cruise preparation and ICPMS analyzes, Mariana Soppa for help on board with pigment sampling and Sonja Wiegmann for HPLC analysis. We thank Morten H. Iversen for making available sediment trap data. We are really grateful for Joan Llort, Peter Strutton and Tom Trull contributions to the discussion of the data. Thanks also to the European Space Agency (ESA) for OC-CCI and MERIS data and NASA-GFSC for MODIS and SeaWiFS data. Financial support for this project was provided by the Ministerio de Ciencia e Innovation (CTM2011-14027-E, Spain) and the Generalitat de Catalunya to the research group MERS (2014 SGR-1365). VP and MR-M have been funded by Ph.D. fellowships from the Spanish Government (AP-2009-4733 and AP2010-2510, respectively). The participation of LML and JSE was funded by the MINECO of Spain (CGL2010-11846-E). Funding to WC and AB was supplied partly by the Helmholtz Innovation Fund Phytooptics (VH-NG-300). MH was partly supported by the DFG in the framework of the priority program Antarctic Research with comparative investigations in Arctic ice areas by a Grant HO 4680/1.</t>
  </si>
  <si>
    <t>10.1016/j.dsr2.2016.05.016</t>
  </si>
  <si>
    <t>WOS:000401211100008</t>
  </si>
  <si>
    <t>Roca-Martí, M; Puigcorbé, V; Iversen, MH; van der Loeff, MR; Klaas, C; Cheah, W; Bracher, A; Masqué, P</t>
  </si>
  <si>
    <t>Roca-Marti, Montserrat; Puigcorbe, Viena; Iversen, Morten H.; van der Loeff, Michiel Rutgers; Klaas, Christine; Cheah, Wee; Bracher, Astrid; Masque, Pere</t>
  </si>
  <si>
    <t>High particulate organic carbon export during the decline of a vast diatom bloom in the Atlantic sector of the Southern Ocean</t>
  </si>
  <si>
    <t>Particulate organic carbon export; Diatoms; Bloom; Southern Ocean; Thorium; Sediment traps; Biological pump; Export efficiency; Transfer efficiency</t>
  </si>
  <si>
    <t>ANTARCTIC POLAR FRONT; IRON FERTILIZATION EXPERIMENT; ZOOPLANKTON FECAL PELLETS; PARTICLE EXPORT; PHYTOPLANKTON COMMUNITY; CIRCUMPOLAR CURRENT; TWILIGHT ZONE; SPRING BLOOM; SMALL-VOLUME; MARINE SNOW</t>
  </si>
  <si>
    <t>Carbon fixation by phytoplankton plays a key role in the uptake of atmospheric CO2 in the Southern Ocean. Yet, it still remains unclear how efficiently the particulate organic carbon (POC) is exported and transferred from ocean surface waters to depth during phytoplankton blooms. In addition, little is known about the processes that control the flux attenuation within the upper twilight zone. Here, we present results of downward POC and particulate organic nitrogen fluxes during the decline of a vast diatom bloom in the Atlantic sector of the Southern Ocean in summer 2012. We used thorium-234 (Th-234) as a particle tracer in combination with drifting sediment traps (ST). Their simultaneous use evidenced a sustained high export rate of Th-234 at 100 m depth in the weeks prior to and during the sampling period. The entire study area, of approximately 8000 km(2), showed similar vertical export fluxes in spite of the heterogeneity in phytoplankton standing stocks and productivity, indicating a decoupling between production and export. The POC fluxes at 100 m were high, averaging 26 +/- 15 mmol C m(-2) d(-1), although the strength of the biological pump was generally low. Only &lt; 20% of the daily primary production reached 100 m, presumably due to an active recycling of carbon and nutrients. Pigment analyses indicated that direct sinking of diatoms likely caused the high POC transfer efficiencies (similar to 60%) observed between 100 and 300 m, although faecal pellets and transport of POC linked to zooplankton vertical migration might have also contributed to downward fluxes. (C) 2015 Elsevier Ltd. All rights reserved.</t>
  </si>
  <si>
    <t>[Roca-Marti, Montserrat; Puigcorbe, Viena; Masque, Pere] Univ Autonoma Barcelona, Inst Ciencia &amp; Tecnol Ambientals, Bellaterra 08193, Spain; [Roca-Marti, Montserrat; Puigcorbe, Viena; Masque, Pere] Univ Autonoma Barcelona, Dept Fis, Bellaterra 08193, Spain; [Iversen, Morten H.; van der Loeff, Michiel Rutgers; Klaas, Christine; Cheah, Wee; Bracher, Astrid] Alfred Wegener Inst Polar &amp; Marine Res, D-27570 Bremerhaven, Germany; [Iversen, Morten H.] Univ Bremen, Fac Geosci, D-28359 Bremen, Germany; [Iversen, Morten H.] Univ Bremen, MARUM, D-28359 Bremen, Germany; [Iversen, Morten H.] Alfred Wegener Inst Polar &amp; Marine Res, Helmholtz Young Investigator Grp SEAPUMP, D-27570 Bremerhaven, Germany; [Cheah, Wee] Acad Sinica, Res Ctr Environm Changes, Taipei 115, Taiwan; [Bracher, Astrid] Univ Bremen, Inst Environm Phys, D-28359 Bremen, Germany; [Masque, Pere] Univ Western Australia, Oceans Inst, Crawley, WA 6009, Australia; [Masque, Pere] Univ Western Australia, Sch Phys, Crawley, WA 6009, Australia; [Masque, Pere] Edith Cowan Univ, Sch Nat Sci, Joondalup, WA 6027, Australia; [Masque, Pere] Edith Cowan Univ, Ctr Marine Ecosyst Res, Joondalup, WA 6027, Australia</t>
  </si>
  <si>
    <t>Autonomous University of Barcelona; Autonomous University of Barcelona; Helmholtz Association; Alfred Wegener Institute, Helmholtz Centre for Polar &amp; Marine Research; University of Bremen; University of Bremen; Helmholtz Association; Alfred Wegener Institute, Helmholtz Centre for Polar &amp; Marine Research; Academia Sinica - Taiwan; University of Bremen; University of Western Australia; University of Western Australia; Edith Cowan University; Edith Cowan University</t>
  </si>
  <si>
    <t>Roca-Martí, M; Masqué, P (corresponding author), Univ Autonoma Barcelona, Inst Ciencia &amp; Tecnol Ambientals, Bellaterra 08193, Spain.;Roca-Martí, M; Masqué, P (corresponding author), Univ Autonoma Barcelona, Dept Fis, Bellaterra 08193, Spain.</t>
  </si>
  <si>
    <t>Montserrat.Roca.Marti@uab.cat; pere.masque@uab.cat</t>
  </si>
  <si>
    <t>Masque, Pere/AAC-9349-2022; Martí, Montserrat Roca/AAD-2094-2022; Bracher, Astrid/B-7805-2013; Puigcorbé, Viena/I-9349-2016; Cheah, Wee/C-8282-2012; Masque, Pere/B-7379-2008; Bracher, Astrid/I-2672-2013; Iversen, Morten H/C-7741-2013; Iversen, Morten Hvitfeldt/Q-3774-2016</t>
  </si>
  <si>
    <t>Masque, Pere/0000-0002-1789-320X; Martí, Montserrat Roca/0000-0002-4719-9358; Puigcorbé, Viena/0000-0001-5892-2305; Cheah, Wee/0000-0002-1824-0577; Masque, Pere/0000-0002-1789-320X; Bracher, Astrid/0000-0003-3025-5517; Iversen, Morten Hvitfeldt/0000-0002-5287-1110; Klaas, Christine/0000-0002-6679-8970</t>
  </si>
  <si>
    <t>Ministerio de Ciencia e Innovation (Spain) [CTM2011-14027-E]; Generalitat de Catalunya to the research group MERS [2014 SGR-1356]; Spanish government [AP2010-2510, AP2009-4733]; Gledden Visiting Fellowship - Institute of Advanced Studies at The University of Western Australia; Helmholtz Innovation Fund Phytooptics; Helmholtz Association; Alfred Wegener Institute for Polar and Marine Research; HGF Young Investigator Group SeaPump; DFG-Research Center/Cluster of Excellence The Ocean in the Earth System</t>
  </si>
  <si>
    <t>Ministerio de Ciencia e Innovation (Spain)(Spanish Government); Generalitat de Catalunya to the research group MERS; Spanish government(Spanish Government); Gledden Visiting Fellowship - Institute of Advanced Studies at The University of Western Australia; Helmholtz Innovation Fund Phytooptics; Helmholtz Association(Helmholtz Association); Alfred Wegener Institute for Polar and Marine Research; HGF Young Investigator Group SeaPump; DFG-Research Center/Cluster of Excellence The Ocean in the Earth System(German Research Foundation (DFG))</t>
  </si>
  <si>
    <t>We are very grateful to the crew and scientific party of the R/V Polarstern ANT-XXVIII/3 expedition for their support at sea during more than two months. Thanks to the European Space Agency (ESA) for OC-CCI data. We wish to acknowledge I. Stimac for her assistance with the cruise preparation and ICPMS analyses, S. Wiegmann for her help with the HPLC analysis in sediment trap samples, and M. Donnelly for his support deploying the in-situ pumps. The authors acknowledge C.J.M. Hoppe, V.H. Strass, D. Wolf-Gladrow and M.A. Soppa for providing valuable comments on earlier drafts. The manuscript was improved by comments from F. Planchon and an anonymous reviewer. This project was partly supported by the Ministerio de Ciencia e Innovation (CTM2011-14027-E, Spain) and the Generalitat de Catalunya to the research group MERS (2014 SGR-1356). M.R.-M. and V.P. acknowledge financial support through Ph.D. fellowships (AP2010-2510 and AP2009-4733, respectively) from the Spanish government. Support for the research of P.M. was received through a Gledden Visiting Fellowship awarded by the Institute of Advanced Studies at The University of Western Australia. Funding to W.C. and to A.B. was supplied partly by the Helmholtz Innovation Fund Phytooptics. M.H.I. was supported by the Helmholtz Association, the Alfred Wegener Institute for Polar and Marine Research, HGF Young Investigator Group SeaPump, and the DFG-Research Center/Cluster of Excellence The Ocean in the Earth System.</t>
  </si>
  <si>
    <t>10.1016/j.dsr2.2015.12.007</t>
  </si>
  <si>
    <t>WOS:000401211100009</t>
  </si>
  <si>
    <t>Pakhomov, EA; Hunt, BPV</t>
  </si>
  <si>
    <t>Pakhomov, Evgeny A.; Hunt, Brian P. V.</t>
  </si>
  <si>
    <t>Trans-Atlantic variability in ecology of the pelagic tunicate Salpa thompsoni near the Antarctic Polar Front</t>
  </si>
  <si>
    <t>SOUTHERN-OCEAN; SALP/KRILL INTERACTIONS; CARBON FLUX; LAZAREV SEA; ZONE; ZOOPLANKTON; BIOMASS; GROWTH; SECTOR; KRILL</t>
  </si>
  <si>
    <t>The distribution, density, demography and feeding dynamics of the pelagic tunicate Salpa thompsoni were investigated during the trans-Atlantic ANTARKTIS XXVIII/3 expedition to the Southern Ocean, on board RV Polarstern, between January and March 2012. Net samples were collected using an RMT-8 at four major sampling regions in the proximity of the Antarctic Polar Front (APF): along a 10 E transect, Salpastan, 12 W eulerian study, and the South Georgia Basin. Salps, mostly S. thompsoni, were found at all but one station and with few exceptions contributed &lt; &lt; 40% to total zooplankton in terms of both abundance and biomass. Salp abundance and biomass was lowest (6.2 ind.1000 m(-3) and 0.8 mgDW m(-3)) north of the APF along the 10 E transect and highest (3150 ind.1000 m(-3) and 20.5 mgDW m(-3)) at the Salpastan station south of the APF. Size distributions of S. thompsoni aggregates and solitaries, and their developmental dynamics, were similar in all locations except the Salpastan region. In aggregates, the overall salp size distributions were strongly right-tailed with the mass of the distribution always concentrated in the left where small aggregates (6-10 mm) dominated. During the eulerian study at 12 W, several cohorts of aggregates and solitaries were traceable allowing assessment of the daily growth rates of S. thompsoni. Estimated in situ growth rates of aggregates and solitaries were 0.53 +/- 0.18 and 2.83 +/- 0.42 mm day(-1), respectively, and the complete S. thompsoni life cycle duration (sexual+asexual) during austral summer at the APF region may have been as short as 2-3 months. The rapid growth rates of S. thompsoni found in this study urgently require further research to re-evaluate salp life cycle in the Southern Ocean.</t>
  </si>
  <si>
    <t>[Pakhomov, Evgeny A.] Univ British Columbia, Dept Earth Ocean &amp; Atmospher Sci, Vancouver, BC, Canada; [Pakhomov, Evgeny A.; Hunt, Brian P. V.] Univ British Columbia, Inst Oceans &amp; Fisheries, Vancouver, BC, Canada; [Hunt, Brian P. V.] Hakai Inst, POB 309, Heriot Bay, BC, Canada</t>
  </si>
  <si>
    <t>University of British Columbia; University of British Columbia; Hakai Institute</t>
  </si>
  <si>
    <t>Pakhomov, EA (corresponding author), Univ British Columbia, Dept Earth Ocean &amp; Atmospher Sci, Vancouver, BC, Canada.</t>
  </si>
  <si>
    <t>epakhomov@eoas.ubc.ca</t>
  </si>
  <si>
    <t>University of British Columbia (Canada); Alfred Wegener Institute for Polar and Marine Research (Germany); NSERC; European Union's Seventh Framework Programme for Research, Technological Development and Demonstration [302010]</t>
  </si>
  <si>
    <t>University of British Columbia (Canada); Alfred Wegener Institute for Polar and Marine Research (Germany); NSERC(Natural Sciences and Engineering Research Council of Canada (NSERC)); European Union's Seventh Framework Programme for Research, Technological Development and Demonstration(European Union (EU))</t>
  </si>
  <si>
    <t>We are grateful to the University of British Columbia (Canada) and the Alfred Wegener Institute for Polar and Marine Research (Germany) for providing funding allowing completion of this study. The professional and friendly support at sea by colleagues, the Capitan and the crew of the RV Polarstern during the ANT XXVIII/3 voyage is greatly appreciated. We would like to thank Yulia Egorova for helping to run cohort analysis. This project was partially supported by the NSERC Discovery Grant awarded to EAP. During this project B. Hunt was funded from the European Union's Seventh Framework Programme for Research, Technological Development and Demonstration under Grant agreement no. 302010 - project ISOZOO.</t>
  </si>
  <si>
    <t>10.1016/j.dsr2.2017.03.001</t>
  </si>
  <si>
    <t>WOS:000401211100011</t>
  </si>
  <si>
    <t>Lipovsky, BP; Dunham, EM</t>
  </si>
  <si>
    <t>Lipovsky, Bradley Paul; Dunham, Eric M.</t>
  </si>
  <si>
    <t>Slow-slip events on the Whillans Ice Plain, Antarctica, described using rate-and-state friction as an ice stream sliding law</t>
  </si>
  <si>
    <t>ice stream; sliding law; stick-slip; slow slip; rate-and-state friction; Whillans Ice Plain; West Antarctica</t>
  </si>
  <si>
    <t>WEST ANTARCTICA; DEPENDENT FRICTION; SUBGLACIAL TILL; SHEAR-STRESS; MASS-LOSS; FLOW; GLACIER; DYNAMICS; EARTHQUAKES; VELOCITY</t>
  </si>
  <si>
    <t>The Whillans Ice Plain (WIP), Antarctica, experiences twice daily tidally modulated stick-slip cycles. Slip events last about 30min, have sliding velocities as high as approximate to 0.5mm/s (15km/yr), and have total slip approximate to 0.5m. Slip events tend to occur during falling ocean tide: just after high tide and just before low tide. To reproduce these characteristics, we use rate-and-state friction, which is commonly used to simulate tectonic faulting, as an ice stream sliding law. This framework describes the evolving strength of the ice-bed interface throughout stick-slip cycles. We present simulations that resolve the cross-stream dimension using a depth-integrated treatment of an elastic ice layer loaded by tides and steady ice inflow. Steady sliding with rate-weakening friction is conditionally stable with steady sliding occurring for sufficiently narrow ice streams relative to a nucleation length. Stick-slip cycles occur when the ice stream is wider than the nucleation length or, equivalently, when effective pressures exceed a critical value. Ice streams barely wider than the nucleation length experience slow-slip events, and our simulations suggest that the WIP is in this slow-slip regime. Slip events on the WIP show a sense of propagation, and we reproduce this behavior by introducing a rate-strengthening region in the center of the otherwise rate-weakening ice stream. If pore pressures are raised above a critical value, our simulations predict that the WIP would exhibit quasi-steady tidally modulated sliding as observed on other ice streams. This study validates rate-and-state friction as a sliding law to describe ice stream sliding styles. Plain Language Summary The Whillans Ice Plain, a 120km wide region of the West Antarctic Ice Sheet, experiences slip events that bear similarity to tectonic earthquakes. During a slip event, the entire 120km region slides forward by about half a meter over a period of about 30min. Remarkably, on most days these slip events occur just after high tide and just before low tide. These slip events are much slower and have much lower ground accelerations than typical tectonic earthquakes of this size. We create computer simulations of these slip events using a type of friction law originally discovered in the study of tectonic earthquake. We show that the slow-slip events on the Whillans Ice Plain are similar to slow-slip events in subduction zones in that they nucleate over very long distances. Our model also recreates the general type of behavior observed in other parts of Antarctica where slip events do not occur. By better describing the friction at the base of the ice sheet, we hope to improve the computer simulations of ice sheet dynamics that constrain estimates of future sea level rise.</t>
  </si>
  <si>
    <t>[Lipovsky, Bradley Paul; Dunham, Eric M.] Stanford Univ, Dept Geophys, Stanford, CA 94305 USA; [Lipovsky, Bradley Paul] Harvard Univ, Dept Earth &amp; Planetary Sci, 20 Oxford St, Cambridge, MA 02138 USA; [Dunham, Eric M.] Stanford Univ, Inst Computat &amp; Math Engn, Stanford, CA 94305 USA</t>
  </si>
  <si>
    <t>Stanford University; Harvard University; Stanford University</t>
  </si>
  <si>
    <t>Lipovsky, BP (corresponding author), Stanford Univ, Dept Geophys, Stanford, CA 94305 USA.;Lipovsky, BP (corresponding author), Harvard Univ, Dept Earth &amp; Planetary Sci, 20 Oxford St, Cambridge, MA 02138 USA.</t>
  </si>
  <si>
    <t>brad_lipovsky@fas.harvard.edu</t>
  </si>
  <si>
    <t>Lipovsky, Bradley/0000-0003-4940-0745; Dunham, Eric/0000-0003-0804-7746</t>
  </si>
  <si>
    <t>National Science Foundation [PLR-1542885]; Directorate For Geosciences; Office of Polar Programs (OPP) [1542885] Funding Source: National Science Foundation</t>
  </si>
  <si>
    <t>National Science Foundation(National Science Foundation (NSF)); Directorate For Geosciences; Office of Polar Programs (OPP)(National Science Foundation (NSF)NSF - Directorate for Geosciences (GEO))</t>
  </si>
  <si>
    <t>Daniel Goldberg, Bryn Hubbard, and an anonymous reviewer contributed feedback that improved the quality of this manuscript. J. Paul Winberry assisted us with the GPS data. This manuscript benefited from several discussions with Rob Viesca, Matt Siegfried, Slawek Tulaczyk, Susan Schwartz, and Grace Barcheck. This work was supported by the National Science Foundation (PLR-1542885). All of the data used in this study were previously published and are available through DOI: 10.7283/T5SQ8XPC.</t>
  </si>
  <si>
    <t>10.1002/2016JF004183</t>
  </si>
  <si>
    <t>EU6QE</t>
  </si>
  <si>
    <t>WOS:000401157700011</t>
  </si>
  <si>
    <t>Tremsina, EA; Mende, SB; Frey, HU</t>
  </si>
  <si>
    <t>Tremsina, E. A.; Mende, S. B.; Frey, H. U.</t>
  </si>
  <si>
    <t>Identifying the evolution of Southern Hemisphere poleward moving auroral forms (PMAFs) in the context of plasma convection and magnetic reconnection</t>
  </si>
  <si>
    <t>DAYSIDE AURORA; IMF; FLUX; SIGNATURES</t>
  </si>
  <si>
    <t>In this study we examine the dynamic evolution of Southern Hemisphere auroral precipitation patterns, specifically poleward moving auroral forms (PMAFs). The spatial, structural, and temporal characteristics of these events have been linked to underlying magnetopause-boundary layer flux transfer events which are responsible for the generation of these ionospheric transient forms. We present five case studies of Southern Hemisphere PMAFs using optical data for 630.0 nm and 427.8 nm wavelengths from the US Automatic Geophysical Observatory Network in Antarctica. Emphasis is put on the unique capabilities of two-dimensional optical data when it comes to studying PMAFs in the context of pulsed magnetic reconnection. In a detailed examination of three PMAFs recorded in 2007, we have found that their motion closely follows the underlying plasma convection patterns as determined from backscatter radar data, which in turn are governed by the interplanetary magnetic field (IMF) configuration. Of particular interest are periods when the positive IMF By component causes an asymmetric convection pattern which is biased toward the dawn region. These cases are consistent with the expected antisymmetric nature of the northern and southern hemisphere convection. In addition, we present two pseudo PMAFs which are actually independent auroral arcs executing poleward motions and occurring when the IMF B-z was positive. Using two-dimensional images instead of one-dimensional keograms or meridian scanning photometer recordings, we were able to distinguish these arcs from PMAFs. The misidentification of these arcs as PMAFs would cause inconsistencies with the theories of cusp aurora dynamics and magnetic reconnection, and some previous studies may have included such non-PMAF events.</t>
  </si>
  <si>
    <t>[Tremsina, E. A.; Mende, S. B.; Frey, H. U.] Univ Calif Berkeley, Space Sci Lab, Berkeley, CA 94720 USA</t>
  </si>
  <si>
    <t>University of California System; University of California Berkeley</t>
  </si>
  <si>
    <t>Tremsina, EA (corresponding author), Univ Calif Berkeley, Space Sci Lab, Berkeley, CA 94720 USA.</t>
  </si>
  <si>
    <t>etremsina@berkeley.edu</t>
  </si>
  <si>
    <t>Frey, Harald/0000-0001-8955-3282</t>
  </si>
  <si>
    <t>NSF [1141961]; Office of Polar Programs (OPP); Directorate For Geosciences [1141961] Funding Source: National Science Foundation</t>
  </si>
  <si>
    <t>NSF(National Science Foundation (NSF)); Office of Polar Programs (OPP); Directorate For Geosciences(National Science Foundation (NSF)NSF - Directorate for Geosciences (GEO))</t>
  </si>
  <si>
    <t>This study was funded by NSF under grant 1141961 entitled: Auroral Signatures of Solar wind Magnetospheric Coupling at the University of California Berkeley. The authors also wish to express their gratitude to the engineering and field teams who made the U.S. Automatic Geophysical Observatory imaging observations possible. Antarctic AGO all-sky data are available at http://sprg.ssl.berkeley.edu/atmos/ago_data.html. Interplanetary magnetic field data were obtained from http://omniweb.gsfc.nasa.gov/. The authors also wish to thank the SuperDARN team for access to the convection data, which is available at http://vt.SuperDARN.org/.</t>
  </si>
  <si>
    <t>10.1002/2016JA023426</t>
  </si>
  <si>
    <t>EU9EM</t>
  </si>
  <si>
    <t>WOS:000401340800013</t>
  </si>
  <si>
    <t>Shanmugam, G</t>
  </si>
  <si>
    <t>Shanmugam, G.</t>
  </si>
  <si>
    <t>Contourites: Physical oceanography, process sedimentology, and petroleum geology</t>
  </si>
  <si>
    <t>PETROLEUM EXPLORATION AND DEVELOPMENT</t>
  </si>
  <si>
    <t>bottom currents; contourite reservoirs; Gulf of Cadiz; Florida Current; traction structures; process sedimentology</t>
  </si>
  <si>
    <t>MEDITERRANEAN OUTFLOW WATER; GULF-OF-MEXICO; OCEANIC PYCNOCLINES CHALLENGES; ANTARCTIC CIRCUMPOLAR CURRENT; GRADED TURBIDITE SEQUENCES; CURRENT REWORKED SANDS; MODERN INTERNAL WAVES; IODP EXPEDITION 339; MARINE LETTERS 21; ET-AL. 2001</t>
  </si>
  <si>
    <t>The purpose of this critical review is to address fundamental principles associated with contourites and other bottom-current deposits. The four basic types of deep-marine bottom currents are: (1) thermohaline-induced geostrophic contour currents, (2) wind-driven bottom currents, (3) tide-driven bottom currents, mostly in submarine canyons, and (4) internal wave/tide-driven baroclinic currents. Contourites are deposits of thermohaline-driven geostrophic contour currents. Contourites can be muddy or sandy in texture, siliciclastic or calciclastic in composition. Traction structures are common in deposits of all four types of bottom currents. However, there are no diagnostic sedimentological or seismic criteria for distinguishing ancient contourites from other three types. The Gulf of Cadiz is the type locality for the contourite facie model based on muddy lithofacies. However, this site is affected not only by contour currents associated with the Mediterranean Outflow Water (MOW) but also by other factors, such as internal waves and tides, turbidity currents, tsunamis, cyclones, mud volcanism, methane seepage, sediment supply, porewater venting, and bottom topography. IODP (Integrated Ocean Drilling Program) 339 cores from the Gulf of Cadiz do not show primary sedimentary structures, which are necessary for interpreting depositional processes. Therefore, the contourite facies model is sedimentologically obsolete. Bottom-current reworked sands of all four types have the potential for developing petroleum reservoirs. Modern sandy carbonate contourites have a measured maximum porosity of 40% and a maximum permeability of 9881 mD due to the winnowing away of muds from the intergranular primary pores by vigorous contour currents. These carbonate contourites are hemiconical-shaped bodies that are up to 600 m in thickness and nearly 60 km in length. Empirical data of modern contourites also show potential for seal and source-rock development. Therefore, future petroleum exploration and development should focus attention on these often overlooked siliciclastic and calciclastic deep-marine reservoirs.</t>
  </si>
  <si>
    <t>[Shanmugam, G.] Univ Texas Arlington, Dept Earth &amp; Environm Sci, Arlington, TX 76019 USA</t>
  </si>
  <si>
    <t>University of Texas System; University of Texas Arlington</t>
  </si>
  <si>
    <t>Shanmugam, G (corresponding author), Univ Texas Arlington, Dept Earth &amp; Environm Sci, Arlington, TX 76019 USA.</t>
  </si>
  <si>
    <t>shanshanmugam@aol.com</t>
  </si>
  <si>
    <t>KEAI PUBLISHING LTD</t>
  </si>
  <si>
    <t>16 DONGHUANGCHENGGEN NORTH ST, BEIJING, DONGHENG DISTRICT 100717, PEOPLES R CHINA</t>
  </si>
  <si>
    <t>1000-0747</t>
  </si>
  <si>
    <t>PETROL EXPLOR DEV+</t>
  </si>
  <si>
    <t>Petroleum Explor. Dev.</t>
  </si>
  <si>
    <t>10.1016/S1876-3804(17)30023-X</t>
  </si>
  <si>
    <t>Energy &amp; Fuels; Engineering, Petroleum; Geosciences, Multidisciplinary</t>
  </si>
  <si>
    <t>Energy &amp; Fuels; Engineering; Geology</t>
  </si>
  <si>
    <t>EU8GT</t>
  </si>
  <si>
    <t>WOS:000401277400002</t>
  </si>
  <si>
    <t>Haupt, TM; Sinclair, BJ; Chown, SL</t>
  </si>
  <si>
    <t>Haupt, Tanya M.; Sinclair, Brent J.; Chown, Steven L.</t>
  </si>
  <si>
    <t>Thermal preference and performance in a sub-Antarctic caterpillar: A test of the coadaptation hypothesis and its alternatives</t>
  </si>
  <si>
    <t>JOURNAL OF INSECT PHYSIOLOGY</t>
  </si>
  <si>
    <t>Caterpillars; Coadaptation; Fluctuating temperatures; Locomotion; Thermal performance curves; Thermal preference</t>
  </si>
  <si>
    <t>PRINGLEOPHAGA-MARIONI LEPIDOPTERA; BENEFICIAL ACCLIMATION HYPOTHESIS; THERMOREGULATORY BEHAVIOR; PTEROHELAEUS-DARLINGENSIS; FLUCTUATING TEMPERATURES; UNIFYING PRINCIPLE; BODY-TEMPERATURE; STRONG INFERENCE; NULL MODEL; SENSITIVITY</t>
  </si>
  <si>
    <t>Physiological ecologists have long assumed that thermoregulatory behaviour will evolve to optimise physiological performance. The coadaptation hypothesis predicts that an animal's preferred body temperature will correspond to the temperature at which its performance is optimal. Here we use a strong inference approach to examine the relationship between thermal preference and locomotor performance in the caterpillars of a wingless sub-Antarctic moth, Pringleophaga marioni Viette (Tineidae). The coadaptation hypothesis and its alternatives (suboptimal is optimal, thermodynamic effect, trait variation) are tested. Compared to the optimal movement temperature (22.5 degrees C for field-fresh caterpillars and 25, 20, 22.5, 25 and 20 degrees C following seven day acclimations to 0, 5, 10, 15 and 5-15 degrees C respectively), caterpillar thermal preference was significantly lower (9.2 degrees C for field-fresh individuals and 9.4, 8.8, 8.1, 5.2 and 4.6 degrees C following acclimation to 0, 5, 10, 15 and 5-15 degrees C, respectively). Together with the low degree of asymmetry observed in the performance curves, and the finding that acclimation to high temperatures did not result in maximal performance, all, but one of the above hypotheses (i.e. 'trait variation') was rejected. The thermal preference of P. marioni caterpillars more closely resembles temperatures at which survival is high (5-10 degrees C), or where feeding is optimal (10 degrees C), than where locomotion speed is maximal, suggesting that thermal preference may be optimised for overall fitness rather than for a given trait. (C) 2016 Elsevier Ltd. All rights reserved.</t>
  </si>
  <si>
    <t>[Haupt, Tanya M.] Stellenbosch Univ, Ctr Invas Biol, Dept Bot &amp; Zool, Private Bag X1, ZA-7602 Matieland, South Africa; [Sinclair, Brent J.] Univ Western Ontario, Dept Biol, London, ON N6A 5B7, Canada; [Chown, Steven L.] Monash Univ, Sch Biol Sci, Clayton, Vic 3800, Australia</t>
  </si>
  <si>
    <t>Stellenbosch University; Western University (University of Western Ontario); Monash University</t>
  </si>
  <si>
    <t>Haupt, TM (corresponding author), Dept Environm Affairs Oceans &amp; Coastal Res, Private Bag X2, ZA-8012 Cape Town, South Africa.</t>
  </si>
  <si>
    <t>THaupt-Schuter@environment.gov.za</t>
  </si>
  <si>
    <t>Sinclair, Brent J/C-6133-2012; Chown, Steven/ABD-7646-2021; Chown, Steven/H-3347-2011</t>
  </si>
  <si>
    <t>Chown, Steven/0000-0001-6069-5105</t>
  </si>
  <si>
    <t>National Research Foundation of South Africa Grant [SNA14071475789]; South African National Antarctic Programme</t>
  </si>
  <si>
    <t>National Research Foundation of South Africa Grant; South African National Antarctic Programme</t>
  </si>
  <si>
    <t>Jennifer Lee, Justine Shaw, Asanda Phiri, Kersti Hickley and Mashudu Mashau assisted with field work. Two reviewers provided helpful comments on a previous version of the manuscript. This study was supported by National Research Foundation of South Africa Grant SNA14071475789 and the South African National Antarctic Programme.</t>
  </si>
  <si>
    <t>0022-1910</t>
  </si>
  <si>
    <t>1879-1611</t>
  </si>
  <si>
    <t>J INSECT PHYSIOL</t>
  </si>
  <si>
    <t>J. Insect Physiol.</t>
  </si>
  <si>
    <t>10.1016/j.jinsphys.2016.12.006</t>
  </si>
  <si>
    <t>Entomology; Physiology; Zoology</t>
  </si>
  <si>
    <t>EU0QC</t>
  </si>
  <si>
    <t>WOS:000400715400015</t>
  </si>
  <si>
    <t>Ding, MH; Zhang, T; Xiao, CD; Li, CJ; Jin, B; Bian, LG; Wang, SJ; Zhang, DQ; Qin, DH</t>
  </si>
  <si>
    <t>Ding MingHu; Zhang Tong; Xiao CunDe; Li ChuanJin; Jin Bo; Bian LinGen; Wang ShuJie; Zhang DongQi; Qin DaHe</t>
  </si>
  <si>
    <t>Snowdrift effect on snow deposition: Insights from a comparison of a snow pit profile and meteorological observations in east Antarctica</t>
  </si>
  <si>
    <t>Snowdrift process; Air-snow interaction; Ice core dating; Ultrasonic sounder; Post depositional process</t>
  </si>
  <si>
    <t>SURFACE MASS-BALANCE; AUTOMATIC WEATHER STATIONS; LAMBERT GLACIER BASIN; ICE-SHEET; ZHONGSHAN STATION; SPATIAL VARIABILITY; TRAVERSE ROUTE; ACCUMULATION; DOME; SUBLIMATION</t>
  </si>
  <si>
    <t>A high-frequency and precise ultrasonic sounder was used to monitor precipitated/deposited and drift snow events over a 3-year period (17 January 2005 to 4 January 2008) at the Eagle automatic weather station site, inland Antarctica. Ion species and oxygen isotope ratios were also generated from a snow pit below the sensor. These accumulation and snowdrift events were used to examine the synchronism with seasonal variations of delta O-18 and ion species, providing an opportunity to assess the snowdrift effect in typical Antarctic inland conditions. There were up to 1-year differences for this 3-year-long snow pit between the traditional dating method and ultrasonic records. This difference implies that in areas with low accumulation or high wind, the snowdrift effect can induce abnormal disturbances on snow deposition. The snowdrift effect should be seriously taken into account for high-resolution dating of ice cores and estimation of surface mass balance, especially when the morphology of most Antarctic inland areas is similar to that of the Eagle site.</t>
  </si>
  <si>
    <t>[Ding MingHu; Zhang Tong; Xiao CunDe; Bian LinGen; Wang ShuJie; Zhang DongQi] Chinese Acad Meteorol Sci, State Key Lab Severe Weather, Beijing 100081, Peoples R China; [Ding MingHu; Zhang Tong; Xiao CunDe; Li ChuanJin; Qin DaHe] Chinese Acad Sci, Northwest Inst Ecoenvironm &amp; Resources, State Key Lab Cryospher Sci, Lanzhou 730000, Peoples R China; [Jin Bo] Chinese Arctic &amp; Antarctic Adm, Beijing 100860, Peoples R China</t>
  </si>
  <si>
    <t>China Meteorological Administration; Chinese Academy of Meteorological Sciences (CAMS); Chinese Academy of Sciences</t>
  </si>
  <si>
    <t>Ding, MH; Zhang, T (corresponding author), Chinese Acad Meteorol Sci, State Key Lab Severe Weather, Beijing 100081, Peoples R China.;Ding, MH; Zhang, T (corresponding author), Chinese Acad Sci, Northwest Inst Ecoenvironm &amp; Resources, State Key Lab Cryospher Sci, Lanzhou 730000, Peoples R China.</t>
  </si>
  <si>
    <t>dingminghu@foxmail.com; tongzhangice@foxmail.com</t>
  </si>
  <si>
    <t>Ding, Minghu/AFU-3600-2022</t>
  </si>
  <si>
    <t>National Basic Research Program of China [2013CBA01804]; National Natural Science Foundation of China [41425003, 41601070]; State Oceanic Administration of the People's Republic of China Project on Climate in Polar Regions [CHINARE2016-2020]; Climate Change Estimation Program by China Meteorological Administration [CCSF201332]</t>
  </si>
  <si>
    <t>National Basic Research Program of China(National Basic Research Program of China); National Natural Science Foundation of China(National Natural Science Foundation of China (NSFC)); State Oceanic Administration of the People's Republic of China Project on Climate in Polar Regions; Climate Change Estimation Program by China Meteorological Administration</t>
  </si>
  <si>
    <t>We are very grateful to Dr. H.C. Steen-Larsen for the kind help with both language and science. This study was supported by the National Basic Research Program of China (Grant No. 2013CBA01804), the National Natural Science Foundation of China (Grant Nos. 41425003 &amp; 41601070), the State Oceanic Administration of the People's Republic of China Project on Climate in Polar Regions (Grant No. CHINARE2016-2020) and Climate Change Estimation Program by China Meteorological Administration (Grant No. CCSF201332).</t>
  </si>
  <si>
    <t>10.1007/s11430-016-0008-4</t>
  </si>
  <si>
    <t>ET8LQ</t>
  </si>
  <si>
    <t>WOS:000400551300006</t>
  </si>
  <si>
    <t>Hui, FM; Kang, J; Liu, Y; Cheng, X; Gong, P; Wang, F; Li, Z; Ye, YF; Guo, ZQ</t>
  </si>
  <si>
    <t>Hui FengMing; Kang Jing; Liu Yan; Cheng Xiao; Gong Peng; Wang Fang; Li Zhan; Ye YuFang; Guo ZiQi</t>
  </si>
  <si>
    <t>AntarcticaLC2000: The new Antarctic land cover database for the year 2000</t>
  </si>
  <si>
    <t>Antarctica; Land cover; Remote sensing</t>
  </si>
  <si>
    <t>BLUE-ICE AREAS; SURFACE-ENERGY BALANCE; DRONNING MAUD LAND; SNOW COVER; EAST ANTARCTICA; VICTORIA LAND; MASS-BALANCE; ETM PLUS; CLASSIFICATION; IMAGE</t>
  </si>
  <si>
    <t>Antarctica plays a key role in global energy balance and sea level change. It has been conventionally viewed as a whole ice body with high albedo in General Circulation Models or Regional Climate Models and the differences of land cover has usually been overlooked. Land cover in Antarctica is one of the most important drivers of changes in the Earth system. Detailed land cover information over the Antarctic region is necessary as spatial resolution improves in land process models. However, there is a lack of complete Antarctic land cover dataset derived from a consistent data source. To fill this data gap, we have produced a database named Antarctic Land Cover Database for the Year 2000 (AntarcticaLC2000) using Landsat Enhanced Thematic Mapper Plus (ETM+) data acquired around 2000 and Moderate Resolution Imaging Spectrometer (MODIS) images acquired in the austral summer of 2003/2004 according to the criteria for the 1:100000-scale. Three land cover types were included in this map, separately, ice-free rocks, blue ice, and snow/firn. This classification legend was determined based on a review of the land cover systems in Antarctica (LCCSA) and an analysis of different land surface types and the potential of satellite data. Image classification was conducted through a combined usage of computer-aided and manual interpretation methods. A total of 4067 validation sample units were collected through visual interpretation in a stratified random sampling manner. An overall accuracy of 92.3% and the Kappa coefficient of 0.836 were achieved. Results show that the areas and percentages of ice-free rocks, blue ice, and snow/firn are 73268.81 km(2) (0.537%), 225937.26 km(2) (1.656%), and 13345460.41 km(2) (97.807%), respectively. The comparisons with other different data proved a higher accuracy of our product and a more advantageous data quality. These indicate that AntarcticaLC2000, the new land cover dataset for Antarctica entirely derived from satellite data, is a reliable product for a broad spectrum of applications.</t>
  </si>
  <si>
    <t>[Hui FengMing; Kang Jing; Liu Yan; Cheng Xiao; Wang Fang; Li Zhan; Ye YuFang] Beijing Normal Univ, Coll Global Change &amp; Earth Syst Sci, State Key Lab Remote Sensing Sci, Beijing 100875, Peoples R China; [Gong Peng] Tsinghua Univ, Ctr Earth Syst Sci, Minist Educ, Key Lab Earth Syst Modeling, Beijing 100084, Peoples R China; [Gong Peng; Guo ZiQi] Chinese Acad Sci, State Key Lab Remote Sensing Sci, Inst Remote Sensing &amp; Digital Earth, Beijing 100101, Peoples R China; [Li Zhan] Univ Massachusetts, Sch Environm, Boston, MA 02125 USA; [Ye YuFang] Univ Bremen, Inst Environm Phys, D-28359 Bremen, Germany; [Hui FengMing; Liu Yan; Cheng Xiao; Gong Peng] Joint Ctr Global Change Studies, Beijing 100875, Peoples R China</t>
  </si>
  <si>
    <t>Beijing Normal University; Tsinghua University; Chinese Academy of Sciences; The Institute of Remote Sensing &amp; Digital Earth, CAS; University of Massachusetts System; University of Massachusetts Boston; University of Bremen</t>
  </si>
  <si>
    <t>xcheng@bnu.edu.cn</t>
  </si>
  <si>
    <t>Liu）, 刘岩（Yan/AAT-5481-2020; Ye, Yufang/AAN-9304-2021; Wang, Fang/B-1923-2016; Gong, Peng/AAM-1516-2021; Kang, Jing/GPT-2654-2022; Kang, Jing/ABI-3220-2020; Li, Zhan/HKM-4393-2023</t>
  </si>
  <si>
    <t>Ye, Yufang/0000-0001-6520-3851; Gong, Peng/0000-0003-1513-3765; Kang, Jing/0000-0001-5603-4611; Kang, Jing/0000-0001-5603-4611; Li, Zhan/0000-0001-6307-5200</t>
  </si>
  <si>
    <t>Chinese Arctic and Antarctic Administration; National Basic Research Program of China [2012CB957704]; National Natural Science Foundation of China [41676176, 41676182]; National High-tech R&amp;D Program of China [2008AA09Z117]</t>
  </si>
  <si>
    <t>Chinese Arctic and Antarctic Administration; National Basic Research Program of China(National Basic Research Program of China); National Natural Science Foundation of China(National Natural Science Foundation of China (NSFC)); National High-tech R&amp;D Program of China(National High Technology Research and Development Program of China)</t>
  </si>
  <si>
    <t>We thank the LIMA mission at the U.S. Geological Survey for providing the ETM+ scenes, the National Snow and Ice Data Center for providing the MODIS mosaic data and the Scientific Committee on Antarctic Research for providing the Composite Gazetteer of Antarctica and the Antarctic Digital Database. This work was supported by the Chinese Arctic and Antarctic Administration, National Basic Research Program of China (Grant No. 2012CB957704), National Natural Science Foundation of China (Grant Nos. 41676176 &amp; 41676182), and National High-tech R&amp;D Program of China (Grant No. 2008AA09Z117).</t>
  </si>
  <si>
    <t>10.1007/s11430-016-0029-2</t>
  </si>
  <si>
    <t>WOS:000400551300007</t>
  </si>
  <si>
    <t>Li, T; Liu, Y; Cheng, X; Ouyang, LX; Li, XQ; Liu, JP; Shokr, M; Hui, FM; Zhang, J; Wen, JH</t>
  </si>
  <si>
    <t>Li Tian; Liu Yan; Cheng Xiao; Ouyang LunXi; Li XinQing; Liu JiPing; Shokr, Mohammed; Hui FengMing; Zhang Jing; Wen JiaHong</t>
  </si>
  <si>
    <t>The effect of seafloor topography in the Southern Ocean on tabular iceberg drifting and grounding</t>
  </si>
  <si>
    <t>Bedmap-2; Seafloor topography; Iceberg grounding; Antarctica</t>
  </si>
  <si>
    <t>ANTARCTIC SLOPE FRONT; WATER MASSES; ICE SHELVES; WEDDELL SEA; ROSS SEA; CIRCULATION; REGIME; SYSTEM</t>
  </si>
  <si>
    <t>Antarctic tabular icebergs are important active components in the ice sheet-ice shelf-ocean system. Seafloor topography is the key factor that affects the drifting and grounding of icebergs, but it has not been fully investigated. This study analyzes the impact of seafloor topography on the drifting and grounding of Antarctic tabular icebergs using Bedmap-2 datasets and iceberg route tracking data from Brigham Young University. The results highlight the following points. (1) The quantitative distributions of iceberg grounding events and the tracking points of grounded icebergs are mainly affected by iceberg draft and reach their peak values in sea water with depths between 200 m and 300 m. The peak tracking point number and linear velocity of free-drifting icebergs are found in the Antarctic Slope Front (water depth of approximately 500 m). (2) The area of possible grounding regions of small-scale icebergs calved from ice shelf fronts accounts for 28% of the sea area at water depths less than 2000 m outside the Antarctic coastline periphery (3.62 million km(2)). Their spatial distribution is mainly around East Antarctica and the Antarctic Peninsula. The area of possible grounding regions of large tabular icebergs with long axes larger than 18.5 km (in water depths of less than 800 m) accounts for 74% of the sea area. (3) The iceberg drifting velocity is positively correlated with ocean depth in areas where the depth is less than 2000 m (R=0.85, P&lt;0.01). This result confirms the effect of water depth variations induced by seafloor topography fluctuations on iceberg drifting velocity.</t>
  </si>
  <si>
    <t>[Li Tian; Liu Yan; Cheng Xiao; Ouyang LunXi; Li XinQing; Hui FengMing; Zhang Jing] Beijing Normal Univ, Coll Global Change &amp; Earth Syst Sci, State Key Lab Remote Sensing Sci, Beijing 100875, Peoples R China; [Li Tian; Liu Yan; Cheng Xiao; Ouyang LunXi; Li XinQing; Hui FengMing; Zhang Jing] Joint Ctr Global Change &amp; China Green Dev, Beijing 100875, Peoples R China; [Liu JiPing] SUNY Albany, Dept Atmospher &amp; Environm Sci, Albany, NY 12222 USA; [Shokr, Mohammed] Environm Canada, Sci &amp; Technol Branch, Toronto, ON M3H 5T4, Canada; [Wen JiaHong] Shanghai Normal Univ, Dept Geog, Shanghai 200234, Peoples R China</t>
  </si>
  <si>
    <t>Beijing Normal University; State University of New York (SUNY) System; State University of New York (SUNY) Albany; Environment &amp; Climate Change Canada; Shanghai Normal University</t>
  </si>
  <si>
    <t>Cheng, X (corresponding author), Beijing Normal Univ, Coll Global Change &amp; Earth Syst Sci, State Key Lab Remote Sensing Sci, Beijing 100875, Peoples R China.;Cheng, X (corresponding author), Joint Ctr Global Change &amp; China Green Dev, Beijing 100875, Peoples R China.</t>
  </si>
  <si>
    <t>Li, Xinqing/AAT-5475-2020; Liu）, 刘岩（Yan/AAT-5481-2020</t>
  </si>
  <si>
    <t>Li, Xinqing/0000-0002-3984-3203; Li, Tian/0000-0002-1577-4004</t>
  </si>
  <si>
    <t>National Key Research and Development Program of China [2016YFA0600103]; National Natural Science Foundation of China [41406211, 41476161, 41676182, 41676176]; National Basic Research Program of China [2012CB957704]; Key Laboratory Research Fund of the National Administration of Surveying, Mapping and Geoinformation of China [201416]; Specialized Research Fund for the Doctoral Program of Higher Education [20120003110030]; Project of International Cooperation and Exchanges CHINARE [201611]</t>
  </si>
  <si>
    <t>National Key Research and Development Program of China; National Natural Science Foundation of China(National Natural Science Foundation of China (NSFC)); National Basic Research Program of China(National Basic Research Program of China); Key Laboratory Research Fund of the National Administration of Surveying, Mapping and Geoinformation of China; Specialized Research Fund for the Doctoral Program of Higher Education(Specialized Research Fund for the Doctoral Program of Higher Education (SRFDP)); Project of International Cooperation and Exchanges CHINARE</t>
  </si>
  <si>
    <t>We thank the British Antarctic Survey for providing the Bedmap-2 dataset, and Brigham Young University for making available the iceberg tracking data. This study was supported by the National Key Research and Development Program of China (Grant No. 2016YFA0600103), the National Natural Science Foundation of China (Grant Nos. 41406211, 41476161, 41676182 &amp; 41676176), the National Basic Research Program of China (Grant No. 2012CB957704), the Key Laboratory Research Fund of the National Administration of Surveying, Mapping and Geoinformation of China (Grant No. 201416), the Specialized Research Fund for the Doctoral Program of Higher Education (Grant No. 20120003110030), and the Project of International Cooperation and Exchanges CHINARE (Grant No. 201611).</t>
  </si>
  <si>
    <t>10.1007/s11430-016-9014-5</t>
  </si>
  <si>
    <t>WOS:000400551300008</t>
  </si>
  <si>
    <t>Edgar, GJ; Stuart-Smith, RD; Cooper, A; Jacques, M; Valentine, J</t>
  </si>
  <si>
    <t>Edgar, Graham J.; Stuart-Smith, Rick D.; Cooper, Antonia; Jacques, Michael; Valentine, Joe</t>
  </si>
  <si>
    <t>New opportunities for conservation of handfishes (Family Brachionichthyidae) and other inconspicuous and threatened marine species through citizen science</t>
  </si>
  <si>
    <t>Population monitoring; Reef Life Survey; State-of-the-environment reporting; Tasmania; Underwater visual census</t>
  </si>
  <si>
    <t>REEF; ASSEMBLAGES; DIVERSITY; DENSITY; DECLINE; SCALE; RISK</t>
  </si>
  <si>
    <t>Volunteer divers participating in the Reef Life Survey (RLS) program actively assist species conservation efforts by generating data for threat assessments and population trend monitoring, through in-water restoration efforts, and through outreach of marine conservation messages. Up to 2014, standardised underwater visual survey data provided by RLS divers described densities of 495 cryptic fish species at over 1200 sites distributed around Australia. Each species was recorded on 34 separate transect blocks on average, allowing the first assessments of population trends for many species. These data highlight the threatened and data deficient status of endemic Australian handfish species. At least five shallow-water handfish species are potentially threatened, including the smooth handfish Sympterichthys unipennis, which has not been sighted for over 200 years, but is yet to be included on any threatened species list. RLS divers undertook directed searches at key historical locations for two handfish species, the red handfish Thymichthys politus, now only known from a single reef, and Ziebell's handfish Brachiopsilus ziebelli, with no confirmed sighting for over a decade. From a total of 100 h of underwater search effort, only four red handfish were recorded, all at a site threatened by adjacent human activity. These and other handfish species should be considered for inclusion on the IUCN Red List given that populations are either very small or have vanished, spawning substrates have probably declined, and the species lack a larval dispersal stage. More importantly, the absence of information on the conservation status of the majority of marine species needs urgent attention, including through expanded citizen science efforts, if management intervention is to occur and extinctions minimised. (C) 2016 Elsevier Ltd. All rights reserved.</t>
  </si>
  <si>
    <t>[Edgar, Graham J.; Stuart-Smith, Rick D.; Cooper, Antonia] Univ Tasmania, Inst Marine &amp; Antarctic Studies, Hobart, Tas 7001, Australia; [Jacques, Michael] Marine Life Network, 12 Blessington St, South Arm, Tas 7022, Australia; [Valentine, Joe] Aquenal Ptd Ltd, Summerleas Rd, Kingston, Tas, Australia</t>
  </si>
  <si>
    <t>Edgar, GJ (corresponding author), Univ Tasmania, Inst Marine &amp; Antarctic Studies, Hobart, Tas 7001, Australia.</t>
  </si>
  <si>
    <t>Edgar, Graham/AAY-3797-2020; Stuart-Smith, Rick/I-5214-2019; Stuart-Smith, Rick D/M-1829-2013</t>
  </si>
  <si>
    <t>Edgar, Graham/0000-0003-0833-9001; Stuart-Smith, Rick/0000-0002-8874-0083; Stuart-Smith, Rick D/0000-0002-8874-0083</t>
  </si>
  <si>
    <t>former Commonwealth Environment Research Facilities Program; Australian Research Council; Marine Biodiversity Hub; Department's Marine and Freshwater Species Conservation Section; Ian Potter Foundation; Veolia Pty Ltd; Derwent Estuary Program; CSIRO; Aquenal Pty Ltd</t>
  </si>
  <si>
    <t>former Commonwealth Environment Research Facilities Program; Australian Research Council(Australian Research Council); Marine Biodiversity Hub; Department's Marine and Freshwater Species Conservation Section; Ian Potter Foundation; Veolia Pty Ltd; Derwent Estuary Program; CSIRO(Commonwealth Scientific &amp; Industrial Research Organisation (CSIRO)); Aquenal Pty Ltd</t>
  </si>
  <si>
    <t>The efforts of all Reef Life Survey volunteer divers who participated in field surveys are gratefully acknowledged. Development of the RLS program was supported by the former Commonwealth Environment Research Facilities Program, while analyses were supported by the Australian Research Council and the Marine Biodiversity Hub, a collaborative partnership supported through the Australian Government's National Environmental Science Program. Policy advice was provided by Debbie Rudd and Ashley Leedman of the Australian Government's Department of the Environment, and surveys specifically targeting important handfish locations in 2015 were funded by the Department's Marine and Freshwater Species Conservation Section. Other funding has been provided to RLS activities by the Ian Potter Foundation, while the field work for spotted handfish was supported by Veolia Pty Ltd., the Derwent Estuary Program, CSIRO and Aquenal Pty Ltd, Mark Green is also thanked for leading ongoing efforts to improve recovery of spotted handfish populations, and Neville Barrett, Peter Last, Jeremy Lane, Mick Baron and Karen Gowlett-Holmes for sharing knowledge on handfishes and support. Provision of photographs by Andrew Green, Tania Mendo and Nick Perkins is gratefully acknowledged.</t>
  </si>
  <si>
    <t>10.1016/j.biocon.2016.07.028</t>
  </si>
  <si>
    <t>ES9EN</t>
  </si>
  <si>
    <t>WOS:000399859000020</t>
  </si>
  <si>
    <t>Shao, XY; Li, F; Yan, JG; Ye, M; Hao, WF</t>
  </si>
  <si>
    <t>Shao Xian-Yuan; Li Fei; Yan Jian-Guo; Ye Mao; Hao Wei-Feng</t>
  </si>
  <si>
    <t>Longitude distribution characteristics of lunar radial craters and simulation of synchronously rotating orbital configuration</t>
  </si>
  <si>
    <t>Radial craters; Synchronous rotation; Asymmetric ratio of crater generation; Lunar Crater Database; Heavy Bombardment</t>
  </si>
  <si>
    <t>INNER SOLAR-SYSTEM; IMPACT CRATERS; MOON; EARTH; STRATIGRAPHY</t>
  </si>
  <si>
    <t>There would be spatial cratering frequency asymmetries under current spin-orbit resonance of synchronous rotation on the moon. The frequency distribution of radial craters population, which is younger than about 0. 9 Ga, was analyzed with the LRO and Clementine image data, showing an asymmetry of 1. 35-1. 53 in west-east hemisphere direction; With the assumption that the lunar was under a slow but gradual synchronous rotation, the average apexantapex was analyzed during 0. 9 Ga using the radial craters, suggesting a shift from 70 degrees W-110 degrees E to 90 degrees W-90 degrees E. The impact frequency variation of craters from the Heavy Bombardment was analyzed using the Lunar Crater Database on the scale of geological ages, showing that a totally opposite approximate synchronous rotation probably existed during the Heavy Bombardment period, but was lately destroyed by severe impact of Imbrium or Orientale possibly. The lunar likely has experienced a reversal.</t>
  </si>
  <si>
    <t>[Shao Xian-Yuan; Li Fei; Yan Jian-Guo; Ye Mao] Wuhan Univ, State Key Lab Informat Engn Surveying Mapping &amp; R, Wuhan 430079, Peoples R China; [Li Fei; Hao Wei-Feng] Wuhan Univ, Chinese Antarctic Ctr Surveying &amp; Mapping, Wuhan 430079, Peoples R China</t>
  </si>
  <si>
    <t>Wuhan University; Wuhan University</t>
  </si>
  <si>
    <t>Li, F (corresponding author), Wuhan Univ, State Key Lab Informat Engn Surveying Mapping &amp; R, Wuhan 430079, Peoples R China.;Li, F (corresponding author), Wuhan Univ, Chinese Antarctic Ctr Surveying &amp; Mapping, Wuhan 430079, Peoples R China.</t>
  </si>
  <si>
    <t>sandfish@163.com; fli@whu.edu.cn</t>
  </si>
  <si>
    <t>Yan, Jianguo/0000-0003-2612-4776</t>
  </si>
  <si>
    <t>10.6038/cjg20170408</t>
  </si>
  <si>
    <t>ET0QC</t>
  </si>
  <si>
    <t>WOS:000399967500008</t>
  </si>
  <si>
    <t>Seviour, WJM; Gnanadesikan, A; Waugh, D; Pradal, MA</t>
  </si>
  <si>
    <t>Seviour, William J. M.; Gnanadesikan, Anand; Waugh, Darryn; Pradal, Marie-Aude</t>
  </si>
  <si>
    <t>Transient Response of the Southern Ocean to Changing Ozone: Regional Responses and Physical Mechanisms</t>
  </si>
  <si>
    <t>ANTARCTIC SEA-ICE; GENERAL-CIRCULATION MODEL; BOUNDARY-LAYER; CLIMATE-CHANGE; CMIP5 MODELS; TRENDS; PARAMETERIZATION; SIMULATIONS; VARIABILITY; CONVECTION</t>
  </si>
  <si>
    <t>The impact of changing ozone on the climate of the Southern Ocean is evaluated using an ensemble of coupled climate model simulations. By imposing a step change from 1860 to 2000 conditions, response functions associated with this change are estimated. The physical processes that drive this response are different across time periods and locations, as is the sign of the response itself. Initial cooling in the Pacific sector is driven not only by the increased winds pushing cold water northward, but also by the southward shift of storms associated with the jet stream. This shift drives both an increase in cloudiness (resulting in less absorption of solar radiation) and an increase in net freshwater flux to the ocean (resulting in a decrease in surface salinity that cuts off mixing of warm water from below). A subsurface increase in temperature associated with this reduction in mixing then upwells along the Antarctic coast, producing a subsequent warming. Similar changes in convective activity occur in the Weddell Sea but are offset in time. Changes in sea ice concentration also play a role in modulating solar heating of the ocean near the continent. The time scale for the initial cooling is much longer than that seen in NCAR CCSM3.5, possibly reflecting differences in natural convective variability between that model (which has essentially no Southern Ocean deep convection) and the one used here (which has a large and possibly unrealistically regular mode of convection) or to differences in cloud feedbacks or in the location of the anomalous winds.</t>
  </si>
  <si>
    <t>[Seviour, William J. M.; Gnanadesikan, Anand; Waugh, Darryn; Pradal, Marie-Aude] Johns Hopkins Univ, Dept Earth &amp; Planetary Sci, Baltimore, MD 21218 USA</t>
  </si>
  <si>
    <t>Johns Hopkins University</t>
  </si>
  <si>
    <t>Gnanadesikan, A (corresponding author), Johns Hopkins Univ, Dept Earth &amp; Planetary Sci, Baltimore, MD 21218 USA.</t>
  </si>
  <si>
    <t>gnanades@jhu.edu</t>
  </si>
  <si>
    <t>Gnanadesikan, Anand/A-2397-2008; Waugh, Darryn/K-3688-2016</t>
  </si>
  <si>
    <t>Seviour, William/0000-0003-1622-0545; Waugh, Darryn/0000-0001-7692-2798; Gnanadesikan, Anand/0000-0001-5784-1116</t>
  </si>
  <si>
    <t>National Science Foundation under NSF [FESD-1338814]</t>
  </si>
  <si>
    <t>National Science Foundation under NSF(National Science Foundation (NSF))</t>
  </si>
  <si>
    <t>This work was supported by the National Science Foundation under NSF proposal FESD-1338814. We thank David Trossman, Jordan Thomas, David Ferreira, and four anonymous reviewers for useful comments on an earlier version of the manuscript. Interpolated OLR data provided by NOAA/ OAR/ESRL PSD, Boulder, CO, United States, from their web site (http://www.esrl.noaa.gov/psd).</t>
  </si>
  <si>
    <t>10.1175/JCLI-D-16-0474.1</t>
  </si>
  <si>
    <t>ES6SA</t>
  </si>
  <si>
    <t>WOS:000399678400010</t>
  </si>
  <si>
    <t>Zhang, JK; Xie, F; Tian, WS; Han, YY; Zhang, KQ; Qi, YL; Chipperfield, M; Feng, WH; Huang, JL; Shu, JC</t>
  </si>
  <si>
    <t>Zhang, Jiankai; Xie, Fei; Tian, Wenshou; Han, Yuanyuan; Zhang, Kequan; Qi, Yulei; Chipperfield, Martyn; Feng, Wuhu; Huang, Jinlong; Shu, Jianchuan</t>
  </si>
  <si>
    <t>Influence of the Arctic Oscillation on the Vertical Distribution of Wintertime Ozone in the Stratosphere and Upper Troposphere over the Northern Hemisphere</t>
  </si>
  <si>
    <t>CHEMISTRY-CLIMATE MODEL; TROPICAL LOWER STRATOSPHERE; QUASI-BIENNIAL OSCILLATION; DYNAMICAL CONTRIBUTIONS; ATMOSPHERIC DYNAMICS; TIBETAN PLATEAU; ANTARCTIC OZONE; EL-NINO; COLUMN; VARIABILITY</t>
  </si>
  <si>
    <t>The influence of the Arctic Oscillation (AO) on the vertical distribution of stratospheric ozone in the Northern Hemisphere in winter is analyzed using observations and an offline chemical transport model. Positive ozone anomalies are found at low latitudes (0 degrees-30 degrees N) and there are three negative anomaly centers in the northern mid- and high latitudes during positive AO phases. The negative anomalies are located in the Arctic middle stratosphere (similar to 30 hPa; 70 degrees-90 degrees N), Arctic upper troposphere-lower stratosphere (UTLS; 150-300 hPa, 70 degrees-90 degrees N), and midlatitude UTLS (70-300 hPa, 308-608N). Further analysis shows that anomalous dynamical transport related to AO variability primarily controls these ozone changes. During positive AO events, positive ozone anomalies between 0 degrees and 30 degrees N at 50-150 hPa are related to the weakened meridional transport of the Brewer-Dobson circulation (BDC) and enhanced eddy transport. The negative ozone anomalies in the Arctic middle stratosphere are also caused by the weakened BDC, while the negative ozone anomalies in the Arctic UTLS are caused by the increased tropopause height, weakened BDC vertical transport, weaker exchange between the midlatitudes and the Arctic, and enhanced ozone depletion via heterogeneous chemistry. The negative ozone anomalies in the midlatitude UTLS are mainly due to enhanced eddy transport from the midlatitudes to the latitudes equatorward of 30 degrees N, while the transport of ozone-poor air from the Arctic to the midlatitudes makes a minor contribution. Interpreting AO-related variability of stratospheric ozone, especially in the UTLS, would be helpful for the prediction of tropospheric ozone variability caused by the AO.</t>
  </si>
  <si>
    <t>[Zhang, Jiankai; Tian, Wenshou; Han, Yuanyuan; Zhang, Kequan; Huang, Jinlong] Lanzhou Univ, Coll Atmospher Sci, Minist Educ, Key Lab Semiarid Climate Change, Lanzhou, Peoples R China; [Xie, Fei] Beijing Normal Univ, Coll Global Change &amp; Earth Syst Sci, State Key Lab Earth Surface Proc &amp; Resource Ecol, Beijing, Peoples R China; [Qi, Yulei] Chengdu Univ Informat Technol, Sch Atmospher Sci, Chengdu, Peoples R China; [Chipperfield, Martyn; Feng, Wuhu] Univ Leeds, Sch Earth &amp; Environm, Natl Ctr Atmospher Sci, Leeds, W Yorkshire, England; [Feng, Wuhu] Univ Leeds, Sch Chem, Leeds, W Yorkshire, England; [Shu, Jianchuan] China Meteorol Adm, Inst Plateau Meteorol, Chengdu, Peoples R China</t>
  </si>
  <si>
    <t>Lanzhou University; Beijing Normal University; Chengdu University of Information Technology; University of Leeds; UK Research &amp; Innovation (UKRI); Natural Environment Research Council (NERC); NERC National Centre for Atmospheric Science; University of Leeds; China Meteorological Administration</t>
  </si>
  <si>
    <t>Xie, F (corresponding author), Beijing Normal Univ, Coll Global Change &amp; Earth Syst Sci, State Key Lab Earth Surface Proc &amp; Resource Ecol, Beijing, Peoples R China.</t>
  </si>
  <si>
    <t>xiefei@bnu.edu.cn</t>
  </si>
  <si>
    <t>Zhang, Jiankai/AAR-3510-2020; Xie, Fei/I-9766-2016; FENG, WUHU/B-8327-2008; Zhang, Jiankai/N-8781-2019; Chipperfield, Martyn/H-6359-2013</t>
  </si>
  <si>
    <t>Zhang, Jiankai/0000-0002-8491-0225; Xie, Fei/0000-0003-2891-3883; FENG, WUHU/0000-0002-9907-9120; Chipperfield, Martyn/0000-0002-6803-4149</t>
  </si>
  <si>
    <t>National Natural Science Foundation of China [41575038, 41575039, 41405043]; 973 Project of China [2014CB441202]; Natural Environment Research Council [ncas10005, ncas10009, ncas10008] Funding Source: researchfish; NERC [ncas10005, ncas10008] Funding Source: UKRI</t>
  </si>
  <si>
    <t>National Natural Science Foundation of China(National Natural Science Foundation of China (NSFC)); 973 Project of China(National Basic Research Program of China); Natural Environment Research Council(UK Research &amp; Innovation (UKRI)Natural Environment Research Council (NERC)); NERC(UK Research &amp; Innovation (UKRI)Natural Environment Research Council (NERC))</t>
  </si>
  <si>
    <t>Funding for this work was provided by the National Natural Science Foundation of China (41575038, 41575039, and 41405043) and the 973 Project of China (Grant 2014CB441202). The SLIMCAT modelling work was supported by the U.K. National Centre for Atmospheric Science (NCAS). We acknowledge the use of datasets from the NOAA/Climate Prediction Center, MERRA-2, SBUV, and MLS. The authors would also like to thank Stacey Frith for her help with providing SBUV ozone data. We are also grateful to Dr. Kai Zhang for his help with processing MLS ozone data. TheAO index data source is available online at http://www.cpc.ncep.noaa.gov/products/precip/CWlink/daily_ao_index/monthly.ao.index.b50.current.ascii. The MLS data used here are obtained from MLS version 3.3 level-2 products (available online at http://disc.sci.gsfc.nasa.gov/Aura/data-holdings/MLS/ml2o3.002.shtml).</t>
  </si>
  <si>
    <t>10.1175/JCLI-D-16-0651.1</t>
  </si>
  <si>
    <t>ES6SO</t>
  </si>
  <si>
    <t>WOS:000399679900011</t>
  </si>
  <si>
    <t>Cerrone, D; Fusco, G; Simmonds, I; Aulicino, G; Budillon, G</t>
  </si>
  <si>
    <t>Cerrone, D.; Fusco, G.; Simmonds, I.; Aulicino, G.; Budillon, G.</t>
  </si>
  <si>
    <t>Dominant Covarying Climate Signals in the Southern Ocean and Antarctic Sea Ice Influence during the Last Three Decades</t>
  </si>
  <si>
    <t>NOVA BAY POLYNYA; NORTHERN-HEMISPHERE WINTER; HALF-YEARLY CYCLE; INTERANNUAL VARIATIONS; ANNULAR MODE; SEMIANNUAL OSCILLATION; SURFACE-TEMPERATURE; CIRCUMPOLAR WAVE; ROSS SEA; ATMOSPHERIC CIRCULATION</t>
  </si>
  <si>
    <t>A composite dataset (comprising geopotential height, sea surface temperature, zonal and meridional surface winds, precipitation, cloud cover, surface air temperature, latent plus sensible heat fluxes, and sea ice concentration) has been investigated with the aim of revealing the dominant time scales of variability from 1982 to 2013. Three covarying climate signals associated with variations in the sea ice distribution around Antarctica have been detected through the application of the multiple-taper method with singular value decomposition (MTM-SVD). Features of the established patterns of variation over the Southern Hemisphere extratropics have been identified in each of these three climate signals in the form of coupled or individual oscillations. The climate patterns considered here are the southern annular mode (SAM), the Pacific-South American (PSA) teleconnection, the semiannual oscillation (SAO), and the zonal wavenumber-3 (ZW3) mode. It is shown that most of the sea ice temporal variance is concentrated at the quasi-triennial scale resulting from the constructive superposition of the PSA and ZW3 patterns. In addition, the combination of the SAM and SAO patterns is found to promote the interannual sea ice variations underlying a general change in the Southern Ocean atmospheric and oceanic circulations. These two modes of variability are also found to be consistent with the occurrence of the positive SAM/negative PSA (SAM(+)/PSA(-)) or negative SAM/positive PSA (SAM(-)/PSA(+)) combinations, which could have favored the cooling of the sub-Antarctic region and important changes in the Antarctic sea ice distribution since 2000.</t>
  </si>
  <si>
    <t>[Cerrone, D.; Fusco, G.; Budillon, G.] Univ Napoli Parthenope, Dipartimento Sci &amp; Tecnol, Naples, Italy; [Fusco, G.] Consorzio Nazl Interuniv Sci Mare, Rome, Italy; [Simmonds, I.] Univ Melbourne, Sch Earth Sci, Melbourne, Vic, Australia; [Aulicino, G.] Univ Politecn Marche, Dipartimento Sci Vita &amp; Ambiente, Ancona, Italy</t>
  </si>
  <si>
    <t>Parthenope University Naples; CoNISMa; University of Melbourne; Melbourne Bioinformatics; Marche Polytechnic University</t>
  </si>
  <si>
    <t>Cerrone, D; Fusco, G (corresponding author), Univ Napoli Parthenope, Dipartimento Sci &amp; Tecnol, Naples, Italy.;Fusco, G (corresponding author), Consorzio Nazl Interuniv Sci Mare, Rome, Italy.</t>
  </si>
  <si>
    <t>dario.cerrone@uniparthenope.it; giannetta.fusco@uniparthenope.it</t>
  </si>
  <si>
    <t>Fusco, Giannetta/J-5118-2019; Aulicino, Giuseppe/I-8981-2019</t>
  </si>
  <si>
    <t>Fusco, Giannetta/0000-0003-1769-2456; Aulicino, Giuseppe/0000-0001-6406-8715; Simmonds, Ian/0000-0002-4479-3255</t>
  </si>
  <si>
    <t>Australian Research Council [DP160101997]</t>
  </si>
  <si>
    <t>This study was performed in the framework of Interocean Exchange of Antarctic Intermediate Water in the Southern Hemisphere South of South Africa and of Coastal Ecosystem Functioning in a Changing Antarctic Ocean projects as part of the Italian National Program for Research in Antarctica (PNRA). Part of this research was made possible by an Australian Research Council grant (DP160101997) to Simmonds. Data used in this study are available from NOAA/OAR/ESRL PSD, Boulder, Colorado (online at http://www.esrl.noaa.gov/psd/).</t>
  </si>
  <si>
    <t>10.1175/JCLI-D-16-0439.1</t>
  </si>
  <si>
    <t>WOS:000399679900019</t>
  </si>
  <si>
    <t>Cipro, CVZ; Taniguchi, S; Montone, RC</t>
  </si>
  <si>
    <t>Cipro, Caio V. Z.; Taniguchi, Satie; Montone, Rosalinda Carmela</t>
  </si>
  <si>
    <t>Organic Pollutants in Snow and Seasonal Melting Water from King George Island, Antarctica</t>
  </si>
  <si>
    <t>Antarctica; POPs; PAHs; PBDEs; Organochlorine; Pollution</t>
  </si>
  <si>
    <t>ORGANOCHLORINE PESTICIDES; ATMOSPHERIC TRANSPORT; DEPOSITION</t>
  </si>
  <si>
    <t>Despite its isolation and scarce occupation, Antarctica is not exempt from the input of contaminants related to present and past human activities. Several deleterious compounds, such as the persistent organic pollutants (POPs) may reach Antarctic ecosystems, mostly via atmospheric long-range transport and further deposition. In this context, snow and its seasonal melting water represent a sink to these pollutants and also the last compartment before they reach marine primary producers. In order to assess the concentration of a selection of organic contaminants, a PDMS headspace extraction method was chosen due to its improvement in fieldwork sampling. Samples were collected in King George Island, during the austral summers from 2007 to 2010. PBDEs and PAHs remained under the method detection limits in all of the cases, restricting data interpretation to organochlorine compounds: average Sigma(HCHs) ranged from 1.46 to 4.17, HCBs from 1.36 to 3.77, Sigma(Drins) from &lt;0.35 to 4.29, Sigma(Chlordanes) from 5.72 to 13.3, Sigma(DDTs) from 4.32 to 24.4, and PCBs from 132 to 156 (always in pg kg(-1)). Results were, in general, in agreement with previous literature. Nevertheless, due to the fact that samples were collected progressively later into the austral summer, one trend can be noticed: the sum of the concentrations in both matrixes seems to decrease, with a proportional increase in snow. Some exceptions can be remarked, hypothetically linked to the passage of South American frontal systems. Finally, results for these two compartments are compatible with the exposure expected for lower trophic-level organisms from such ecosystem.</t>
  </si>
  <si>
    <t>[Cipro, Caio V. Z.; Taniguchi, Satie; Montone, Rosalinda Carmela] Univ Sao Paulo, Inst Oceanog, Lab Quim Organ Marinha, Praca Oceanog 191, BR-05508900 Sao Paulo, SP, Brazil</t>
  </si>
  <si>
    <t>Universidade de Sao Paulo</t>
  </si>
  <si>
    <t>Cipro, CVZ (corresponding author), Univ Sao Paulo, Inst Oceanog, Lab Quim Organ Marinha, Praca Oceanog 191, BR-05508900 Sao Paulo, SP, Brazil.</t>
  </si>
  <si>
    <t>Cipro, Caio Vinícius Zecchin/C-6338-2014; Taniguchi, Satie/D-2552-2013; Montone, Rosalinda/J-9110-2012</t>
  </si>
  <si>
    <t>Montone, Rosalinda/0000-0002-9586-1000</t>
  </si>
  <si>
    <t>Brazilian Antarctic Program (PROANTAR), Ministry of the Environment (MMA) [55.0348/2002-6]; Conselho Nacional de Desenvolvimento Cientifico e Tecnologico (Brazilian National Council for Scientific and Technological Development - CNPq); Sao Paulo Research Foundation (FAPESP) [2007/55956-0]; Brazilian Coordination for the Improvement of Higher Education Personnel (CAPES, PDEE) [2999/10-2]</t>
  </si>
  <si>
    <t>Brazilian Antarctic Program (PROANTAR), Ministry of the Environment (MMA); Conselho Nacional de Desenvolvimento Cientifico e Tecnologico (Brazilian National Council for Scientific and Technological Development - CNPq)(Conselho Nacional de Desenvolvimento Cientifico e Tecnologico (CNPQ)Fundacao de Apoio a Pesquisa do Distrito Federal (FAPDF)); Sao Paulo Research Foundation (FAPESP)(Fundacao de Amparo a Pesquisa do Estado de Sao Paulo (FAPESP)); Brazilian Coordination for the Improvement of Higher Education Personnel (CAPES, PDEE)(Coordenacao de Aperfeicoamento de Pessoal de Nivel Superior (CAPES))</t>
  </si>
  <si>
    <t>Collection of samples was part of the project Environmental Management of Admiralty Bay, King George Island, Antarctica: Persistent organic pollutants and sewage (contract no. 55.0348/2002-6), funded by the Brazilian Antarctic Program (PROANTAR), Ministry of the Environment (MMA), and Conselho Nacional de Desenvolvimento Cientifico e Tecnologico (Brazilian National Council for Scientific and Technological Development - CNPq). Antarctic logistics was provided by Secretaria da Comissao Interministerial para os Recursos do Mar (Secretary of the Interministerial Commission on Marine Resources - SECIRM). CVZ Cipro was funded by the Sao Paulo Research Foundation (FAPESP grant no. 2007/55956-0) and also by the Brazilian Coordination for the Improvement of Higher Education Personnel (CAPES, PDEE grant no. 2999/10-2) during the course of this work.</t>
  </si>
  <si>
    <t>10.1007/s11270-017-3325-5</t>
  </si>
  <si>
    <t>ES9JM</t>
  </si>
  <si>
    <t>WOS:000399872600028</t>
  </si>
  <si>
    <t>Angulo-Preckler, C; Tuya, F; Avila, C</t>
  </si>
  <si>
    <t>Angulo-Preckler, Carlos; Tuya, Fernando; Avila, Conxita</t>
  </si>
  <si>
    <t>Abundance and size patterns of echinoderms in coastal soft-bottoms at Deception Island (South Shetland Islands, Antarctica)</t>
  </si>
  <si>
    <t>Benthic invertebrates; Brittle star; Sea urchin; Sea star; Sedimentation; Density</t>
  </si>
  <si>
    <t>WEDDELL SEA SHELF; BENTHIC COMMUNITIES; PORT FOSTER; POPULATION-STRUCTURE; MCMURDO SOUND; FAUNA; DIVERSITY; DYNAMICS; GROWTH; INVERTEBRATES</t>
  </si>
  <si>
    <t>Deception Island is an active volcano in Antarctic waters under high sedimentation regimes, which may affect the abundance and structure of soft-bottom assemblages. During the summer of 2012-2013, a survey of the shallow water soft-bottom assemblages of Deception Island was carried out to examine patterns of abundance and size structure of the three dominant echinoderms (Ophionotus victoriae, Sterechinus neumayeri and Odontaster validus) at 8 locations encompassing a gradient in proximity from the open ocean, including two depths (5 vs. 15 m) per location. Abundance patterns of the three species varied with depth; organisms were typically more abundant at 15 relative to 5 m depth. Our results partially supported the hypothesis that echinoderms from locations adjacent to the open ocean present larger abundances. Body sizes varied significantly among locations and depths for the three species and some places presented a density-size pattern. High sedimentation rates, combined with low ice-related disturbance, may be the reason behind the large abundances of echinoderms found in this waters.</t>
  </si>
  <si>
    <t>[Angulo-Preckler, Carlos; Avila, Conxita] Univ Barcelona, Dept Evolutionary Biol Ecol &amp; Environm Sci, Av Diagonal 643, E-08028 Barcelona, Catalonia, Spain; [Angulo-Preckler, Carlos; Avila, Conxita] Biodivers Res Inst IrBIO, Av Diagonal 643, Barcelona 08028, Catalonia, Spain; [Tuya, Fernando] Univ Las Palmas dean Canaria, IU ECOAQUA, Campus Tafira, Tafira 35017, Las Palmas, Spain</t>
  </si>
  <si>
    <t>University of Barcelona</t>
  </si>
  <si>
    <t>Angulo-Preckler, C (corresponding author), Univ Barcelona, Dept Evolutionary Biol Ecol &amp; Environm Sci, Av Diagonal 643, E-08028 Barcelona, Catalonia, Spain.;Angulo-Preckler, C (corresponding author), Biodivers Res Inst IrBIO, Av Diagonal 643, Barcelona 08028, Catalonia, Spain.</t>
  </si>
  <si>
    <t>carlospreckler@hotmail.com</t>
  </si>
  <si>
    <t>Tuya, Fernando/HGD-4037-2022; Angulo_Preckler, Carlos/A-6456-2011; Avila, Conxita/B-9466-2008</t>
  </si>
  <si>
    <t>Tuya, Fernando/0000-0001-8316-5887; Angulo_Preckler, Carlos/0000-0001-9028-274X; Avila, Conxita/0000-0002-5489-8376</t>
  </si>
  <si>
    <t>ACTIQUIM-II research project [CTM2010-17415]; FPU Program from the Spanish Government [AP2009-2081]</t>
  </si>
  <si>
    <t>ACTIQUIM-II research project; FPU Program from the Spanish Government</t>
  </si>
  <si>
    <t>Thanks are due to F.J. Cristobo, L. Nitfiez-Pons, J. Moles, A. Riesgo, and M. Bas for their help with the fieldwork. Thanks are also due to the crew of BAE Gabriel de Castilla for their logistic support during the Antarctic dives. This work was developed within the frame of the ACTIQUIM-II research project (CTM2010-17415) and C. Angulo-Preckler was funded by the FPU Program (AP2009-2081) from the Spanish Government. The echinoderm pictures were used with the permission of Dr. Figuerola, and for them we are thankful.</t>
  </si>
  <si>
    <t>10.1016/j.csr.2016.12.010</t>
  </si>
  <si>
    <t>ES1DR</t>
  </si>
  <si>
    <t>WOS:000399268600011</t>
  </si>
  <si>
    <t>Thorne, MAS; Seybold, A; Marshall, C; Wharton, D</t>
  </si>
  <si>
    <t>Thorne, Michael A. S.; Seybold, Anna; Marshall, Craig; Wharton, David</t>
  </si>
  <si>
    <t>Molecular snapshot of an intracellular freezing event in an Antarctic nematode</t>
  </si>
  <si>
    <t>CRYOBIOLOGY</t>
  </si>
  <si>
    <t>Panagrolaimus davidi; Antarctic; Nematode; Intracellular freezing; Neprilysin; Leucine-rich repeat</t>
  </si>
  <si>
    <t>COLD-TOLERANCE MECHANISMS; CRYOPROTECTIVE DEHYDRATION; PANAGROLAIMUS-DAVIDI; CAENORHABDITIS-ELEGANS; NEPRILYSIN NEP; PROTEINS; ICE; SURVIVAL; DESICCATION; EXPRESSION</t>
  </si>
  <si>
    <t>The Antarctic nematode, Panagrolaimus sp. DAW1 (formerly called Panagrolaimus davidi), is the best documented example of an organism able to survive intracellular ice formation in all of its compartments. Not only is it able to survive such extreme physiological disruption, but it is able to produce progeny once thawed from such a state. In addition, under slower rates, or less extreme degrees, of cooling, its body remains unfrozen and the vapour pressure difference between the supercooled body fluids and the surrounding ice leads to a process termed cryoprotective dehydration. In contrast to a fairly large body of work in building up our molecular understanding of cryoprotective dehydration, no comparable work has been undertaken on intracellular freezing. This paper describes an experiment subjecting cultures of Panagrolaimus sp. DAW1 to a range of temperatures including a rapid descent to -10 degrees C, in a medium just prior to, and after, freezing. Through deep sequencing of RNA libraries we have gained a snapshot of which genes are highly abundant when P. sp. DAW1 is undergoing an intracellular freezing event. The onset of freezing correlated with a high production of genes involved in cuticle formation and subsequently, after 24 h in a frozen state, protease production. In addition to the mapping of RNA sequencing, we have focused on a select set of genes arising both from the expression profiles, as well as implicated from other cold tolerance studies, to undertake qPCR. Among the most abundantly represented transcripts in the RNA mapping is the zinc-metalloenzyme, neprilysin, which also shows a particularly strong upregulated signal through qPCR once the nematodes have frozen. (C) 2017 Elsevier Inc. All rights reserved.</t>
  </si>
  <si>
    <t>[Thorne, Michael A. S.] British Antarctic Survey, Cambridge, England; [Seybold, Anna; Marshall, Craig] Univ Otago, Dept Biochem &amp; Genet Otago, Dunedin, New Zealand; [Wharton, David] Univ Otago, Dept Zool, Dunedin, New Zealand</t>
  </si>
  <si>
    <t>UK Research &amp; Innovation (UKRI); Natural Environment Research Council (NERC); NERC British Antarctic Survey; University of Otago; University of Otago</t>
  </si>
  <si>
    <t>Thorne, MAS (corresponding author), British Antarctic Survey, Cambridge, England.</t>
  </si>
  <si>
    <t>mior@bas.ac.uk</t>
  </si>
  <si>
    <t>Marshall, Craig J./C-6668-2009</t>
  </si>
  <si>
    <t>Marshall, Craig J./0000-0003-4186-0368; Thorne, Michael/0000-0001-7759-612X</t>
  </si>
  <si>
    <t>NERC; University of Otago; Natural Environment Research Council [bas0100036] Funding Source: researchfish; NERC [bas0100036] Funding Source: UKRI</t>
  </si>
  <si>
    <t>NERC(UK Research &amp; Innovation (UKRI)Natural Environment Research Council (NERC)); University of Otago; Natural Environment Research Council(UK Research &amp; Innovation (UKRI)Natural Environment Research Council (NERC)); NERC(UK Research &amp; Innovation (UKRI)Natural Environment Research Council (NERC))</t>
  </si>
  <si>
    <t>This project was financed by NERC core funding to BAS, as well as by the University of Otago.</t>
  </si>
  <si>
    <t>0011-2240</t>
  </si>
  <si>
    <t>1090-2392</t>
  </si>
  <si>
    <t>Cryobiology</t>
  </si>
  <si>
    <t>10.1016/j.cryobiol.2017.01.003</t>
  </si>
  <si>
    <t>Biology; Physiology</t>
  </si>
  <si>
    <t>Life Sciences &amp; Biomedicine - Other Topics; Physiology</t>
  </si>
  <si>
    <t>ES4PJ</t>
  </si>
  <si>
    <t>WOS:000399516900017</t>
  </si>
  <si>
    <t>Sun, Y; Zhang, Y; Hollibaugh, JT; Luo, HW</t>
  </si>
  <si>
    <t>Sun, Ying; Zhang, Yao; Hollibaugh, James T.; Luo, Haiwei</t>
  </si>
  <si>
    <t>Ecotype diversification of an abundant Roseobacter lineage</t>
  </si>
  <si>
    <t>COMPLETE GENOME SEQUENCE; SP NOV.; MARINE-BACTERIA; PROCHLOROCOCCUS ECOTYPES; GEN. NOV.; IRON; OCEAN; CELL; CLADE; PHYTOPLANKTON</t>
  </si>
  <si>
    <t>The Roseobacter DC5-80-3 cluster (also known as the RCA clade) is among the most abundant bacterial lineages in temperate and polar oceans. Previous studies revealed two phylotypes within this cluster that are distinctly distributed in the Antarctic and other ocean provinces. Here, we report a nearly complete genome co-assembly of three closely related single cells co-occurring in the Antarctic, and compare it to the available genomes of the other phylotype from ocean regions where iron is more accessible but phosphorus and nitrogen are less. The Antarctic phylotype exclusively contains an operon structure consisting of a dicitrate transporter fecBCDE and an upstream regulator likely for iron uptake, whereas the other phylotype consistently carry a high-affinity phosphate pst transporter and the phoB-phoR regulatory system, a high-affinity ammonium amtB transporter, urea and taurine utilization systems. Moreover, the Antarctic phylotype uses proteorhodopsin to acquire light, whereas the other uses bacteriochlorophyll-a and the sulfur-oxidizing sox cluster for energy acquisition. This is potentially an iron-saving strategy for the Antarctic phylotype because only the latter two pathways have iron-requiring cytochromes. Therefore, the two DC5-80-3 phylotypes, while diverging by only 1.1% in their 16S rRNA genes, have evolved systematic differences in metabolism to support their distinct ecologies.</t>
  </si>
  <si>
    <t>[Sun, Ying; Luo, Haiwei] Chinese Univ Hong Kong, Sch Life Sci, Simon FS Li Marine Sci Lab, Shatin, Hong Kong, Peoples R China; [Sun, Ying; Luo, Haiwei] Chinese Univ Hong Kong, Partner State Key Lab Agrobiotechnol, Shatin, Hong Kong, Peoples R China; [Zhang, Yao] Xiamen Univ, State Key Lab Marine Environm Sci, Xiamen 361101, Peoples R China; [Hollibaugh, James T.] Univ Georgia, Dept Marine Sci, Athens, GA 30602 USA; [Luo, Haiwei] Chinese Univ Hong Kong, Shenzhen Res Inst, Shenzhen 518000, Peoples R China; [Luo, Haiwei] Chinese Univ Hong Kong, Inst Environm Energy &amp; Sustainabil, Shatin, Hong Kong, Peoples R China</t>
  </si>
  <si>
    <t>Chinese University of Hong Kong; Chinese University of Hong Kong; Xiamen University; University System of Georgia; University of Georgia; The Chinese University of Hong Kong, Shenzhen; CUHK Shenzhen Research Institute; Chinese University of Hong Kong</t>
  </si>
  <si>
    <t>Luo, HW (corresponding author), Chinese Univ Hong Kong, Sch Life Sci, Simon FS Li Marine Sci Lab, Shatin, Hong Kong, Peoples R China.;Luo, HW (corresponding author), Chinese Univ Hong Kong, Partner State Key Lab Agrobiotechnol, Shatin, Hong Kong, Peoples R China.;Luo, HW (corresponding author), Chinese Univ Hong Kong, Shenzhen Res Inst, Shenzhen 518000, Peoples R China.;Luo, HW (corresponding author), Chinese Univ Hong Kong, Inst Environm Energy &amp; Sustainabil, Shatin, Hong Kong, Peoples R China.</t>
  </si>
  <si>
    <t>hluo2006@gmail.com</t>
  </si>
  <si>
    <t>Luo, Haiwei/AAE-1958-2021</t>
  </si>
  <si>
    <t>Luo, Haiwei/0000-0001-8452-6066; SUN, YING/0000-0002-4224-341X</t>
  </si>
  <si>
    <t>Hong Kong RGC Early Career Scheme [24101015]; NSFC [41576141, 41422603]; Chinese University of Hong Kong through Direct Grant [4930062, 4053105]; U.S. National Science Foundation [NSF ANT 08-23101]</t>
  </si>
  <si>
    <t>Hong Kong RGC Early Career Scheme; NSFC(National Natural Science Foundation of China (NSFC)); Chinese University of Hong Kong through Direct Grant; U.S. National Science Foundation(National Science Foundation (NSF))</t>
  </si>
  <si>
    <t>We thank Andrew Allegra at NOAA for providing guidance in accessing the nitrate, phosphate and iron concentration data. This research was funded by a grant from the Hong Kong RGC Early Career Scheme (24101015); NSFC grants (41576141 to HL, 41422603 to YZ); the Chinese University of Hong Kong through Direct Grant (4930062, 4053105); and the U.S. National Science Foundation (NSF ANT 08-23101 to JTH).</t>
  </si>
  <si>
    <t>10.1111/1462-2920.13683</t>
  </si>
  <si>
    <t>ER5PY</t>
  </si>
  <si>
    <t>WOS:000398855400021</t>
  </si>
  <si>
    <t>van de Wiel, BJH; Vignon, E; Baas, P; van Hooijdonk, IGS; van der Linden, SJA; van Hooft, JA; Bosveld, FC; de Roode, SR; Moene, AF; Genthon, C</t>
  </si>
  <si>
    <t>van de Wiel, Bas J. H.; Vignon, Etienne; Baas, Peter; van Hooijdonk, Ivo G. S.; van der Linden, Steven J. A.; van Hooft, J. Antoon; Bosveld, Fred C.; de Roode, Stefan R.; Moene, Arnold F.; Genthon, Christophe</t>
  </si>
  <si>
    <t>Regime Transitions in Near-Surface Temperature Inversions: A Conceptual Model</t>
  </si>
  <si>
    <t>JOURNAL OF THE ATMOSPHERIC SCIENCES</t>
  </si>
  <si>
    <t>STABLE BOUNDARY-LAYER; HEAT-FLUX; ENERGY BALANCE; CHANNEL FLOW; LAND-SURFACE; DOME C; TURBULENCE; RADIATION; MAXIMUM; PART</t>
  </si>
  <si>
    <t>A conceptual model is used in combination with observational analysis to understand regime transitions of near-surface temperature inversions at night as well as in Arctic conditions. The model combines a surface energy budget with a bulk parameterization for turbulent heat transport. Energy fluxes or feedbacks due to soil and radiative heat transfer are accounted for by a lumped parameter closure,'' which represents the ``coupling strength'' of the system. Observations from Cabauw, Netherlands, and Dome C, Antarctica, are analyzed. As expected, inversions are weak for strong winds, whereas large inversions are found under weak-wind conditions. However, a sharp transition is found between those regimes, as it occurs within a narrow wind range. This results in a typical S-shaped dependency. The conceptual model explains why this characteristic must be a robust feature. Differences between the Cabauw and Dome C cases are explained from differences in coupling strength (being weaker in the Antarctic). For comparison, a realistic column model is run. As findings are similar to the simple model and the observational analysis, it suggests generality of the results. Theoretical analysis reveals that, in the transition zone near the critical wind speed, the response time of the system to perturbations becomes large. As resilience to perturbations becomes weaker, it may explain why, within this wind regime, an increase of scatter is found. Finally, the so-called heat flux duality paradox is analyzed. It is explained why numerical simulations with prescribed surface fluxes show a dynamical response different from more realistic surface-coupled systems.</t>
  </si>
  <si>
    <t>[van de Wiel, Bas J. H.; Baas, Peter; van der Linden, Steven J. A.; van Hooft, J. Antoon; de Roode, Stefan R.] Delft Univ Technol, Dept Geosci &amp; Remote Sensing, Fac Civil Engn &amp; Geosci, Delft, Netherlands; [Vignon, Etienne; Genthon, Christophe] Univ Grenoble Alpes, CNRS, Lab Glaciol &amp; Geophys Environm, Grenoble, France; [Vignon, Etienne; Genthon, Christophe] CNRS, Lab Glaciol &amp; Geophys Environm, Grenoble, France; [van Hooijdonk, Ivo G. S.] Eindhoven Univ Technol, Fluid Dynam Lab, Eindhoven, Netherlands; [van Hooijdonk, Ivo G. S.] Eindhoven Univ Technol, JM Burgersctr, Eindhoven, Netherlands; [Bosveld, Fred C.] Royal Netherlands Weather Inst, De Bilt, Netherlands; [Moene, Arnold F.] Wageningen Univ &amp; Res Ctr, Wageningen, Netherlands</t>
  </si>
  <si>
    <t>Delft University of Technology; Communaute Universite Grenoble Alpes; Universite Grenoble Alpes (UGA); Centre National de la Recherche Scientifique (CNRS); Centre National de la Recherche Scientifique (CNRS); Communaute Universite Grenoble Alpes; Universite Grenoble Alpes (UGA); Eindhoven University of Technology; Eindhoven University of Technology; Royal Netherlands Meteorological Institute; Wageningen University &amp; Research</t>
  </si>
  <si>
    <t>van de Wiel, BJH (corresponding author), Delft Univ Technol, Dept Geosci &amp; Remote Sensing, Fac Civil Engn &amp; Geosci, Delft, Netherlands.</t>
  </si>
  <si>
    <t>b.j.h.vandewiel@tudelft.nl</t>
  </si>
  <si>
    <t>Moene, Arnold F./B-3212-2010; van der Linden, Steven/HOC-7303-2023; Bosveld, Fred/AAE-8790-2020; de Roode, Stephan R/J-8611-2012; van der Linden, Steven/ABB-9017-2021</t>
  </si>
  <si>
    <t>van der Linden, Steven/0000-0001-9150-0892; van der Linden, Steven/0000-0001-9150-0892; Moene, Arnold/0000-0003-3614-8544; VIGNON, Etienne/0000-0003-3801-9367; van Hooft, Antoon/0000-0002-3952-0172</t>
  </si>
  <si>
    <t>Consolidator Grant of the European Research Council [648666]; IPEV [CALVA 1013]; INSU/LEFE; OSUG (GLACIOCLIM); Dutch National Science Foundation (NWO) [82301010]; European Research Council (ERC) [648666] Funding Source: European Research Council (ERC)</t>
  </si>
  <si>
    <t>Consolidator Grant of the European Research Council(European Research Council (ERC)); IPEV; INSU/LEFE; OSUG (GLACIOCLIM); Dutch National Science Foundation (NWO)(Netherlands Organization for Scientific Research (NWO)); European Research Council (ERC)(European Research Council (ERC)Spanish Government)</t>
  </si>
  <si>
    <t>The scientific comments on the original manuscript by Dick McNider, Adam Monahan, and John Wyngaard are highly appreciated. The research is supported by a Consolidator Grant of the European Research Council (648666) and Grant 82301010 from the Dutch National Science Foundation (NWO), which is gratefully acknowledged. The Dome C observatory of the surface atmospheric boundary layer is supported by IPEV (program CALVA 1013), INSU/LEFE (GABLS4 and DEPHY2), and OSUG (GLACIOCLIM). We thank the BSRN network and particularly C. Lanconelli for the dissemination of radiation data at Dome C.</t>
  </si>
  <si>
    <t>0022-4928</t>
  </si>
  <si>
    <t>1520-0469</t>
  </si>
  <si>
    <t>J ATMOS SCI</t>
  </si>
  <si>
    <t>J. Atmos. Sci.</t>
  </si>
  <si>
    <t>10.1175/JAS-D-16-0180.1</t>
  </si>
  <si>
    <t>ES2CP</t>
  </si>
  <si>
    <t>WOS:000399333700006</t>
  </si>
  <si>
    <t>Cypriano-Souza, AL; Engel, MH; Caballero, S; Olavarría, C; Flórez-González, L; Capella, J; Steel, D; Sremba, A; Aguayo, A; Thiele, D; Baker, CS; Bonatto, SL</t>
  </si>
  <si>
    <t>Cypriano-Souza, Ana Lucia; Engel, Marcia H.; Caballero, Susana; Olavarria, Carlos; Florez-Gonzalez, Lilian; Capella, Juan; Steel, Debbie; Sremba, Angie; Aguayo, Anelio; Thiele, Deborah; Baker, C. Scott; Bonatto, Sandro L.</t>
  </si>
  <si>
    <t>Genetic differentiation between humpback whales (Megaptera novaeangliae) from Atlantic and Pacific breeding grounds of South America</t>
  </si>
  <si>
    <t>MARINE MAMMAL SCIENCE</t>
  </si>
  <si>
    <t>Megaptera novaeangliae; population genetic structure; microsatellites; mtDNA; migration; individual assignment</t>
  </si>
  <si>
    <t>MITOCHONDRIAL-DNA VARIATION; POPULATION-STRUCTURE; MICROSATELLITE LOCI; RECENT MIGRATION; FEEDING GROUNDS; DESTINATIONS; HEMISPHERE; MOVEMENT; PROGRAM; ORIGIN</t>
  </si>
  <si>
    <t>Humpback whales wintering in tropical waters along the Atlantic and Pacific coasts of the South American continent are thought to represent distinct populations or stocks. Here we present the first analysis of genetic differentiation and estimates of gene flow between these breeding stocks, based on both mitochondrial DNA (mtDNA) control region sequences (465 bp) and 16 microsatellite loci from samples collected off Brazil (n = 277) and Colombia (n = 148), as well as feeding areas near the western Antarctic Peninsula (n = 86). We found significant differentiation between Brazilian and Colombian breeding grounds at both mtDNA (F-ST = 0.058) and microsatellite (F-ST = 0.011) markers and corroborated previous studies showing genetic similarity between humpbacks from Colombia and those from Antarctic Peninsula feeding areas. Estimates of long-term gene flow between Brazil and Colombia were low to moderate, asymmetrical, and mostly mediated by males. Assignment procedures detected some cases of interchange and individuals of admixed ancestry between breeding grounds, indicating limited mixing of individuals between these stocks. Overall, results highlight the differentiation of humpback whale breeding populations with adjacent feeding grounds. This appears to be a remarkable example of fidelity to seasonal habitat in the absence of any contemporary barriers.</t>
  </si>
  <si>
    <t>[Cypriano-Souza, Ana Lucia; Bonatto, Sandro L.] Pontificia Univ Catolica Rio Grande do Sul, Fac Biociencias, Ave Ipiranga 6681, BR-90619900 Porto Alegre, RS, Brazil; [Cypriano-Souza, Ana Lucia; Engel, Marcia H.] Inst Baleia Jubarte, Projeto Baleia Jubarte, Rua Barao do Rio Branco 125, BR-45900000 Caravelas, BA, Brazil; [Caballero, Susana] Univ Ios Andes, Dept Ciencias Biol, LEMVA, Carrera 1 18A-12, Bogota, Colombia; [Olavarria, Carlos; Baker, C. Scott] Univ Auckland, Sch Biol Sci, Private Bag 92019, Auckland 1010, New Zealand; [Olavarria, Carlos] Ctr Estudios Cuaternario CEQUA, Casilla 737, Punta Arenas, Chile; [Olavarria, Carlos] CEAZA, La Serena 1305, Chile; [Florez-Gonzalez, Lilian; Capella, Juan] Fdn Yubarta, Carrera 24F Oeste 3 110, Tejares San Fernando Cali, Carrera 24F Oeste 3-110, Cali, Colombia; [Steel, Debbie; Sremba, Angie; Baker, C. Scott] Oregon State Univ, Hatfield Marine Sci Ctr, Dept Fisheries &amp; Wildlife, Marine Mammal Inst, 2030 SE Marine Sci Dr, Newport, OR 97365 USA; [Aguayo, Anelio] Inst Antartico Chileno, Dept Cient, Plaza B Munoz Gamero 1055, Punta Arenas, Chile; [Thiele, Deborah] Australian Natl Univ, Fenner Sch Environm &amp; Soc, Linnaeus Way, Canberra, ACT 0200, Australia</t>
  </si>
  <si>
    <t>Pontificia Universidade Catolica Do Rio Grande Do Sul; Universidad de los Andes (Colombia); University of Auckland; Oregon State University; Australian National University</t>
  </si>
  <si>
    <t>Cypriano-Souza, AL (corresponding author), Pontificia Univ Catolica Rio Grande do Sul, Fac Biociencias, Ave Ipiranga 6681, BR-90619900 Porto Alegre, RS, Brazil.;Cypriano-Souza, AL (corresponding author), Inst Baleia Jubarte, Projeto Baleia Jubarte, Rua Barao do Rio Branco 125, BR-45900000 Caravelas, BA, Brazil.</t>
  </si>
  <si>
    <t>anacypriano@yahoo.com.br</t>
  </si>
  <si>
    <t>Bonatto, Sandro L/A-1240-2010</t>
  </si>
  <si>
    <t>Bonatto, Sandro/0000-0002-0064-467X; Steel, Debbie/0000-0001-5898-2850</t>
  </si>
  <si>
    <t>Coordenacao de Aperfeicoamento de Pessoal de Nivel Superior (CAPES); Conselho Nacional de Desenvolvimento Cientifico e Tecnologico (CNPq); Fundacao de Amparo a Pesquisa do Estado do Rio Grande do Sul (FAPERGS); Instituto Chico Mendes de Conservacao da Biodiversidade/Ministerio do Meio Ambiente (ICMBIO/MMA); Petroleo Brasileiro S.A (PETROBRAS); CAPES</t>
  </si>
  <si>
    <t>Coordenacao de Aperfeicoamento de Pessoal de Nivel Superior (CAPES)(Coordenacao de Aperfeicoamento de Pessoal de Nivel Superior (CAPES)); Conselho Nacional de Desenvolvimento Cientifico e Tecnologico (CNPq)(Conselho Nacional de Desenvolvimento Cientifico e Tecnologico (CNPQ)); Fundacao de Amparo a Pesquisa do Estado do Rio Grande do Sul (FAPERGS)(Fundacao de Amparo a Ciencia e Tecnologia do Estado do Rio Grande do Sul (FAPERGS)); Instituto Chico Mendes de Conservacao da Biodiversidade/Ministerio do Meio Ambiente (ICMBIO/MMA); Petroleo Brasileiro S.A (PETROBRAS)(Fundacao de Amparo a Pesquisa do Amapa (FAPEAP)Petrobras); CAPES(Coordenacao de Aperfeicoamento de Pessoal de Nivel Superior (CAPES))</t>
  </si>
  <si>
    <t>This work was supported by Coordenacao de Aperfeicoamento de Pessoal de Nivel Superior (CAPES) to ALC-S; Conselho Nacional de Desenvolvimento Cientifico e Tecnologico (CNPq) to SLB; Fundacao de Amparo a Pesquisa do Estado do Rio Grande do Sul (FAPERGS) to SLB; Instituto Chico Mendes de Conservacao da Biodiversidade/Ministerio do Meio Ambiente (ICMBIO/MMA); and Petroleo Brasileiro S.A (PETROBRAS). Special support was given by CAPES for the scholarship award to ALC-S to conduct part of her doctoral research as a visiting student at Oregon State University (OSU). Biopsy samples were collected off Brazil under permit SISBIO 21489-1. This survey was made possible through the generous collaboration of members of the South Pacific Whale Research Consortium. We thank the staff of Projeto Baleia Jubarte/Instituto Baleia Jubarte and of Fundacion Yubarta for collecting Brazilian and Colombian humpback whale samples, respectively, in the field. Also, thanks to field scientists of INACH, SO-GLOBEC program and IWC that collected the samples in the Antarctic Peninsula. We thank the colleagues of the Laboratorio de Biologia Genomica e Molecular/PUCRS for their help in lab activities, especially to Priscilla Mena Zamberlan and Tiago Ferraz da Silva for laboratory assistance. We are also grateful for laboratory support from Alana Alexander, Renee Gibb, Rebecca Hamner, and Beth Slikas during the work at Cetacean Conservation and Genomics Laboratory, Oregon State University. We thank Guilherme Maurutto for preparing the map with the study areas. Special thanks to Jennifer Jackson for providing electropherograms of the mtDNA control region sequences for the Brazilian humpback whale samples collected in 1997 and 1998. Finally, we also want to thank the editors Dr. Patricia Rosel and Dr. Daryl J. Boness, and the anonymous reviewers for their valuable and helpful comments.</t>
  </si>
  <si>
    <t>0824-0469</t>
  </si>
  <si>
    <t>1748-7692</t>
  </si>
  <si>
    <t>MAR MAMMAL SCI</t>
  </si>
  <si>
    <t>Mar. Mamm. Sci.</t>
  </si>
  <si>
    <t>10.1111/mms.12378</t>
  </si>
  <si>
    <t>ES6FB</t>
  </si>
  <si>
    <t>WOS:000399640700003</t>
  </si>
  <si>
    <t>Kishida, T</t>
  </si>
  <si>
    <t>Kishida, Takushi</t>
  </si>
  <si>
    <t>Population history of Antarctic and common minke whales inferred from individual whole-genome sequences</t>
  </si>
  <si>
    <t>SPECIATION; INFERENCE; EVOLUTION; SIZE</t>
  </si>
  <si>
    <t>[Kishida, Takushi] Kyoto Univ, Wildlife Res Ctr, Sakyo Ku, 2-24 Tanaka Sekiden Cho, Kyoto 6068203, Japan</t>
  </si>
  <si>
    <t>Kyoto University</t>
  </si>
  <si>
    <t>Kishida, T (corresponding author), Kyoto Univ, Wildlife Res Ctr, Sakyo Ku, 2-24 Tanaka Sekiden Cho, Kyoto 6068203, Japan.</t>
  </si>
  <si>
    <t>taku.kishida@gmail.com</t>
  </si>
  <si>
    <t>Kishida, Takushi/H-3381-2012</t>
  </si>
  <si>
    <t>Kishida, Takushi/0000-0002-2220-7892</t>
  </si>
  <si>
    <t>JSPS KAKENHI [24770075, 15K07184]; Grants-in-Aid for Scientific Research [24770075, 15K07184] Funding Source: KAKEN</t>
  </si>
  <si>
    <t>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</si>
  <si>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I am grateful to Dr. Kentaro Fukuta (National Institute of Genetics) and reviewers of this manuscript for helpful comments. Computations were partially performed on the NIG supercomputer at ROIS National Institute of Genetics. This study was financially supported in part by JSPS KAKENHI (grant nos. 24770075 and 15K07184).</t>
  </si>
  <si>
    <t>10.1111/mms.12369</t>
  </si>
  <si>
    <t>WOS:000399640700014</t>
  </si>
  <si>
    <t>Uxa, T</t>
  </si>
  <si>
    <t>Uxa, Tomas</t>
  </si>
  <si>
    <t>Discussion on Active Layer Thickness Prediction on the Western Antarctic Peninsula' by Wilhelm et al. (2015)</t>
  </si>
  <si>
    <t>PERMAFROST AND PERIGLACIAL PROCESSES</t>
  </si>
  <si>
    <t>active-layer thickness; permafrost; Stefan equation; Kudryavtsev equation; thermal modelling; Antarctic Peninsula</t>
  </si>
  <si>
    <t>GROUND SURFACE-TEMPERATURE; CLIMATE-CHANGE; THERMAL STATE; PERMAFROST; VARIABILITY; ISLAND; AREA</t>
  </si>
  <si>
    <t>Wilhelm et al. (2015) employed the widely used Stefan and Kudryavtsev equations to predict the maximum active-layer thickness (ALT) on Amsler Island, Western Antarctic Peninsula. Their predictions far exceed the observations of ALT reported from other parts of the region. Here, I demonstrate that the values of ALT are significantly overestimated by the predictive equations because the authors incorrectly assumed that little or no latent heat of phase change is absorbed during thawing. Although the area is the warmest in the Antarctic Peninsula region, with a rapid increase in air temperature and permafrost temperatures close to 0 degrees C, the active layer is likely to be substantially thinner than values predicted by Wilhelm et al. (2015). Copyright (c) 2016 John Wiley &amp; Sons, Ltd.</t>
  </si>
  <si>
    <t>[Uxa, Tomas] Charles Univ Prague, Fac Sci, Dept Phys Geog &amp; Geoecol, Albertov 6, Prague 12843 2, Czech Republic</t>
  </si>
  <si>
    <t>Charles University Prague</t>
  </si>
  <si>
    <t>Uxa, T (corresponding author), Charles Univ Prague, Fac Sci, Dept Phys Geog &amp; Geoecol, Albertov 6, Prague 12843 2, Czech Republic.</t>
  </si>
  <si>
    <t>tomas.uxa@natur.cuni.cz</t>
  </si>
  <si>
    <t>Uxa, Tomáš/B-8885-2017</t>
  </si>
  <si>
    <t>Uxa, Tomáš/0000-0001-9911-6529</t>
  </si>
  <si>
    <t>1045-6740</t>
  </si>
  <si>
    <t>1099-1530</t>
  </si>
  <si>
    <t>PERMAFROST PERIGLAC</t>
  </si>
  <si>
    <t>Permafrost Periglacial Process.</t>
  </si>
  <si>
    <t>10.1002/ppp.1888</t>
  </si>
  <si>
    <t>Geography, Physical; Geology</t>
  </si>
  <si>
    <t>ER5OF</t>
  </si>
  <si>
    <t>WOS:000398850500012</t>
  </si>
  <si>
    <t>Wilhelm, K; Bockheim, J</t>
  </si>
  <si>
    <t>Wilhelm, Kelly; Bockheim, James</t>
  </si>
  <si>
    <t>Reply to Uxa (2016) Discussion on Active Layer Thickness Prediction on the Western Antarctic Peninsula by Wilhelm et al. (2015)</t>
  </si>
  <si>
    <t>active layer; permafrost; Antarctic Peninsula; thermal modelling; polar soils</t>
  </si>
  <si>
    <t>LIVINGSTON ISLAND; PERMAFROST; SOIL; VEGETATION</t>
  </si>
  <si>
    <t>Uxa () used alternative assumptions to calculate active-layer thicknesses (ALTs) on Amsler Island, Western Antarctic Peninsula, and concluded that assumptions in Wilhelm et al. () overestimate ALTs in the region. Here, we accept that the core of his argument is correct, but we contend that observations using multiple devices, along with the HYDRUS model, indicate that in some cases assumptions used by Uxa () overcompensate and predict an unrealistically thin active layer for the study area. Observed and predicted ALTs are much greater than would be expected, relative to measurements farther to the north. Such a thick active layer could be due to glacial proximity and topographically controlled hydraulic features that promote wetter-than-expected soils. Copyright (c) 2016 John Wiley &amp; Sons, Ltd.</t>
  </si>
  <si>
    <t>[Wilhelm, Kelly; Bockheim, James] Univ Wisconsin, Dept Soil Sci, 1525 Observ Dr, Madison, WI 53706 USA</t>
  </si>
  <si>
    <t>University of Wisconsin System; University of Wisconsin Madison</t>
  </si>
  <si>
    <t>Wilhelm, K (corresponding author), Univ Wisconsin, Dept Soil Sci, 1525 Observ Dr, Madison, WI 53706 USA.</t>
  </si>
  <si>
    <t>krwilhelm@wisc.edu</t>
  </si>
  <si>
    <t>10.1002/ppp.1923</t>
  </si>
  <si>
    <t>WOS:000398850500013</t>
  </si>
  <si>
    <t>Blazquez, J; Solman, SA</t>
  </si>
  <si>
    <t>Blazquez, Josefina; Solman, Silvina A.</t>
  </si>
  <si>
    <t>Interannual variability of the frontal activity in the Southern Hemisphere: relationship with atmospheric circulation and precipitation over southern South America</t>
  </si>
  <si>
    <t>Frontal activity; Precipitation; Atmospheric circulation; Interannual variability; Southern Hemisphere</t>
  </si>
  <si>
    <t>LOW-FREQUENCY VARIABILITY; ANTARCTIC OSCILLATION; ANOMALIES; MODES; ENSO</t>
  </si>
  <si>
    <t>The interannual variability of the frontal activity over the western Southern Hemisphere and its linkage with the variability of the atmospheric circulation and precipitation over southern South America is studied. The analysis is focused on the austral winter and spring seasons. The frontal activity is represented by an index defined as the product between the horizontal gradient of temperature and the relative vorticity at 850 hPa (FI) and is computed from the ERA Interim and NCEP2 reanalysis. For the two seasons the main mode of variability of FI, as depicted by the first Empirical Orthogonal Function, presents centres of action located in the southern part of the western Southern Hemisphere. This pattern is present in the two reanalysis datasets. The correlation coefficients between the principal component of the leading mode of FI and the two main modes of the 500 hPa geopotential height indicate that both the ENSO-mode and the SAM modulate the leading pattern of FI in winter while during the spring season the ENSO-mode controls the FI variability. The variability of the FI has a robust influence on the interannual variability of precipitation over southern South America and adjacent oceans. Over the continent, it was found that the pattern of precipitation anomalies associated with the variability of the FI depicts significant signals over southeastern South America (SESA), centre and south of Chile for winter and over SESA and southeastern Brazil for spring and agrees with the pattern of the leading mode of precipitation variability over southern South America.</t>
  </si>
  <si>
    <t>[Blazquez, Josefina; Solman, Silvina A.] Ctr Invest Mar &amp; Atmosfera CIMA CONICET FCEN, Dept Ciencias Atmosfera &amp; Oceanos FCEN UBA, Inst Franco Argentino Clima &amp; Sus Impactos UMI IF, Ciudad Univ Pabellon 2 Piso 2,C1428EGA, Buenos Aires, DF, Argentina; [Blazquez, Josefina; Solman, Silvina A.] Centro Invest Mar &amp; Atmosfera CIMA CONICET FCEN U, Dept Ciencias Atmosfera &amp; Oceanos FCEN UBA, Inst Franco Argentino Clima &amp; Impactos UMI IFAECI, Ciudad Univ Pabellon II Piso 2,C1428EGA, Buenos Aires, DF, Argentina</t>
  </si>
  <si>
    <t>Blazquez, J (corresponding author), Centro Invest Mar &amp; Atmosfera CIMA CONICET FCEN U, Dept Ciencias Atmosfera &amp; Oceanos FCEN UBA, Inst Franco Argentino Clima &amp; Impactos UMI IFAECI, Ciudad Univ Pabellon II Piso 2,C1428EGA, Buenos Aires, DF, Argentina.</t>
  </si>
  <si>
    <t>blazquez@cima.fcen.uba.ar; solman@cima.fcen.uba.ar</t>
  </si>
  <si>
    <t>Solman, Silvina/AAR-4347-2021</t>
  </si>
  <si>
    <t>Josefina, Blazquez/0000-0003-3276-012X</t>
  </si>
  <si>
    <t>PIP-CONICET [112-201101-00189]; UBACYT [20020130200233BA]; [FONCyT-PICT-2012-1972]; [FONCyT-PICT-2014-2730]</t>
  </si>
  <si>
    <t>PIP-CONICET(Consejo Nacional de Investigaciones Cientificas y Tecnicas (CONICET)); UBACYT; ;</t>
  </si>
  <si>
    <t>The authors are grateful to the reviewers for their valuable comments that helped to improve this paper. This work was supported by the following grants: FONCyT-PICT-2012-1972, FONCyT-PICT-2014-2730, PIP-CONICET No 112-201101-00189 and UBACYT2014 No 20020130200233BA. NCEP Reanalysis 2 data were provided by the NOAA/OAR/ESRL PSD, Boulder, Colorado, USA, from their Web site at http://www.esrl.noaa.gov/psd/. The GPCP combined precipitation data were developed and computed by the NASA/Goddard Space Flight Center's Laboratory for Atmospheres as a contribution to the GEWEX Global Precipitation Climatology Project.</t>
  </si>
  <si>
    <t>7-8</t>
  </si>
  <si>
    <t>10.1007/s00382-016-3223-3</t>
  </si>
  <si>
    <t>ER6PA</t>
  </si>
  <si>
    <t>WOS:000398926400028</t>
  </si>
  <si>
    <t>Li, FM; Ma, LY; Zhang, H; Xu, L; Zhu, QQ</t>
  </si>
  <si>
    <t>Li, Fengmei; Ma, Liyan; Zhang, Huan; Xu, Li; Zhu, Qianqian</t>
  </si>
  <si>
    <t>A thioredoxin from antarctic microcrustacean (Euphausia superba): Cloning and functional characterization</t>
  </si>
  <si>
    <t>FISH &amp; SHELLFISH IMMUNOLOGY</t>
  </si>
  <si>
    <t>Antioxidant enzyme; Thioredoxin; Euphausia superba; Microcrustacean; Oxidative stress</t>
  </si>
  <si>
    <t>DNA PROTECTION ACTIVITY; REDOX REGULATION; MOLECULAR CHARACTERIZATION; DROSOPHILA-MELANOGASTER; LITOPENAEUS-VANNAMEI; RECOMBINANT PROTEIN; CRYSTAL-STRUCTURE; EXPRESSION; SYSTEM; REDUCTASE</t>
  </si>
  <si>
    <t>Thioredoxins, with a dithiol/disulfide active site (CGPC) are major highly conserved and ubiquitous proteins that are involved in protecting organisms against various oxidative stresses. In the present study, a novel thioredoxin gene was identified in antarctic microcrustacean, Euphausia superba (designated as EsTrx1). The full-length cDNA sequences of EsTrx1 was of 621 bp, containing a 5' untranslated region (UTR) of 45 bp, a 3' UTR of 276 bp and an open reading frame (ORF) of 303 bp encoding a putative protein of 100 amino acids. The predicted molecular weight of EsTrx1 was 11.08 kDa and the theoretical isoelectric point was 4.51. Multiple sequence alignment indicated that the EsTrx1 possessed conserved CGPC redox-active site. EsTrx1 shared 68.6% similarity with the Chinese mitten crab (Eriocheir sinensis) Trx1. The predicted three-dimensional structure of EsTrx1 consisted of a central core of a four-stranded beta-sheet and four flanking alpha-helices. The high similarity of EsTrx1 with Trxls from other animals together with the phylogenetic analysis indicated that EsTrx1 could be a novel member of Trx1 sub-family. In order to elucidate its biological functions, the recombinant EsTrx1 was constructed and expressed in Escherichia coli BL21 (DE3). Experiments demonstrated that the rEsTrx1 fusion protein possessed the expected redox activity in enzymatic analysis, and be more potent than GSH in antioxidant capacity. These results together indicated that EsTrx1 could be involved in the oxidative stress response of E. superba. (C) 2017 Elsevier Ltd. All rights reserved.</t>
  </si>
  <si>
    <t>[Li, Fengmei; Xu, Li; Zhu, Qianqian] Qingdao Univ Sci &amp; Technol, 53 Zhengzhou Rd, Qingdao 266042, Peoples R China; [Ma, Liyan] Chinese Acad Fishery Sci, East China Sea Fisheries Res Inst, Shanghai 200090, Peoples R China; [Zhang, Huan] Chinese Acad Sci, Inst Oceanol, Key Lab Expt Marine Biol, Qingdao 266071, Peoples R China</t>
  </si>
  <si>
    <t>Qingdao University of Science &amp; Technology; Chinese Academy of Fishery Sciences; East China Sea Fisheries Research Institute, CAFS; Chinese Academy of Sciences; Institute of Oceanology, CAS</t>
  </si>
  <si>
    <t>Li, FM (corresponding author), Qingdao Univ Sci &amp; Technol, 53 Zhengzhou Rd, Qingdao 266042, Peoples R China.</t>
  </si>
  <si>
    <t>lifengmei@qust.edu.cn</t>
  </si>
  <si>
    <t>liu, sha/JXL-6600-2024; zhu, qian/GLN-7445-2022</t>
  </si>
  <si>
    <t>zhu, qian/0000-0003-2542-2827</t>
  </si>
  <si>
    <t>project of Shandong Province Higher Educational Science and Technology Program [J13LE56]; Key Laboratory of East China Sea &amp; Oceanic Fishery Resources Exploitation and Utilization of Ministry of Agriculture [2013No09]; Key Natural Science Foundation of Tianjin [14JCZDJC40200]; Key Laboratory of Experimental Marine Biology in the Institute of Oceanology from Chinese Academy of Sciences [KF2015No02]</t>
  </si>
  <si>
    <t>project of Shandong Province Higher Educational Science and Technology Program; Key Laboratory of East China Sea &amp; Oceanic Fishery Resources Exploitation and Utilization of Ministry of Agriculture; Key Natural Science Foundation of Tianjin; Key Laboratory of Experimental Marine Biology in the Institute of Oceanology from Chinese Academy of Sciences</t>
  </si>
  <si>
    <t>The authors are grateful to other laboratory members for technical advices and helpful discussions. This research was supported by the project of Shandong Province Higher Educational Science and Technology Program (J13LE56), Key Laboratory of East China Sea &amp; Oceanic Fishery Resources Exploitation and Utilization of Ministry of Agriculture (2013No09), the Key Natural Science Foundation of Tianjin (14JCZDJC40200) and the project was supported by Key Laboratory of Experimental Marine Biology in the Institute of Oceanology from Chinese Academy of Sciences (KF2015No02).</t>
  </si>
  <si>
    <t>1050-4648</t>
  </si>
  <si>
    <t>1095-9947</t>
  </si>
  <si>
    <t>FISH SHELLFISH IMMUN</t>
  </si>
  <si>
    <t>Fish Shellfish Immunol.</t>
  </si>
  <si>
    <t>10.1016/j.fsi.2017.02.035</t>
  </si>
  <si>
    <t>Fisheries; Immunology; Marine &amp; Freshwater Biology; Veterinary Sciences</t>
  </si>
  <si>
    <t>ER5VA</t>
  </si>
  <si>
    <t>WOS:000398870700041</t>
  </si>
  <si>
    <t>Maciejczyk, M; Arazny, A; Opyrchal, M</t>
  </si>
  <si>
    <t>Maciejczyk, Marcin; Arazny, Andrzej; Opyrchal, Marta</t>
  </si>
  <si>
    <t>Changes in aerobic performance, body composition, and physical activity in polar explorers during a year-long stay at the polar station in the Arctic</t>
  </si>
  <si>
    <t>INTERNATIONAL JOURNAL OF BIOMETEOROLOGY</t>
  </si>
  <si>
    <t>Arctic; Hornsund; Aerobic power; Body composition; Physical activity; Oxygen uptake; Polar climate</t>
  </si>
  <si>
    <t>ANTARCTIC RESIDENCE; ADAPTATIONS; FITNESS; WEIGHT</t>
  </si>
  <si>
    <t>The aim of this study was to evaluate changes in physical activity, aerobic performance, and body composition in polar explorers during a 1-year stay at the polar station. The study group consisted of 10 people, including 8 men and 2 women. Aerobic performance (maximal oxygen uptake), physical activity, body mass, and composition were evaluated for the polar explores of the Polish Polar Station prior to departure, and then during their stay at the station for a period of 1 year. The measurements were performed every 3 months. Compared to the measurements taken before going to the polar station, aerobic performance significantly (p = 0.02) increased in the first 3 months of residing at the polar station and then remained relatively stable for the following duration of the stay. In the first 3 months of the stay, we also observed the highest level of physical activity in participants. In the polar explorers, no significant (p &gt; 0.05) body fatness changes were noted. Nonetheless, lean body mass, body mass, and BMI significantly increased compared to the measurements taken before departure to the polar station. The greatest changes in aerobic performance, physical activity, and body composition were observed during the first 3 months after arrival to the Arctic and then, despite changing biometeorological conditions, they remained stable for the next months of the stay. We recommend the introduction of a physical preparation program before departing to the polar station to improve explorers' physical fitness, so that they can meet the physical challenges they are faced with immediately after arrival to the polar station.</t>
  </si>
  <si>
    <t>[Maciejczyk, Marcin] Univ Phys Educ, Fac Phys Educ &amp; Sport, Dept Physiol &amp; Biochem, Al Jana Pawla 2 78, PL-31571 Krakow, Poland; [Arazny, Andrzej] Nicolaus Copernicus Univ, Dept Meteorol &amp; Climatol, Fac Earth Sci, Torun, Poland; [Arazny, Andrzej] Polish Acad Sci, Inst Geophys, Warsaw, Poland; [Opyrchal, Marta] Univ Phys Educ, Fac Phys Educ &amp; Sport, Krakow, Poland</t>
  </si>
  <si>
    <t>Nicolaus Copernicus University; Polish Academy of Sciences; Institute of Geophysics of the Polish Academy of Sciences</t>
  </si>
  <si>
    <t>Maciejczyk, M (corresponding author), Univ Phys Educ, Fac Phys Educ &amp; Sport, Dept Physiol &amp; Biochem, Al Jana Pawla 2 78, PL-31571 Krakow, Poland.</t>
  </si>
  <si>
    <t>marcin.maciejczyk@awf.krakow.pl</t>
  </si>
  <si>
    <t>Maciejczyk, Marcin/E-1211-2017; Arazny, Andrzej/J-8542-2014</t>
  </si>
  <si>
    <t>Maciejczyk, Marcin/0000-0002-9505-4081; Arazny, Andrzej/0000-0002-4277-9599</t>
  </si>
  <si>
    <t>Polish-Norwegian Fund as part of the Arctic climate system study of ocean, sea ice, and glacier interactions in Svalbard area project (AWAKE 2); National Center for Research and Development (Poland)</t>
  </si>
  <si>
    <t>This research was supported by the Polish-Norwegian Fund as part of the Arctic climate system study of ocean, sea ice, and glacier interactions in Svalbard area project (AWAKE 2) and National Center for Research and Development (Poland). The authors would like to thank the subjects who volunteered for this study. Data were gathered during the 37th Polar Expedition (Polish Academy of Sciences, Institute of Geophysics) to Spitsbergen.</t>
  </si>
  <si>
    <t>0020-7128</t>
  </si>
  <si>
    <t>1432-1254</t>
  </si>
  <si>
    <t>INT J BIOMETEOROL</t>
  </si>
  <si>
    <t>Int. J. Biometeorol.</t>
  </si>
  <si>
    <t>10.1007/s00484-016-1244-6</t>
  </si>
  <si>
    <t>Biophysics; Environmental Sciences; Meteorology &amp; Atmospheric Sciences; Physiology</t>
  </si>
  <si>
    <t>Biophysics; Environmental Sciences &amp; Ecology; Meteorology &amp; Atmospheric Sciences; Physiology</t>
  </si>
  <si>
    <t>ER9LU</t>
  </si>
  <si>
    <t>WOS:000399148700009</t>
  </si>
  <si>
    <t>Picoloto, RS; Pereira, RM; Costa, VC; Hartwig, CA; Pereira, CMP; Colepicolo, P; Duarte, FA; Mesko, MF</t>
  </si>
  <si>
    <t>Picoloto, Rochele S.; Pereira, Rodrigo M.; Costa, Vanize C.; Hartwig, Carla A.; Pereira, Claudio M. P.; Colepicolo, Pio; Duarte, Fabio A.; Mesko, Marcia F.</t>
  </si>
  <si>
    <t>Investigating essential and toxic elements in Antarctic macroalgae using a green analytical method</t>
  </si>
  <si>
    <t>JOURNAL OF APPLIED PHYCOLOGY</t>
  </si>
  <si>
    <t>Metal and non-metal; Seaweed; Diluted acids; Microwave-assisted digestion; UV-digestion; ICP-MS</t>
  </si>
  <si>
    <t>MICROWAVE-ASSISTED DIGESTION; DILUTED NITRIC-ACID; OPTICAL-EMISSION-SPECTROMETRY; PLASMA-MASS SPECTROMETRY; TRACE-ELEMENTS; ICP-MS; ULTRAVIOLET-RADIATION; METAL CONCENTRATIONS; INDUCED COMBUSTION; AUXILIARY REAGENT</t>
  </si>
  <si>
    <t>A systematic study for the determination of essential and toxic elements (such as As, Cd, Cu, Mn, Ni, Pb, V and Zn) in Antarctic macroalgae species (Desmarestia anceps, Iridaea cordata, Palmaria decipiens and Pyropia endiviifolia) was performed. For this purpose, a green sample preparation method combined with a high-sensitivity detection technique (inductively coupled plasma mass spectrometry) was used. By using the microwave-assisted digestion combined with ultraviolet radiation (MW-UV) method, 700 mg of macroalgae were digested using a diluted HNO3 solution (2 mol L-1). The accuracy was evaluated by analysis of certified reference materials of aquatic plant (BCR 060) and apple leaves (NIST 1515). Agreement with reference or informed values for all analytes ranged from 94 to 106%, except for As and Mo in BCR 060. The results were also compared with those obtained by the reference method, which did not present a significant difference (t test, 95% confidence level). Based on the results, analysed samples showed considerable variations in regards to the concentrations of Zn, Ni and Mn. Moreover, a relatively high concentration of As in Desmarestia anceps and Pyropia endiviifolia was observed. The results for most of the analytes in Antarctic macroalgae were in agreement with other studies that have been published in literature. In addition, the proposed method was suitable for determining toxic and essential elements in Antarctic macroalgae reducing reagent consumption and waste generation, which is in agreement with the green chemistry recommendation.</t>
  </si>
  <si>
    <t>[Picoloto, Rochele S.; Duarte, Fabio A.] Univ Fed Santa Maria, Dept Quim, Santa Maria, RS, Brazil; [Pereira, Rodrigo M.; Costa, Vanize C.; Hartwig, Carla A.; Pereira, Claudio M. P.; Mesko, Marcia F.] Univ Fed Pelotas, Ctr Ciencias Quim Farmaceut &amp; Alimentos, Pelotas, Brazil; [Colepicolo, Pio] Univ Sao Paulo, Inst Quim, Dept Bioquim, Sao Paulo, Brazil</t>
  </si>
  <si>
    <t>Universidade Federal de Santa Maria (UFSM); Universidade Federal de Pelotas; Universidade de Sao Paulo</t>
  </si>
  <si>
    <t>Mesko, MF (corresponding author), Univ Fed Pelotas, Ctr Ciencias Quim Farmaceut &amp; Alimentos, Pelotas, Brazil.</t>
  </si>
  <si>
    <t>marcia.mesko@pq.cnpq.br</t>
  </si>
  <si>
    <t>Pereira, Rodrigo Mendes/C-3476-2019; MESKO, MARCIA FOSTER/L-3245-2018; de Pereira, Claudio Pereira/T-7512-2019; Fapesp, Biota/F-8655-2017; Mesko, Marcia Foster/Q-3199-2019; Duarte, Fabio A/A-6228-2015; Hartwig, Carla/AAK-4692-2020; Duarte, Fabio/D-8058-2011; Picoloto, Rochele/O-2117-2017</t>
  </si>
  <si>
    <t>Pereira, Rodrigo Mendes/0000-0003-1992-7140; MESKO, MARCIA FOSTER/0000-0002-7399-446X; de Pereira, Claudio Pereira/0000-0002-2818-4281; Fapesp, Biota/0000-0002-9887-8449; Mesko, Marcia Foster/0000-0002-7399-446X; Duarte, Fabio/0000-0003-1342-2432; Picoloto, Rochele/0000-0003-3214-6269</t>
  </si>
  <si>
    <t>Coordenacao de Aperfeicoamento de Pessoal de Nivel Superior (CAPES); Conselho Nacional de Desenvolvimento Cientifico e Tecnologico (CNPq); Fundacao de Amparo a Pesquisa do Estado do Rio Grande do Sul (FAPERGS); Programa Antartico Brasileiro (PROANTAR)</t>
  </si>
  <si>
    <t>Coordenacao de Aperfeicoamento de Pessoal de Nivel Superior (CAPES)(Coordenacao de Aperfeicoamento de Pessoal de Nivel Superior (CAPES)); Conselho Nacional de Desenvolvimento Cientifico e Tecnologico (CNPq)(Conselho Nacional de Desenvolvimento Cientifico e Tecnologico (CNPQ)); Fundacao de Amparo a Pesquisa do Estado do Rio Grande do Sul (FAPERGS)(Fundacao de Amparo a Ciencia e Tecnologia do Estado do Rio Grande do Sul (FAPERGS)); Programa Antartico Brasileiro (PROANTAR)</t>
  </si>
  <si>
    <t>The authors are grateful to Coordenacao de Aperfeicoamento de Pessoal de Nivel Superior (CAPES), Conselho Nacional de Desenvolvimento Cientifico e Tecnologico (CNPq) and Fundacao de Amparo a Pesquisa do Estado do Rio Grande do Sul (FAPERGS) for supporting this study. We are also grateful to Programa Antartico Brasileiro (PROANTAR) for supplying the macroalgae samples and also supporting this study.</t>
  </si>
  <si>
    <t>0921-8971</t>
  </si>
  <si>
    <t>1573-5176</t>
  </si>
  <si>
    <t>J APPL PHYCOL</t>
  </si>
  <si>
    <t>J. Appl. Phycol.</t>
  </si>
  <si>
    <t>10.1007/s10811-016-1000-7</t>
  </si>
  <si>
    <t>Biotechnology &amp; Applied Microbiology; Marine &amp; Freshwater Biology</t>
  </si>
  <si>
    <t>ES0UB</t>
  </si>
  <si>
    <t>WOS:000399241500009</t>
  </si>
  <si>
    <t>Pereira, CMP; Nunes, CFP; Zambotti-Villela, L; Streit, NM; Dias, D; Pinto, E; Gomes, CB; Colepicolo, P</t>
  </si>
  <si>
    <t>Pereira, Claudio M. P.; Nunes, Camila F. P.; Zambotti-Villela, Leonardo; Streit, Nivia M.; Dias, Daiane; Pinto, Ernani; Gomes, Carolina B.; Colepicolo, Pio</t>
  </si>
  <si>
    <t>Extraction of sterols in brown macroalgae from Antarctica and their identification by liquid chromatography coupled with tandem mass spectrometry</t>
  </si>
  <si>
    <t>Marine brown algae; Phaeophyceae; Antarctic; South Shetland Islands; Sterols</t>
  </si>
  <si>
    <t>FATTY-ACIDS; QUANTITATIVE-ANALYSIS; NATURAL-PRODUCTS; ADRIATIC SEA; MARINE-ALGAE; PHYTOSTEROLS; HPLC; STRATEGIES; TOCOPHEROL; DIVERSITY</t>
  </si>
  <si>
    <t>This study reports for the first time the extraction and quantification of sterols in six species of brown macroalgae from Antarctica: Adenocystis utricularis, Ascoseira mirabilis, Cystosphaera jacquinotii, Desmarestia anceps, Desmarestia antarctica, and Himantothallus grandifolius. Ultrasound irradiation was used as a promotor to extract sterols from algal biomass. The extracts were analyzed by high-performance liquid chromatography coupled with tandem mass spectrometry (LC-MS/MS) for sterol quantization (ergosterol, brassicasterol, fucosterol, beta-sitosterol, campesterol, cholesterol, and stigmasterol). In general, fucosterol was the most abundant (6.60 to 48.13 mg kg(-1)), followed by beta-sitosterol (5.29 to 16.49 mg kg(-1)), stigmasterol (2.69 to 14.84 mg kg(-1)) in five of the six examined algae. The sterol campesterol was found in lower concentrations (0.07 to 0.15 mg kg(-1)) in all studied samples.</t>
  </si>
  <si>
    <t>[Pereira, Claudio M. P.; Nunes, Camila F. P.] Fed Pelotas Univ, Ctr Chem Pharmaceut &amp; Food Sci, Lab Lipid &amp; Bioorgan, BR-96010900 Campus Capao Do Leao, RS, Brazil; [Zambotti-Villela, Leonardo; Pinto, Ernani; Colepicolo, Pio] Univ Sao Paulo, Inst Chem, Dept Biochem, Ave Prof Lineu Prestes 748, Sao Paulo, SP, Brazil; [Streit, Nivia M.; Dias, Daiane] Fed Univ Rio Grande, Sch Chem &amp; Food, BR-96201900 Rio Grande, RS, Brazil; [Gomes, Carolina B.] Fed Pelotas Univ, Ctr Technol Dev, Lab Lipid &amp; Bioorgan, BR-96010900 Campus Capao Do Leao, RS, Brazil</t>
  </si>
  <si>
    <t>Universidade de Sao Paulo; Universidade Federal do Rio Grande</t>
  </si>
  <si>
    <t>Pereira, CMP (corresponding author), Fed Pelotas Univ, Ctr Chem Pharmaceut &amp; Food Sci, Lab Lipid &amp; Bioorgan, BR-96010900 Campus Capao Do Leao, RS, Brazil.</t>
  </si>
  <si>
    <t>lahbbioufpel@gmail.com; camilafpnunes@gmail.com; lzvillela@usp.br; daianezd@gmail.com; ernani@usp.br; carolgomes.estrela@hotmail.com; piocolep@iq.usp.br</t>
  </si>
  <si>
    <t>Zambotti-Villela, Leonardo/E-3047-2013; de Pereira, Claudio Pereira/T-7512-2019; Dias, Daiane/I-3065-2013; Pinto, Ernani/A-4617-2010; Fapesp, Biota/F-8655-2017</t>
  </si>
  <si>
    <t>de Pereira, Claudio Pereira/0000-0002-2818-4281; Dias, Daiane/0000-0002-4057-2471; Pinto, Ernani/0000-0001-7614-3014; Fapesp, Biota/0000-0002-9887-8449; Zambotti-Villela, Leonardo/0000-0003-1064-569X</t>
  </si>
  <si>
    <t>Brazilian Antarctic Program (PROANTAR/MCT/CNPq) [23/2009, 64/2013]; Brazilian Marine Force; FAPERGS; FAPESP; CNPq; CAPES [PGCI - 026/2008]</t>
  </si>
  <si>
    <t>Brazilian Antarctic Program (PROANTAR/MCT/CNPq); Brazilian Marine Force; FAPERGS(Fundacao de Amparo a Ciencia e Tecnologia do Estado do Rio Grande do Sul (FAPERGS)); FAPESP(Fundacao de Amparo a Pesquisa do Estado de Sao Paulo (FAPESP)); CNPq(Conselho Nacional de Desenvolvimento Cientifico e Tecnologico (CNPQ)); CAPES(Coordenacao de Aperfeicoamento de Pessoal de Nivel Superior (CAPES))</t>
  </si>
  <si>
    <t>This study had financial and logistic support from the Brazilian Antarctic Program (PROANTAR/MCT/CNPq-No. 23/2009; 64/2013) and Brazilian Marine Force. The authors are grateful for the financial and fellowship support from the Brazilian research funding agencies FAPERGS, FAPESP, CNPq and CAPES (PGCI - 026/2008). The authors are thankful to Bruna Silveira Pacheco and Caroline Carapina da Silva by contributions in the manuscript.</t>
  </si>
  <si>
    <t>10.1007/s10811-016-0905-5</t>
  </si>
  <si>
    <t>WOS:000399241500010</t>
  </si>
  <si>
    <t>Santos, MAZ; Colepicolo, P; Pupo, D; Fujii, MT; de Pereira, CMP; Mesko, MF</t>
  </si>
  <si>
    <t>Santos, Marco A. Z.; Colepicolo, Pio; Pupo, Dicla; Fujii, Mutue T.; de Pereira, Claudio M. P.; Mesko, Marcia F.</t>
  </si>
  <si>
    <t>Antarctic red macroalgae: a source of polyunsaturated fatty acids</t>
  </si>
  <si>
    <t>Antarctic; Macroalgae; Eicosapentaenoic acid; Polyunsaturated fatty acids; Red algae; Rhodophyta</t>
  </si>
  <si>
    <t>KING GEORGE ISLAND; CARDIOVASCULAR-DISEASE; CHEMICAL-COMPOSITION; MARINE MACROALGAE; BETA-CAROTENE; ASH CONTENTS; TEMPERATURE; LIPIDS; RHODOPHYTA; LIGHT</t>
  </si>
  <si>
    <t>The n-3 and n-6 series of polyunsaturated fatty acids (PUFAs) are important for numerous metabolic functions that reduce the risk of inflammation, cancer, and heart diseases. These fatty acids (FAs) have been detected in high concentrations in some species of algae. The amount of the n-3 and n-6 PUFAs is closely associated with abiotic factors, such as solar radiation intensity, salinity, and temperature variation. However, abiotic influence on PUFA levels, along with the physiological function of these molecules in algae, remains inconclusive. In the present study, the quantities of the n-3 and n-6 in Antarctic red algae species Iridaea cordata, Palmaria decipiens, Plocamium cartilagineum, and Pyropia endiviifolia were determined. The lipids were extracted from the macroalgae according to the method followed by Bligh and Dyer (1959) and converted to methyl esters for further analysis using gas chromatography. The main n-6 PUFA identified and quantified in this study of Antarctic red algae were linoleic acid (18:2n-6), dihomo-gamma-linolenic acid (20:3n-6), and arachidonic acid (20:4n-6). The eicosapentaenoic acid was detected at high concentrations in all species, with approximately 62.8% of total FA in P. endiviifolia, 75.4% in P. decipiens, 50.4% in I. cordata, and 20.1% in P. cartilagineum. The results corroborate those of the literature and show that PUFAs increased in red algae environments, with increased production of n-3 and n-6 PUFAs.</t>
  </si>
  <si>
    <t>[Santos, Marco A. Z.; de Pereira, Claudio M. P.] Univ Fed Pelotas, Ctr Ciencias Quim Farmaceut &amp; Alimentos, Lab Lipidom &amp; Bioorgan LLipidomicaBio, Caixa Postal 354, BR-96001970 Pelotas, RS, Brazil; [Colepicolo, Pio] Univ Sao Paulo, Inst Quim, Dept Bioquim, Sao Paulo, Brazil; [Pupo, Dicla; Fujii, Mutue T.] Inst Bot, Nucleo Pesquisa Ficol, Ave Miguel Estefano 3687, BR-04301902 Sao Paulo, SP, Brazil; [Mesko, Marcia F.] Univ Fed Pelotas, Ctr Ciencias Quim Farmaceut &amp; Alimentos, Lab Controle Contaminantes Biomat, Caixa Postal 354, BR-96001970 Pelotas, RS, Brazil</t>
  </si>
  <si>
    <t>Universidade Federal de Pelotas; Universidade de Sao Paulo; Instituto de Botanica - Sao Paulo; Universidade Federal de Pelotas</t>
  </si>
  <si>
    <t>Mesko, MF (corresponding author), Univ Fed Pelotas, Ctr Ciencias Quim Farmaceut &amp; Alimentos, Lab Controle Contaminantes Biomat, Caixa Postal 354, BR-96001970 Pelotas, RS, Brazil.</t>
  </si>
  <si>
    <t>marciamesko@yahoo.com.br</t>
  </si>
  <si>
    <t>Santos, Marco/HGF-1439-2022; Mesko, Marcia Foster/Q-3199-2019; de Pereira, Claudio Pereira/T-7512-2019; Fapesp, Biota/F-8655-2017; dos Santos, Marco Aurélio Ziemann/T-6159-2019; MESKO, MARCIA FOSTER/L-3245-2018; Fujii, Mutue/B-4093-2013</t>
  </si>
  <si>
    <t>Mesko, Marcia Foster/0000-0002-7399-446X; de Pereira, Claudio Pereira/0000-0002-2818-4281; Fapesp, Biota/0000-0002-9887-8449; dos Santos, Marco Aurélio Ziemann/0000-0002-3776-3701; MESKO, MARCIA FOSTER/0000-0002-7399-446X; Fujii, Mutue/0000-0001-6752-1570</t>
  </si>
  <si>
    <t>Brazilian Antarctic Program (PROANTAR/MCT/CNPq) [23/2009, 64/2013]; Brazilian Navy; Foundation for Research Support of the State of Rio Grande do Sul (FAPERGS); Foundation for Research Support of the State of Sao Paulo (FAPESP); National Council for Scientific and Technological Development (CNPq); National Program for Post-Doctoral Studies - Coordination for Improvement of Higher Level Personnel (PNPD-CAPES)</t>
  </si>
  <si>
    <t>Brazilian Antarctic Program (PROANTAR/MCT/CNPq); Brazilian Navy; Foundation for Research Support of the State of Rio Grande do Sul (FAPERGS)(Fundacao de Amparo a Ciencia e Tecnologia do Estado do Rio Grande do Sul (FAPERGS)); Foundation for Research Support of the State of Sao Paulo (FAPESP)(Fundacao de Amparo a Pesquisa do Estado de Sao Paulo (FAPESP)); National Council for Scientific and Technological Development (CNPq)(Conselho Nacional de Desenvolvimento Cientifico e Tecnologico (CNPQ)); National Program for Post-Doctoral Studies - Coordination for Improvement of Higher Level Personnel (PNPD-CAPES)</t>
  </si>
  <si>
    <t>This study had financial and logistic support from the Brazilian Antarctic Program (PROANTAR/MCT/CNPq-No. 23/2009; 64/2013) and Brazilian Navy. The authors are grateful for the financial and fellowship support from the Brazilian research funding agencies Foundation for Research Support of the State of Rio Grande do Sul (FAPERGS), Foundation for Research Support of the State of Sao Paulo (FAPESP), National Council for Scientific and Technological Development (CNPq), and National Program for Post-Doctoral Studies - Coordination for Improvement of Higher Level Personnel (PNPD-CAPES)</t>
  </si>
  <si>
    <t>10.1007/s10811-016-1034-x</t>
  </si>
  <si>
    <t>WOS:000399241500011</t>
  </si>
  <si>
    <t>Alter, K; Andrewartha, SJ; Clark, TD; Elliott, NG</t>
  </si>
  <si>
    <t>Alter, Katharina; Andrewartha, Sarah J.; Clark, Timothy D.; Elliott, Nicholas G.</t>
  </si>
  <si>
    <t>THERMAL PREFERENCE INCREASES DURING LARVAL DEVELOPMENT OF PURE AND HYBRID ABALONE</t>
  </si>
  <si>
    <t>JOURNAL OF SHELLFISH RESEARCH</t>
  </si>
  <si>
    <t>behavioral thermoregulation; metabolism; early-life stages; abalone</t>
  </si>
  <si>
    <t>BEHAVIORAL THERMOREGULATION; HALIOTIS-RUBRA; JUVENILE GROWTH; TEMPERATURE SELECTION; H-LAEVIGATA; MOLLUSCA; GASTROPODA; DISPERSAL; TOLERANCE; SORENSENI</t>
  </si>
  <si>
    <t>Temperature is one of the main factors influencing biological processes of ectothermic species. An optimum temperature of 16-18 degrees C has been suggested for the development of early life stages of temperate Australian abalone, yet there are little physiological or behavioral data to support this suggestion. This study examines the acute thermal preferences (Tpref), swimming speeds (U), and oxygen consumption rates (MO2) of veliger larvae of blacklip abalone [Haliotis rubra (Leach, 1814)], greenlip abalone [Haliotis laevigata (Donovan, 1808)], and their interspecies hybrid. Thermal preference and U were measured in a thermal gradient with temperatures ranging from 12 degrees C to 25 degrees C, and MO2 was measured at 4-7 temperatures between 12 degrees C and 32 degrees C. Thermal preference increased in all three groups of abalone during development from a Tpref of 16 degrees C in 1-day-old early veligers to a Tpref of 20 degrees C in 3-day-old late veligers. Swimming speed increased with temperature in all three groups of abalone and increased with age in H. rubra and hybrids but not in H. laevigata. Veliger MO2 increased throughout the ecologically relevant temperature range in all three abalone groups. Higher temperatures were examined in hybrids, and it was found that MO2 reached a peak at 25 degrees C and declined thereafter. These results align with the temperatures that veligers may experience in their natural habitat and provide support that current temperatures maintained at Australian aquaculture hatcheries are within optimal ranges for larval performance.</t>
  </si>
  <si>
    <t>[Alter, Katharina; Andrewartha, Sarah J.; Clark, Timothy D.] Univ Tasmania, Inst Marine &amp; Antarctic Studies, 20 Castray Esplanade, Battery Point, Tasmania 7004, Australia; [Alter, Katharina; Andrewartha, Sarah J.; Clark, Timothy D.; Elliott, Nicholas G.] CSIRO, Agr &amp; Food, Battery Point, Tasmania 7004, Australia</t>
  </si>
  <si>
    <t>University of Tasmania; Commonwealth Scientific &amp; Industrial Research Organisation (CSIRO)</t>
  </si>
  <si>
    <t>Alter, K (corresponding author), Univ Tasmania, Inst Marine &amp; Antarctic Studies, 20 Castray Esplanade, Battery Point, Tasmania 7004, Australia.;Alter, K (corresponding author), CSIRO, Agr &amp; Food, Battery Point, Tasmania 7004, Australia.</t>
  </si>
  <si>
    <t>katharina.alter@csiro.au</t>
  </si>
  <si>
    <t>Andrewartha, Sarah/K-4189-2012; Alter, Katharina/AAA-6902-2019; Clark, Timothy/K-7129-2012; Alter, Katharina/J-5900-2013</t>
  </si>
  <si>
    <t>Andrewartha, Sarah/0000-0003-1973-9502; Clark, Timothy/0000-0001-8738-3347; Alter, Katharina/0000-0002-1801-748X</t>
  </si>
  <si>
    <t>Sense-t; CSIRO</t>
  </si>
  <si>
    <t>Sense-t; CSIRO(Commonwealth Scientific &amp; Industrial Research Organisation (CSIRO))</t>
  </si>
  <si>
    <t>We would like to thank Jade Tiger Abalone for their support and for providing abalone larvae. We are thankful for scholarships and funding provided by Sense-t and CSIRO.</t>
  </si>
  <si>
    <t>NATL SHELLFISHERIES ASSOC</t>
  </si>
  <si>
    <t>GROTON</t>
  </si>
  <si>
    <t>C/O DR. SANDRA E. SHUMWAY, UNIV CONNECTICUT, 1080 SHENNECOSSETT RD, GROTON, CT 06340 USA</t>
  </si>
  <si>
    <t>0730-8000</t>
  </si>
  <si>
    <t>1943-6319</t>
  </si>
  <si>
    <t>J SHELLFISH RES</t>
  </si>
  <si>
    <t>J. Shellfish Res.</t>
  </si>
  <si>
    <t>10.2983/035.036.0114</t>
  </si>
  <si>
    <t>ER9AJ</t>
  </si>
  <si>
    <t>WOS:000399114600014</t>
  </si>
  <si>
    <t>Suto, I; Tanaka, Y</t>
  </si>
  <si>
    <t>Suto, Itsuki; Tanaka, Yuichiro</t>
  </si>
  <si>
    <t>Taxonomy and stratigraphic changes of diatom resting spores from DSDP Leg 41, offshore northwest African margin, based on nannofossil biostratigraphy</t>
  </si>
  <si>
    <t>PALEONTOLOGICAL RESEARCH</t>
  </si>
  <si>
    <t>Chaetoceros resting spores; DSDP Hole 366; DSDP Hole 369A; nannofossils; Northwest African margin; Paleogene</t>
  </si>
  <si>
    <t>GENUS CHAETOCEROS BACILLARIOPHYCEAE; GENERA DICLADIA EHRENBERG; MARINE PLANKTONIC DIATOM; NORWEGIAN SEA; SYNDENDRIUM EHRENBERG; LIRADISCUS GREVILLE; MIDDLE EOCENE; OLIGOCENE; MIOCENE; PACIFIC</t>
  </si>
  <si>
    <t>We reinvestigated the standard calcareous nannofossil and diatom biostratigraphy zonations from Deep Sea Drilling Project (DSDP) Leg 41 Holes 366 and 369A in the eastern equatorial Atlantic Ocean in order to determine the geologic ages for the low-latitude diatom zonation. Applying the ages of nannofossil zonations to diatom ones, the ages of several diatom bioevents (first occurrence, FO) which determine the biozones of DSDP Holes 366 and 369A are evaluated as follows; FOs of Baxteriopsis brunii (ca. 38.1 Ma), Coscinodiscus excavatus (ca. 33.6 Ma), Cestodiscus reticulatus (ca. 32.9 Ma), Rocella vigilans (ca. 29.8 Ma), Rossiella symmetrica (ca. 29.5 Ma) and Bogorovia veniamini (ca. 28.3 Ma). These ages may be applicable not only for these holes but also for biostratigraphic studies of other holes which contain Paleogene diatoms. Moreover, this paper describes the taxonomy and stratigraphic ranges of marine diatom Chaetoceros resting spores from DSDP Holes 366 and 369A, including two new morpho-species (Vallodiscus truncatulus Suto sp. nov. and Xanthioisthmus fortii Suto sp. nov.) and its allied species with synonymy lists, light microscopic observations and several key references for each taxon. As the results of counting of each diatom taxon, it was clear that the sedimentation rate and Chaetoceros resting spore abundances and diversities changed abruptly in the earliest Oligocene (ca. 32 Ma). During the separation of the South American and African continents from the Late Cretaceous to earliest Oligocene, a passage arose that acted for the transfer of Antarctic Bottom Water and modulated the bottom current velocities. The southward bottom water and the passage influenced the sedimentation rate and upwelling of nutrient-rich deeper waters stimulated marine productivity and ecology of Chaetoceros across the late Eocene to early Oligocene.</t>
  </si>
  <si>
    <t>[Suto, Itsuki] Nagoya Univ, Grad Sch Environm Studies, Dept Earth &amp; Planetary Sci, Nagoya, Aichi 4648601, Japan; [Tanaka, Yuichiro] Nat Inst Adv Ind Sci &amp; Technol AIST, 1-1-1 Higashi, Tsukuba, Ibaraki 3058567, Japan</t>
  </si>
  <si>
    <t>Nagoya University; National Institute of Advanced Industrial Science &amp; Technology (AIST)</t>
  </si>
  <si>
    <t>Suto, I (corresponding author), Nagoya Univ, Grad Sch Environm Studies, Dept Earth &amp; Planetary Sci, Nagoya, Aichi 4648601, Japan.</t>
  </si>
  <si>
    <t>suto.itsuki@a.mbox.nagoya-u.ac.jp</t>
  </si>
  <si>
    <t>Laboratory of Geobiology, Nagoya University; U.S. National Science Foundation (NSF); Ministry of Education, Science and Culture of Japan [18840026, 20740299]; Grants-in-Aid for Scientific Research [18840026, 20740299] Funding Source: KAKEN</t>
  </si>
  <si>
    <t>Laboratory of Geobiology, Nagoya University; U.S. National Science Foundation (NSF)(National Science Foundation (NSF)); Ministry of Education, Science and Culture of Japan(Ministry of Education, Culture, Sports, Science and Technology, Japan (MEXT)); Grants-in-Aid for Scientific Research(Ministry of Education, Culture, Sports, Science and Technology, Japan (MEXT)Japan Society for the Promotion of ScienceGrants-in-Aid for Scientific Research (KAKENHI))</t>
  </si>
  <si>
    <t>We thank the Laboratory of Geobiology, Nagoya University for all its support. This research used samples and data provided by the Integrated Ocean Drilling Program (IODP). IODP is sponsored by the U.S. National Science Foundation (NSF) and participating countries under the management of the Joint Oceanographic Institutions (JOI) Inc. This study was supported by a 2006-2011 Grant-in-Aid from the Ministry of Education, Science and Culture of Japan (18840026 and 20740299) awarded to IS.</t>
  </si>
  <si>
    <t>PALAEONTOLOGICAL SOC JAPAN</t>
  </si>
  <si>
    <t>MT BLDG 4F, 7-2-2, HONGO, BUNKYO-KU, TOKYO, 113-0033, JAPAN</t>
  </si>
  <si>
    <t>1342-8144</t>
  </si>
  <si>
    <t>PALEONTOL RES</t>
  </si>
  <si>
    <t>Paleontol. Res.</t>
  </si>
  <si>
    <t>10.2517/2016PR019</t>
  </si>
  <si>
    <t>ER8ZA</t>
  </si>
  <si>
    <t>WOS:000399111000004</t>
  </si>
  <si>
    <t>Pelé, M; Bonnefoy, A; Shimada, M; Sueur, C</t>
  </si>
  <si>
    <t>Pele, Marie; Bonnefoy, Alexandre; Shimada, Masaki; Sueur, Cedric</t>
  </si>
  <si>
    <t>Interspecies sexual behaviour between a male Japanese macaque and female sika deer</t>
  </si>
  <si>
    <t>PRIMATES</t>
  </si>
  <si>
    <t>Heterospecific mating; Sexual harassment; Primate; Macaca fuscata yakui; Reproductive interference</t>
  </si>
  <si>
    <t>Interspecies sexual behaviour or 'reproductive interference' has been reported across a wide range of animal taxa. However, most of these occurrences were observed in phylogenetically close species and were mainly discussed in terms of their effect on fitness, hybridization and species survival. The few cases of heterospecific mating in distant species occurred between animals that were bred and maintained in captivity. Only one scientific study has reported this phenomenon, describing sexual harassment of king penguins by an Antarctic fur seal. This is the first article to report mating behaviour between a male Japanese macaque (Macaca fuscata yakui) and female sika deer (Cervus nippon yakushimae) on Yakushima Island, Japan. Although Japanese macaques are known to ride deer, this individual showed clearly sexual behaviour towards several female deer, some of which tried to escape whilst others accepted the mount. This male seems to belong to a group of peripheral males. Although this phenomenon may be explained as copulation learning, this is highly unlikely. The most realistic hypothesis would be that of mate deprivation, which states that males with limited access to females are more likely to display this behaviour. Whatever the cause for this event may be, the observation of highly unusual animal behaviour may be a key to understanding the evolution of heterospecific mating behaviour in the animal kingdom.</t>
  </si>
  <si>
    <t>[Pele, Marie] Res &amp; Consultancy Agcy Anim Wellbeing &amp; Behav, Ethobiosci, Strasbourg, France; [Bonnefoy, Alexandre] Issekinicho Edit, Strasbourg, France; [Shimada, Masaki] Teikyo Univ Sci, Dept Anim Sci, Uenohara, Japan; [Sueur, Cedric] CNRS, Dept Ecol Physiol &amp; Ethol, Strasbourg, France; [Sueur, Cedric] Univ Strasbourg, Inst Pluridisciplinaire Hubert Curien, Strasbourg, France</t>
  </si>
  <si>
    <t>Universites de Strasbourg Etablissements Associes; Universite de Strasbourg; Centre National de la Recherche Scientifique (CNRS); Universites de Strasbourg Etablissements Associes; Universite de Strasbourg</t>
  </si>
  <si>
    <t>Sueur, C (corresponding author), CNRS, Dept Ecol Physiol &amp; Ethol, Strasbourg, France.;Sueur, C (corresponding author), Univ Strasbourg, Inst Pluridisciplinaire Hubert Curien, Strasbourg, France.</t>
  </si>
  <si>
    <t>cedric.sueur@iphc.cnrs.fr</t>
  </si>
  <si>
    <t>Sueur, Cédric/A-4020-2011; Pelé, Marie/A-4502-2011</t>
  </si>
  <si>
    <t>Sueur, Cédric/0000-0001-8206-2739; Pelé, Marie/0000-0003-2297-5522</t>
  </si>
  <si>
    <t>University of Strasbourg [W15RJSHO]; Grants-in-Aid for Scientific Research [26284138] Funding Source: KAKEN</t>
  </si>
  <si>
    <t>University of Strasbourg; Grants-in-Aid for Scientific Research(Ministry of Education, Culture, Sports, Science and Technology, Japan (MEXT)Japan Society for the Promotion of ScienceGrants-in-Aid for Scientific Research (KAKENHI))</t>
  </si>
  <si>
    <t>This article and this observation were made possible by funds donated to the Saru: Singes du Japon'' Grant Initiative d'Excellence W15RJSHO project by the University of Strasbourg and the French Ministry for Higher Education. We also thank Hiroyuki Miyamoto from JSPS Strasbourg office and Hideki Sugiura from Kyoto University Wildlife Research Center for their help on Yakushima Island. We thank Munro Language Services for English language editing.</t>
  </si>
  <si>
    <t>0032-8332</t>
  </si>
  <si>
    <t>1610-7365</t>
  </si>
  <si>
    <t>Primates</t>
  </si>
  <si>
    <t>10.1007/s10329-016-0593-4</t>
  </si>
  <si>
    <t>ER9NG</t>
  </si>
  <si>
    <t>WOS:000399152600003</t>
  </si>
  <si>
    <t>Maguire, A; McGee, J</t>
  </si>
  <si>
    <t>Maguire, Amy S. O. A. S. Univ London; McGee, Jeffrey</t>
  </si>
  <si>
    <t>A Universal Human Right to Shape Responses to a Global Problem? The Role of Self-Determination in Guiding the International Legal Response to Climate Change</t>
  </si>
  <si>
    <t>REVIEW OF EUROPEAN COMPARATIVE &amp; INTERNATIONAL ENVIRONMENTAL LAW</t>
  </si>
  <si>
    <t>MIGRATION; JUSTICE; EQUITY; RISK</t>
  </si>
  <si>
    <t>International climate change law is at a critical juncture. Two decades of international treaty negotiations have delivered rising greenhouse gas emissions and minimal adaptation funding. The pattern of negotiations suggests that key States will often only make significant commitments that are aligned with their material interests and reciprocated by their competitors. This logic of reciprocity' in international climate negotiations has limited ambition such that vulnerable States are facing existential threats from sea level rise, storm surge and salt-water inundation. We consider whether the international legal system offers any alternative logics that might found a duty on emitters to reduce their emissions in a timelier fashion and respond to climate-change-induced forced migration. We therefore focus on the foundational principle of the self-determination of peoples, a collective human right which has supported movements towards decolonization and the emancipation of oppressed peoples. We argue that self-determination might offer an alternative logic of duty on high-emitting States to the plight of populations who find their territory (and potentially their nationhood) under threat from anthropogenic climate change.</t>
  </si>
  <si>
    <t>[Maguire, Amy S. O. A. S. Univ London] Univ Newcastle, Callaghan, NSW, Australia; [McGee, Jeffrey] Univ Tasmania, Fac Law, Hobart, Tas, Australia; [McGee, Jeffrey] Univ Tasmania, Inst Marine &amp; Antarctic Studies, Hobart, Tas, Australia</t>
  </si>
  <si>
    <t>University of Newcastle; University of Tasmania; University of Tasmania</t>
  </si>
  <si>
    <t>Maguire, A (corresponding author), Univ Newcastle, Callaghan, NSW, Australia.</t>
  </si>
  <si>
    <t>Amy.Maguire@newcastle.edu.au</t>
  </si>
  <si>
    <t>MAGUIRE, AMY/G-7764-2013; McGee, Jeffrey/K-7322-2015</t>
  </si>
  <si>
    <t>MAGUIRE, AMY/0000-0002-3038-5517; McGee, Jeffrey/0000-0002-2093-5896</t>
  </si>
  <si>
    <t>2050-0386</t>
  </si>
  <si>
    <t>2050-0394</t>
  </si>
  <si>
    <t>REV EUR COMP INT ENV</t>
  </si>
  <si>
    <t>Rev. Eur. Comp. Int. Environ.</t>
  </si>
  <si>
    <t>10.1111/reel.12193</t>
  </si>
  <si>
    <t>Environmental Studies; Law</t>
  </si>
  <si>
    <t>Environmental Sciences &amp; Ecology; Government &amp; Law</t>
  </si>
  <si>
    <t>ER5ME</t>
  </si>
  <si>
    <t>WOS:000398845200006</t>
  </si>
  <si>
    <t>Pope, A; Wagner, P; Johnson, R; Shutler, JD; Baeseman, J; Newman, L</t>
  </si>
  <si>
    <t>Pope, A.; Wagner, P.; Johnson, R.; Shutler, J. D.; Baeseman, J.; Newman, L.</t>
  </si>
  <si>
    <t>Community review of Southern Ocean satellite data needs</t>
  </si>
  <si>
    <t>Antarctic; cryosphere; polar; remote sensing</t>
  </si>
  <si>
    <t>ANTARCTIC SEA-ICE; PARTICULATE ORGANIC-CARBON; BAND RADIOMETER/SCATTEROMETER OBSERVATIONS; SUBSURFACE CHLOROPHYLL MAXIMUM; SNOW DEPTH; BELLINGSHAUSEN SEA; PASSIVE MICROWAVE; IN-SITU; SALINITY RETRIEVALS; FREEBOARD RETRIEVAL</t>
  </si>
  <si>
    <t>This review represents the Southern Ocean community's satellite data needs for the coming decade. Developed through widespread engagement and incorporating perspectives from a range of stakeholders (both research and operational), it is designed as an important community-driven strategy paper that provides the rationale and information required for future planning and investment. The Southern Ocean is vast but globally connected, and the communities that require satellite-derived data in the region are diverse. This review includes many observable variables, including sea ice properties, sea surface temperature, sea surface height, atmospheric parameters, marine biology (both micro and macro) and related activities, terrestrial cryospheric connections, sea surface salinity, and a discussion of coincident and in situ data collection. Recommendations include commitment to data continuity, increases in particular capabilities (sensor types, spatial, temporal), improvements in dissemination of data/products/uncertainties, and innovation in calibration/validation capabilities. Full recommendations are detailed by variable as well as summarized. This review provides a starting point for scientists to understand more about Southern Ocean processes and their global roles, for funders to understand the desires of the community, for commercial operators to safely conduct their activities in the Southern Ocean, and for space agencies to gain greater impact from Southern Ocean-related acquisitions and missions.</t>
  </si>
  <si>
    <t>[Pope, A.] Univ Colorado, Natl Snow &amp; Ice Data Ctr, Boulder, CO 80309 USA; [Pope, A.] Univ Colorado, Cooperat Inst Res Environm Sci, Boulder, CO 80309 USA; [Pope, A.] Univ Washington, Polar Sci Ctr, Appl Phys Lab, Seattle, WA 98105 USA; [Wagner, P.] Norwegian Meteorol Inst, Tromso, Norway; [Johnson, R.] Univ Tasmania, Inst Marine &amp; Antarct Studies, Hobart, Tas, Australia; [Johnson, R.] Univ New South Wales, ARC Ctr Excellence Climate Syst Sci, Sydney, NSW, Australia; [Johnson, R.] Antarct Climate &amp; Ecosyst Cooperat Res Ctr, Hobart, Tas, Australia; [Shutler, J. D.] Univ Exeter, Coll Life &amp; Environm Sci, Ctr Geog Environm &amp; Soc, Penryn TR10 9EZ, England; [Baeseman, J.] Fram Ctr, Norwegian Polar Inst, Climate &amp; Cryosphere Int Project Off, Tromso, Norway; [Baeseman, J.] Univ Cambridge, Scott Polar Res Inst, Sci Comm Antarct Res, Cambridge CB2 1ER, England; [Baeseman, J.] Univ Alaska, Int Arct Res Ctr, Fairbanks, AK 99775 USA; [Newman, L.] Univ Tasmania, Inst Marine &amp; Antarct Studies, Southern Ocean Observing Syst Int Project Off, Hobart, Tas, Australia</t>
  </si>
  <si>
    <t>University of Colorado System; University of Colorado Boulder; University of Colorado System; University of Colorado Boulder; University of Washington; University of Washington Seattle; Norwegian Meteorological Institute; University of Tasmania; ARC Centre of Excellence for Climate System Science; University of New South Wales Sydney; University of Exeter; Norwegian Polar Institute; University of Cambridge; University of Alaska System; University of Alaska Fairbanks; University of Tasmania</t>
  </si>
  <si>
    <t>Pope, A (corresponding author), Univ Colorado, Natl Snow &amp; Ice Data Ctr, Boulder, CO 80309 USA.;Pope, A (corresponding author), Univ Colorado, Cooperat Inst Res Environm Sci, Boulder, CO 80309 USA.;Pope, A (corresponding author), Univ Washington, Polar Sci Ctr, Appl Phys Lab, Seattle, WA 98105 USA.</t>
  </si>
  <si>
    <t>Newman, Louise/Q-8592-2019; Newman, Louise/HNI-7544-2023; Wagner, Penelope Mae/ABQ-4377-2022; Johnson, Robert/E-7321-2012</t>
  </si>
  <si>
    <t>Newman, Louise/0000-0001-9523-8713; Wagner, Penelope Mae/0000-0001-5268-4510; Pope, Allen/0000-0001-9699-7500; Johnson, Robert/0000-0002-5915-5416</t>
  </si>
  <si>
    <t>10.1017/S0954102016000390</t>
  </si>
  <si>
    <t>EN9VE</t>
  </si>
  <si>
    <t>WOS:000396346900002</t>
  </si>
  <si>
    <t>Shukla, SK; Crosta, X</t>
  </si>
  <si>
    <t>Shukla, Sunil Kumar; Crosta, Xavier</t>
  </si>
  <si>
    <t>Fragilariopsis kerguelensis size variability from the Indian subtropical Southern Ocean over the last 42 000 years</t>
  </si>
  <si>
    <t>biometry; diatoms; nutrient cycling; sea surface temperature</t>
  </si>
  <si>
    <t>DIATOM; PHYTOPLANKTON; CLIMATE; PATTERNS</t>
  </si>
  <si>
    <t>In the open Southern Ocean (SO), both modern and past size changes of the diatom Fragilariopsis kerguelensis appear to be strongly controlled by iron availability. Conversely, sea surface temperatures (SST) and sea ice seasonal dynamics take over in the seasonal sea-ice zone where iron is not limiting. No information exists on F. kerguelensis biometry from the subtropical SO, on the other extreme of the thermal and nutrient gradients. We present here new data on mean valve area of F. kerguelensis (FkergArea) from a sediment core covering the last similar to 42 cal kyrs from the southern Subtropical Front (SSTF) of the Indian sector of the SO, where iron and silica stocks are thought to have been consistently low over this period. Our results suggest that larger F. kerguelensis valves occurred during the Last Glacial period, and declined during the Holocene period. These findings indicate that more favourable SST, within the F. kerguelensis ecological range, during the Last Glacial period may have enabled F. kerguelensis to make better use of the low silica stocks prevailing in the subtropical zone leading to larger valves. Conversely, declining FkergArea during the deglacial and the Holocene periods may have been a result of higher SST which hampered the utilization of silica.</t>
  </si>
  <si>
    <t>[Shukla, Sunil Kumar] Birbal Sahni Inst Palaeosci, 53 Univ Rd, Lucknow 226007, Uttar Pradesh, India; [Shukla, Sunil Kumar; Crosta, Xavier] Univ Bordeaux, UMR CNRS 5805 EPOC, Allee Geoffroy St Hilaire, F-33615 Pessac, France</t>
  </si>
  <si>
    <t>Department of Science &amp; Technology (India); Birbal Sahni Institute of Palaeobotany (BSIP); Universite de Bordeaux</t>
  </si>
  <si>
    <t>Shukla, SK (corresponding author), Birbal Sahni Inst Palaeosci, 53 Univ Rd, Lucknow 226007, Uttar Pradesh, India.;Shukla, SK (corresponding author), Univ Bordeaux, UMR CNRS 5805 EPOC, Allee Geoffroy St Hilaire, F-33615 Pessac, France.</t>
  </si>
  <si>
    <t>sunilk_shukla@bsip.res.in</t>
  </si>
  <si>
    <t>Shukla, Sunil/GLR-0323-2022</t>
  </si>
  <si>
    <t>Shukla, Sunil/0000-0002-7517-5564</t>
  </si>
  <si>
    <t>Scientific Committee on Antarctic Research (SCAR) at EPOC, Universite de Bordeaux; CNRS-INSU</t>
  </si>
  <si>
    <t>Scientific Committee on Antarctic Research (SCAR) at EPOC, Universite de Bordeaux; CNRS-INSU(Centre National de la Recherche Scientifique (CNRS))</t>
  </si>
  <si>
    <t>The research presented here was funded by the Scientific Committee on Antarctic Research (SCAR Fellowship 2010-11 awarded to SKS) and carried out at EPOC, Universite de Bordeaux. SKS is thankful to Prof Sunil Bajpai for infrastructural facilities and encouragement to publish this work (BSIP/RDCC/Publication No. 24/2016-17). XC was funded by CNRS-INSU. Two anonymous reviewers are thanked for providing helpful suggestions which improved the final manuscript. The Editor, Prof Walker Smith, is thanked for a timely review of the paper and for making it press worthy.</t>
  </si>
  <si>
    <t>10.1017/S095410201600050X</t>
  </si>
  <si>
    <t>WOS:000396346900003</t>
  </si>
  <si>
    <t>Jiménez, S; Domingo, A; Brazeiro, A; Defeo, O; Abreu, M; Forselledo, R; Phillips, RA</t>
  </si>
  <si>
    <t>Jimenez, Sebastian; Domingo, Andres; Brazeiro, Alejandro; Defeo, Omar; Abreu, Martin; Forselledo, Rodrigo; Phillips, Richard A.</t>
  </si>
  <si>
    <t>Sexual size dimorphism, spatial segregation and sex-biased bycatch of southern and northern royal albatrosses in pelagic longline fisheries</t>
  </si>
  <si>
    <t>discriminant analysis; seabirds; sexual segregation; south-west Atlantic</t>
  </si>
  <si>
    <t>WANDERING ALBATROSSES; DIOMEDEA-EXULANS; SEABIRD MORTALITY; BY-CATCH; SANFORDI; ISLANDS</t>
  </si>
  <si>
    <t>Bycatch in longline fisheries is a major contributor to the global decline of albatrosses. Sexual segregation at sea often leads to unequal overlap with different fisheries, resulting in sex-biased bycatch, exacerbating the impact on a population level. In great albatrosses (Diomedea spp.), males (the larger sex) tend to spend more time at higher latitudes than females, attributed to competitive exclusion or differences in flight performance mediated by the pronounced sexual size dimorphism (SSD). Consequently, larger numbers of females are bycaught in pelagic longline fisheries in subtropical and temperate areas. Although this has been shown for Diomedea exulans, it has not been confirmed for all great albatross species. Here we examined the degree of SSD and developed discriminant functions to determine species and sex in D. epomophora and D. sanfordi; species that are often killed in several fisheries in the Southern Hemisphere. Based on a large sample of albatrosses bycaught off Uruguay, both species showed substantial SSD. Discriminant functions assigned species and sex to otherwise indeterminate individuals with 90-100% accuracy. Based on all birds identified (n = 128), bycatch in the pelagic longline fishery was female-biased, indicating sexual segregation at sea. The discriminant functions presented enable species and sex to be identified, providing critical data for future bycatch assessments.</t>
  </si>
  <si>
    <t>[Jimenez, Sebastian; Domingo, Andres; Forselledo, Rodrigo] Direcc Nacl Recursos Acuat, Lab Recursos Pelag, Constituyente 1497, Montevideo 11200, Uruguay; [Jimenez, Sebastian; Phillips, Richard A.] British Antarctic Survey, NERC, High Cross,Madingley Rd, Cambridge CB3 0ET, England; [Jimenez, Sebastian; Abreu, Martin] Proyecto Albatros &amp; Petreles Uruguay, Ctr Invest &amp; Conservac Marina CICMAR, Montevideo, Uruguay; [Brazeiro, Alejandro] Univ Republica, Fac Ciencias, Inst Ecol &amp; Ciencias Ambient, Igua 4225, Montevideo 11400, Uruguay; [Defeo, Omar] Univ Republica, Fac Ciencias, Dept Ecol &amp; Evoluc, UNDECIMAR, Igua 4225, Montevideo 11400, Uruguay</t>
  </si>
  <si>
    <t>UK Research &amp; Innovation (UKRI); Natural Environment Research Council (NERC); NERC British Antarctic Survey; Universidad de la Republica, Uruguay; Universidad de la Republica, Uruguay</t>
  </si>
  <si>
    <t>Jiménez, S (corresponding author), Direcc Nacl Recursos Acuat, Lab Recursos Pelag, Constituyente 1497, Montevideo 11200, Uruguay.;Jiménez, S (corresponding author), British Antarctic Survey, NERC, High Cross,Madingley Rd, Cambridge CB3 0ET, England.;Jiménez, S (corresponding author), Proyecto Albatros &amp; Petreles Uruguay, Ctr Invest &amp; Conservac Marina CICMAR, Montevideo, Uruguay.</t>
  </si>
  <si>
    <t>jimenezpsebastian@gmail.com</t>
  </si>
  <si>
    <t>Jimenez, Sebastian Jimenez S/K-6168-2017; Jimenez, Sebastian/JMC-9419-2023</t>
  </si>
  <si>
    <t>Jimenez, Sebastian/0000-0003-3945-4619; Brazeiro, Alejandro/0000-0001-8352-9900</t>
  </si>
  <si>
    <t>Graham Robertson, the British Embassy (Montevideo); ACAP; Agencia Nacional de Investigacion e Innovacion (ANII); NERC [bas0100035] Funding Source: UKRI; Natural Environment Research Council [bas0100035] Funding Source: researchfish</t>
  </si>
  <si>
    <t>Graham Robertson, the British Embassy (Montevideo); ACAP; Agencia Nacional de Investigacion e Innovacion (ANII); NERC(UK Research &amp; Innovation (UKRI)Natural Environment Research Council (NERC)); Natural Environment Research Council(UK Research &amp; Innovation (UKRI)Natural Environment Research Council (NERC))</t>
  </si>
  <si>
    <t>We would like to thank the observers of the Programa Nacional de Observadores de la Flota Atunera Uruguaya (PNOFA), the boat owners of the Uruguayan fleet, Japan Tuna Fisheries Co-operative Association and the crews of the vessels for their continued co-operation. Graeme Taylor and Lyndon Perriman kindly confirmed the specific identification of the few ringed albatrosses. We would also like to thank the reviewers for helpful comments. SJ gratefully acknowledges the support by Graham Robertson, the British Embassy (Montevideo), and ACAP for three study visits to the British Antarctic Survey where some of this work was carried out. This paper is part of a PhD thesis by SJ, who receives a scholarship from Agencia Nacional de Investigacion e Innovacion (ANII).</t>
  </si>
  <si>
    <t>10.1017/S0954102016000493</t>
  </si>
  <si>
    <t>WOS:000396346900004</t>
  </si>
  <si>
    <t>Crossin, GT; Phillips, RA; Lattin, CR; Romero, LM; Bordeleau, X; Harris, CM; Love, OP; Williams, TD</t>
  </si>
  <si>
    <t>Crossin, Glenn T.; Phillips, Richard A.; Lattin, Christine R.; Romero, L. Michael; Bordeleau, Xavier; Harris, Christopher M.; Love, Oliver P.; Williams, Tony D.</t>
  </si>
  <si>
    <t>Costs of reproduction and carry-over effects in breeding albatrosses</t>
  </si>
  <si>
    <t>feather corticosterone; glucocorticoids; haematocrit; migration; testosterone; triglycerides</t>
  </si>
  <si>
    <t>GRAY-HEADED ALBATROSSES; EGG-PRODUCTION; DIOMEDEA-MELANOPHRIS; BODY CONDITION; CLUTCH SIZE; CORTICOSTERONE; CHRYSOSTOMA; MIGRATION; FEATHERS; DECISIONS</t>
  </si>
  <si>
    <t>We investigated the physiology of two closely related albatross species relative to their breeding strategy: black-browed albatrosses (Thalassarche melanophris) breed annually, while grey-headed albatrosses (T. chrysostoma) breed biennially. From observations of breeding fate and blood samples collected at the end of breeding in one season and feather corticosterone levels (fCort) sampled at the beginning of the next breeding season, we found that in both species some post-breeding physiological parameters differed according to breeding outcome (successful, failed, deferred). Correlations between post-breeding physiology and fCort, and links to future breeding decisions, were examined. In black-browed albatrosses, post-breeding physiology and fCort were not significantly correlated, but fCort independently predicted breeding decision the next year, which we interpret as a possible migratory carry-over effect. In grey-headed albatrosses, post-breeding triglyceride levels were negatively correlated with fCort, but only in females, which we interpret as a potential cost of reproduction. However, this potential cost did not carry-over to future breeding in the grey-headed albatrosses. None of the variables predicted future breeding decisions. We suggest that biennial breeding in the grey-headed albatrosses may have evolved as a strategy to buffer against the apparent susceptibility of females to negative physiological costs of reproduction. Future studies are needed to confirm this.</t>
  </si>
  <si>
    <t>[Crossin, Glenn T.; Bordeleau, Xavier] Dalhousie Univ, Dept Biol, Halifax, NS, Canada; [Phillips, Richard A.] British Antarctic Survey, NERC, High Cross,Madingley Rd, Cambridge CB3 0ET, England; [Lattin, Christine R.; Romero, L. Michael] Tufts Univ, Dept Biol, Medford, MA 02155 USA; [Harris, Christopher M.; Love, Oliver P.] Univ Windsor, Dept Biol Sci, Windsor, ON, Canada; [Harris, Christopher M.; Love, Oliver P.] Univ Windsor, Great Lakes Inst Environm Res, Windsor, ON, Canada; [Williams, Tony D.] Simon Fraser Univ, Dept Biol Sci, Burnaby, BC, Canada</t>
  </si>
  <si>
    <t>Dalhousie University; UK Research &amp; Innovation (UKRI); Natural Environment Research Council (NERC); NERC British Antarctic Survey; Tufts University; University of Windsor; University of Windsor; Simon Fraser University</t>
  </si>
  <si>
    <t>Crossin, GT (corresponding author), Dalhousie Univ, Dept Biol, Halifax, NS, Canada.</t>
  </si>
  <si>
    <t>gtc@dal.ca</t>
  </si>
  <si>
    <t>; Lattin, Christine/E-5662-2013</t>
  </si>
  <si>
    <t>Crossin, Glenn/0000-0003-1080-1189; Harris, Christopher/0000-0002-3634-5196; Lattin, Christine/0000-0003-4030-4212</t>
  </si>
  <si>
    <t>Antarctic Science International Bursary; British Antarctic Survey through a NERC Collaborative Gearing Scheme; Natural Sciences and Engineering Research Council of Canada (NSERC) postdoctoral fellowship; NSERC Discovery Grants; National Science Foundation (USA) grant [IOS-1048529]; NERC; NERC [bas0100035] Funding Source: UKRI; Natural Environment Research Council [bas0100035] Funding Source: researchfish</t>
  </si>
  <si>
    <t>Antarctic Science International Bursary; British Antarctic Survey through a NERC Collaborative Gearing Scheme; Natural Sciences and Engineering Research Council of Canada (NSERC) postdoctoral fellowship(Natural Sciences and Engineering Research Council of Canada (NSERC)); NSERC Discovery Grants(Natural Sciences and Engineering Research Council of Canada (NSERC)); National Science Foundation (USA) grant; NERC(UK Research &amp; Innovation (UKRI)Natural Environment Research Council (NERC)); NERC(UK Research &amp; Innovation (UKRI)Natural Environment Research Council (NERC)); Natural Environment Research Council(UK Research &amp; Innovation (UKRI)Natural Environment Research Council (NERC))</t>
  </si>
  <si>
    <t>We thank Derren Fox and Andrew Wood at the British Antarctic Survey for field and data support. We also thank two anonymous reviewers for their suggestions. Financial support was provided by the Antarctic Science International Bursary awarded to GTC. Additional support was provided by the British Antarctic Survey through a NERC Collaborative Gearing Scheme awarded to RAP and others, a Natural Sciences and Engineering Research Council of Canada (NSERC) postdoctoral fellowship to GTC, NSERC Discovery Grants to TDW, OPL and GTC, and a National Science Foundation (USA) grant IOS-1048529 to LMR. This study represents a contribution to the Ecosystems component of the British Antarctic Survey Polar Science for Planet Earth Programme funded by NERC.</t>
  </si>
  <si>
    <t>10.1017/S0954102016000560</t>
  </si>
  <si>
    <t>WOS:000396346900005</t>
  </si>
  <si>
    <t>Ainley, DG; Ballard, G; Eastman, JT; Evans, CW; Nur, N; Parkinson, CL</t>
  </si>
  <si>
    <t>Ainley, David G.; Ballard, Grant; Eastman, Joseph T.; Evans, Clive W.; Nur, Nadav; Parkinson, Claire L.</t>
  </si>
  <si>
    <t>Changed prevalence, not absence, explains toothfish status in McMurdo Sound</t>
  </si>
  <si>
    <t>effects of fishing; effects of predation; iceberg B15/C16; neutral buoyancy; Ross Sea; Weddell seals</t>
  </si>
  <si>
    <t>DISSOSTICHUS-MAWSONI PERCIFORMES; ROSS SEA REGION; ANTARCTIC TOOTHFISH; WEDDELL SEALS; FISH FAUNA; ICE; NOTOTHENIIDAE; SHELF; FOOD; OCEANOGRAPHY</t>
  </si>
  <si>
    <t>We comment on the conjecture by Parker et al. (2016) that Antarctic toothfish recently returned to McMurdo Sound, arguing that this species never departed. Instead, as deduced from a 40-year fishing effort, toothfish water column prevalence became markedly reduced where bottom depths are &lt;500 m, with research continuing to show their presence on the bottom or above the bottom where depths are deeper. We also counter arguments that toothfish departed, and remained absent, during and following a five-year presence of mega-icebergs residing near the opposite coast of Ross Island, the icebergs inhibiting or fomenting conditions that discouraged toothfish presence in the Sound. Available analyses reveal that toothfish movement into the Sound was probably not significantly affected, and additionally that neither changes in hydrography nor in primary productivity in the Sound would have been sufficient to impact toothfish presence through food web alteration. We hypothesize that the local effect of predation by seals and whales and the regional effect of a fishery targeting the largest toothfish ( those neutrally buoyant and thus capable of occupying upper levels of the water column) has resulted in the remaining toothfish now being found predominantly closer to the bottom at greater depths.</t>
  </si>
  <si>
    <t>[Ainley, David G.] HT Harvey &amp; Associates Ecol Consultants, Los Gatos, CA 95032 USA; [Ballard, Grant; Nur, Nadav] Point Blue Conservat Sci, Petaluma, CA 94954 USA; [Eastman, Joseph T.] Ohio Univ, Dept Biomed Sci, Athens, OH 45701 USA; [Evans, Clive W.] Univ Auckland, Sch Biol Sci, Auckland 1142, New Zealand; [Parkinson, Claire L.] NASA, Goddard Space Flight Ctr, Cryospher Sci Lab, Code 615, Greenbelt, MD 20771 USA</t>
  </si>
  <si>
    <t>University System of Ohio; Ohio University; University of Auckland; National Aeronautics &amp; Space Administration (NASA); NASA Goddard Space Flight Center</t>
  </si>
  <si>
    <t>Ainley, DG (corresponding author), HT Harvey &amp; Associates Ecol Consultants, Los Gatos, CA 95032 USA.</t>
  </si>
  <si>
    <t>Parkinson, Claire L/E-1747-2012; Eastman, Joseph T./O-6150-2019; Parkinson, Claire/JAC-7676-2023; Evans, Clive/AAZ-4699-2021</t>
  </si>
  <si>
    <t>Parkinson, Claire L/0000-0001-6730-4197; Eastman, Joseph T./0000-0003-3868-261X; Parkinson, Claire/0000-0001-6730-4197; Evans, Clive/0000-0003-2888-842X</t>
  </si>
  <si>
    <t>National Science Foundation grants [ANT-0944411, 0944141]</t>
  </si>
  <si>
    <t>National Science Foundation grants(National Science Foundation (NSF))</t>
  </si>
  <si>
    <t>Thanks to Paul Cziko for sharing his data and comments, and to Robert Pitman for sharing his and John Durban's killer whale foraging data. Comments by Mario La Mesa, two anonymous reviewers and the Editor, David Walton, improved our presentation immensely. DGA and GB time in preparing this paper was supported by National Science Foundation grants ANT-0944411 and -0944141.</t>
  </si>
  <si>
    <t>10.1017/S0954102016000584</t>
  </si>
  <si>
    <t>WOS:000396346900006</t>
  </si>
  <si>
    <t>Wilhelm, KR; Bockheim, JG</t>
  </si>
  <si>
    <t>Wilhelm, Kelly R.; Bockheim, James G.</t>
  </si>
  <si>
    <t>Climatic controls on active layer dynamics: Amsler Island, Antarctica</t>
  </si>
  <si>
    <t>Antarctic Peninsula; Antarctic soils; meteorology; snow cover; thermal lag</t>
  </si>
  <si>
    <t>MARITIME ANTARCTICA; THERMAL REGIME; PERMAFROST; SOIL; TEMPERATURES; SIGNAL</t>
  </si>
  <si>
    <t>Variations in atmospheric conditions can be important factors influencing temperature dynamics within the active layer of a soil. Solar radiation and air temperature can directly alter ground surface temperatures, while variations in wind and precipitation can control how quickly heat is carried through soil pores. The presence of seasonal snow cover can also create a thermal barrier between the atmosphere and ground surface. This study examines the relation between atmospheric conditions and ground temperature variations on a deglaciated island along the Western Antarctic Peninsula. Ground temperatures were most significantly influenced by incoming solar radiation, followed by air temperature variations. When winter months were included in the comparison, the influence of air temperature increased while solar radiation became less influential, indicating that snow cover reflected solar radiation inputs, but was not thick enough to insulate the ground. When ground temperatures were compared to atmospheric conditions of preceding weeks, seasonal temperature peaks 1.6 m below ground were best related to seasonal air temperature peaks from the previous two weeks. The same ground temperature peaks were best related to seasonal solar radiation peaks of seven weeks prior. This difference was a result of temperature lags within the atmosphere.</t>
  </si>
  <si>
    <t>[Wilhelm, Kelly R.; Bockheim, James G.] Univ Wisconsin, Dept Soil Sci, Madison, WI 53706 USA</t>
  </si>
  <si>
    <t>Wilhelm, KR (corresponding author), Univ Wisconsin, Dept Soil Sci, Madison, WI 53706 USA.</t>
  </si>
  <si>
    <t>Wilhelm, Kelly/0000-0002-7117-4898</t>
  </si>
  <si>
    <t>National Science Foundation [OPP_0943799]; United States Antarctic Program; National Science Foundation</t>
  </si>
  <si>
    <t>National Science Foundation(National Science Foundation (NSF)); United States Antarctic Program; National Science Foundation(National Science Foundation (NSF))</t>
  </si>
  <si>
    <t>The authors wish to thank the National Science Foundation (OPP_0943799) and the United States Antarctic Program for their support throughout this project, in particular John Evans, Cara Ferrier and Alexandra Isern, without whom this study would not have been possible. Thanks also to Adam Beilke, Neal Scheibe, Glenn Grant, Nicholas Haus and Graham Tilbury for helping in the field and maintaining equipment during the winter months. Finally, we would like to thank the crew of the Laurence M. Gould and the staff at Palmer Station for always being available to help with this project, without them this project would have been impossible. Funding for this project was provided by the National Science Foundation.</t>
  </si>
  <si>
    <t>10.1017/S0954102016000511</t>
  </si>
  <si>
    <t>WOS:000396346900007</t>
  </si>
  <si>
    <t>Lapalme, C; Lacelle, D; Pollard, W; Fisher, D; Davila, A; Mckay, CP</t>
  </si>
  <si>
    <t>Lapalme, Caitlin; Lacelle, Denis; Pollard, Wayne; Fisher, David; Davila, Alfonso; Mckay, Christopher P.</t>
  </si>
  <si>
    <t>Distribution and origin of ground ice in University Valley, McMurdo Dry Valleys, Antarctica</t>
  </si>
  <si>
    <t>Antarctica; ground ice; McMurdo Dry Valleys; permafrost; polygons</t>
  </si>
  <si>
    <t>CLIMATE-CHANGE; PERMAFROST; STABILITY; ISOTOPE; ISLAND; DEPTH</t>
  </si>
  <si>
    <t>Ground ice is one of the most important and dynamic geologic components of permafrost; however, few studies have investigated the distribution and origin of ground ice in the McMurdo Dry Valleys of Antarctica. In this study, ice-bearing permafrost cores were collected from 18 sites in University Valley, a small hanging glacial valley in the Quartermain Mountains. Ground ice was found to be ubiquitous in the upper 2 m of permafrost soils, with excess ice contents reaching 93%, but ground ice conditions were not homogeneous. Ground ice content was variable within polygons and along the valley floor, decreasing in the centres of polygons and increasing in the shoulders of polygons towards the mouth of the valley. Ground ice also had different origins: vapour deposition, freezing of partially evaporated snow meltwater and buried glacier ice. The variability in the distribution and origin of ground ice can be attributed to ground surface temperature and moisture conditions, which separate the valley into distinct zones. Ground ice of vapour-deposition origin was predominantly situated in perennially cryotic zones, whereas ground ice formed by the freezing of evaporated snow meltwater was predominantly found in seasonally non-cryotic zones.</t>
  </si>
  <si>
    <t>[Lapalme, Caitlin; Lacelle, Denis] Univ Ottawa, Dept Geog, Ottawa, ON, Canada; [Pollard, Wayne] McGill Univ, Dept Geog, Montreal, PQ, Canada; [Fisher, David] Univ Ottawa, Dept Earth Sci, Ottawa, ON, Canada; [Davila, Alfonso] Carl Sagan Ctr, SETI Inst, Mountain View, CA 94043 USA; [Mckay, Christopher P.] NASA, Ames Res Ctr, Moffett Field, CA 94035 USA</t>
  </si>
  <si>
    <t>University of Ottawa; McGill University; University of Ottawa; National Aeronautics &amp; Space Administration (NASA); NASA Ames Research Center</t>
  </si>
  <si>
    <t>Lacelle, D (corresponding author), Univ Ottawa, Dept Geog, Ottawa, ON, Canada.</t>
  </si>
  <si>
    <t>dlacelle@uottawa.ca</t>
  </si>
  <si>
    <t>; Davila, Alfonso/A-2198-2013</t>
  </si>
  <si>
    <t>Lacelle, Denis/0000-0002-6691-8717; Davila, Alfonso/0000-0002-0977-9909; McKay, Christopher/0000-0002-6243-1362</t>
  </si>
  <si>
    <t>10.1017/S0954102016000572</t>
  </si>
  <si>
    <t>WOS:000396346900008</t>
  </si>
  <si>
    <t>Botero-Delgadillo, E; Orellana, N; Serrano, D; Poblete, Y; Vásquez, RA</t>
  </si>
  <si>
    <t>Botero-Delgadillo, Esteban; Orellana, Nicole; Serrano, Daniela; Poblete, Yanina; Vasquez, Rodrigo A.</t>
  </si>
  <si>
    <t>Interpopulation variation in nest architecture in a secondary cavitynesting bird suggests site-specific strategies to cope with heat loss and humidity</t>
  </si>
  <si>
    <t>AUK</t>
  </si>
  <si>
    <t>Aphrastura spinicauda; Chile; Furnariidae; intraspecific variation; nest composition; nest structure</t>
  </si>
  <si>
    <t>PARUS-MAJOR L; GEOGRAPHIC-VARIATION; TREE SWALLOWS; REPRODUCTIVE-PERFORMANCE; EFFECTIVE HOMEOTHERMY; THERMAL-PROPERTIES; SIZE; CONSTRUCTION; INSULATION; FEATHERS</t>
  </si>
  <si>
    <t>Nest morphology can affect the breeding success of birds. Thus, birds inhabiting different environments may experience divergent selection for nest structure and composition that results in intraspecific geographic variation in nest architecture. We describe interpopulation differences in nest architecture among Thorn-tailed Rayaditos (Aphrastura spinicauda) in 2 contrasting environments near the species' distribution limits: a temperate and very humid environment in north-central Chile (the forest relicts of Fray Jorge National Park; 30 degrees 38'S, 71 degrees 40'W) and a cold and windy sub-Antarctic environment in the south of Chile (Isla Navarino; 55840S, 67 degrees 40'W). We collected a total of 62 nests from Fray Jorge and 61 nests from Navarino in 2013 and 2014, measured their dimensions, and quantified their constitutive materials. We tested the nests' thermal properties (simulating heat loss by convection and conduction) and hygroscopic features (water absorption and water loss capacity) and used general linear models to (1) compare these properties between populations and (2) test for a relationship between nest morphology and function. Nests from the northern population exhibited lower rates of heat loss by convection because they were larger and had a lower ratio of surface area to volume; these nests also absorbed less water, probably because of their greater content of plant-derived materials. In the southern population, nests were more compact and better insulated with feathers and hairs, with lower rates of heat loss by conduction. By separately analyzing the roles of convection, conduction, and humidity, our results suggest that potential trade-offs (insulation-humidity) could be differently affecting the nestbuilding behavior of these populations. Therefore, Thorn-tailed Rayaditos may be using site-specific strategies to cope with the local climate in contrasting environments.</t>
  </si>
  <si>
    <t>[Botero-Delgadillo, Esteban; Poblete, Yanina; Vasquez, Rodrigo A.] Univ Chile, Fac Ciencias, Dept Ciencias Ecol, Inst Ecol &amp; Biodiversidad, Santiago, Chile; [Orellana, Nicole; Serrano, Daniela] Univ Metropolitana Ciencias Educ, Santiago, Chile</t>
  </si>
  <si>
    <t>Universidad de Chile; Universidad Metropolitana de Ciencias de la Educacion (UMCE)</t>
  </si>
  <si>
    <t>Botero-Delgadillo, E (corresponding author), Univ Chile, Fac Ciencias, Dept Ciencias Ecol, Inst Ecol &amp; Biodiversidad, Santiago, Chile.</t>
  </si>
  <si>
    <t>eboterod@gmail.com</t>
  </si>
  <si>
    <t>Botero-Delgadillo, Esteban/AAC-7069-2020; Poblete, Yanina/GXA-0464-2022</t>
  </si>
  <si>
    <t>Botero-Delgadillo, Esteban/0000-0003-4653-7551; Poblete, Yanina/0000-0002-1378-9341; Vasquez, Rodrigo A/0000-0003-4309-6789</t>
  </si>
  <si>
    <t>FONDECYT [1100359, 1140548]; CONICYT-Chile [ICM-P05-002, PFB-23]; CONICYT- Chile [63130100, ICM-P05002]; COLFUTURO scolarship-loan [PCB-2012]; CONICYT- Chile graduate fellowship [21130127]</t>
  </si>
  <si>
    <t>FONDECYT(Comision Nacional de Investigacion Cientifica y Tecnologica (CONICYT)CONICYT FONDECYT); CONICYT-Chile(Comision Nacional de Investigacion Cientifica y Tecnologica (CONICYT)); CONICYT- Chile(Comision Nacional de Investigacion Cientifica y Tecnologica (CONICYT)); COLFUTURO scolarship-loan; CONICYT- Chile graduate fellowship</t>
  </si>
  <si>
    <t>Funding was provided by grants from FONDECYT (nos. 1100359 and 1140548) and from CONICYT-Chile (ICM-P05-002 and PFB-23) to R.A.V.; by graduate fellowships from CONICYT- Chile (63130100 and ICM-P05002) and a COLFUTURO scolarship-loan (PCB-2012) to E.B.D.; and by a CONICYT- Chile graduate fellowship (21130127) to Y.P.</t>
  </si>
  <si>
    <t>1938-4254</t>
  </si>
  <si>
    <t>10.1642/AUK-16-117.1</t>
  </si>
  <si>
    <t>ER1SK</t>
  </si>
  <si>
    <t>WOS:000398573200001</t>
  </si>
  <si>
    <t>Su, HN; Wang, QM; Li, CY; Li, K; Luo, W; Chen, B; Zhang, XY; Qin, QL; Zhou, BC; Chen, XL; Zhang, YZ; Xie, BB</t>
  </si>
  <si>
    <t>Su, Hai-Nan; Wang, Qian-Min; Li, Chun-Yang; Li, Kang; Luo, Wei; Chen, Bo; Zhang, Xi-Ying; Qin, Qi-Long; Zhou, Bai-Cheng; Chen, Xiu-Lan; Zhang, Yu-Zhong; Xie, Bin-Bin</t>
  </si>
  <si>
    <t>Structural insights into the cold adaptation of the photosynthetic pigment-protein C-phycocyanin from an Arctic cyanobacterium</t>
  </si>
  <si>
    <t>BIOCHIMICA ET BIOPHYSICA ACTA-BIOENERGETICS</t>
  </si>
  <si>
    <t>Algae; Photosynthesis; Phycobiliprotein; Crystallization; Stability; Flexibility</t>
  </si>
  <si>
    <t>MOLECULAR-DYNAMICS; CRYSTAL-STRUCTURE; SPIRULINA-PLATENSIS; ANGSTROM RESOLUTION; ENERGY-TRANSFER; PHYCOBILISOMES; ENZYMES</t>
  </si>
  <si>
    <t>The cold adaptation mechanism of phycobiliproteins, the major photosynthetic pigment-proteins in cyanobacteria and red algae, has rarely been studied. Here we reported the biochemical, structural, and molecular dynamics simulation study of the C-phycocyanin from Arctic cyanobacterial strain Pseudanabaena sp. LW0831. We characterized the phycobilisome components of LW0831 and obtained their gene sequences. Compared to the mesophilic counterpart from Arthrospira platensis (Ar-C-PC), LW0831 C-phycocyanin (Ps-C-PC) has a decreased thermostability (Delta T-m of - 16 degrees C), one of the typical features of cold-adapted enzymes. To uncover its structural basis, we resolved the crystal structure of Ps-C-PC 1 at 2.04 angstrom. Consistent with the decrease in thermostability, comparative structural analyses revealed decreased intra-trimer and inter-trimer interactions in Ps-CPC 1, compared to Ar-C-PC. However, comparative molecular dynamics simulations indicated that Ps-C-PC 1 shows similar flexibilities to Ar-C-PC for both the (alpha beta)(3) trimer and (alpha beta)(6) hexamer. Therefore, the optimization mode is clearly different from cold-adapted enzymes, which usually have increased flexibilities. Detailed analyses demonstrated different optimization modes for the alpha and beta subunits and it was revealed that hydrophobic interactions are key to this difference, though salt bridges, hydrogen bonds, and surface hydrophobicity are also involved. This study is the first report of the structure of cold-adapted phycobiliproteins and provides insights into the cold-adaptation strategies of non-enzyme proteins. (C) 2017 Elsevier B.V. All rights reserved.</t>
  </si>
  <si>
    <t>[Su, Hai-Nan; Wang, Qian-Min; Li, Chun-Yang; Li, Kang; Zhang, Xi-Ying; Qin, Qi-Long; Zhou, Bai-Cheng; Chen, Xiu-Lan; Zhang, Yu-Zhong; Xie, Bin-Bin] Shandong Univ, Marine Biotechnol Res Ctr, Inst Marine Sci &amp; Technol, State Key Lab Microbial Technol, Jinan 250100, Peoples R China; [Zhang, Yu-Zhong] Qingdao Natl Lab Marine Sci &amp; Technol, Lab Marine Biol &amp; Biotechnol, Qingdao, Peoples R China; [Luo, Wei; Chen, Bo] Polar Res Inst China, SOA Key Lab Polar Sci, Shanghai 200136, Peoples R China</t>
  </si>
  <si>
    <t>Shandong University; Laoshan Laboratory; Polar Research Institute of China</t>
  </si>
  <si>
    <t>Xie, BB (corresponding author), Shandong Univ, State Key Lab Microbial Technol, Jinan 250100, Peoples R China.</t>
  </si>
  <si>
    <t>xbb@sdu.edu.cn</t>
  </si>
  <si>
    <t>Li, Chun-Yang/JBS-2194-2023; Zhang, Xi/HJH-1211-2023; li, kang/ACI-8172-2022</t>
  </si>
  <si>
    <t>Li, Chun-Yang/0000-0002-1151-4897; li, kang/0000-0002-9141-860X; Luo, Wei/0000-0002-4472-2182</t>
  </si>
  <si>
    <t>National Science Foundation of China [31270117, 41376153]; Program of Shandong for Taishan Scholars [2009TS079]; Chinese Arctic and Antarctic Administration, State Oceanic Administration, P.R. China [15/16YR07]; Chinese Polar Environment Comprehensive Investigation &amp; Assessment Programmes [CHINARE2015-02-01]; Young Scholars Program of Shandong University</t>
  </si>
  <si>
    <t>National Science Foundation of China(National Natural Science Foundation of China (NSFC)); Program of Shandong for Taishan Scholars; Chinese Arctic and Antarctic Administration, State Oceanic Administration, P.R. China; Chinese Polar Environment Comprehensive Investigation &amp; Assessment Programmes; Young Scholars Program of Shandong University</t>
  </si>
  <si>
    <t>This work was supported by the National Science Foundation of China (grant no. 31270117 to X.-Y.Z. and grant no. 41376153 to H.-N.S.), Program of Shandong for Taishan Scholars (2009TS079 to Y.-Z.Z.), Chinese Arctic and Antarctic Administration, State Oceanic Administration, P.R. China (15/16YR07), Chinese Polar Environment Comprehensive Investigation &amp; Assessment Programmes (CHINARE2015-02-01), and Young Scholars Program of Shandong University (to B.-B. X.).</t>
  </si>
  <si>
    <t>0005-2728</t>
  </si>
  <si>
    <t>0006-3002</t>
  </si>
  <si>
    <t>BBA-BIOENERGETICS</t>
  </si>
  <si>
    <t>Biochim. Biophys. Acta-Bioenerg.</t>
  </si>
  <si>
    <t>10.1016/j.bbabio.2017.02.004</t>
  </si>
  <si>
    <t>Biochemistry &amp; Molecular Biology; Biophysics</t>
  </si>
  <si>
    <t>EP4SJ</t>
  </si>
  <si>
    <t>WOS:000397369900007</t>
  </si>
  <si>
    <t>Torre, L; Tabares, PCC; Momo, F; Meyer, JFCA; Sahade, R</t>
  </si>
  <si>
    <t>Torre, Luciana; Tabares, Paulo C. Carmona; Momo, Fernando; Meyer, Joao F. C. A.; Sahade, Ricardo</t>
  </si>
  <si>
    <t>Climate change effects on Antarctic benthos: a spatially explicit model approach</t>
  </si>
  <si>
    <t>CLIMATIC CHANGE</t>
  </si>
  <si>
    <t>KING-GEORGE ISLAND; SOUTH SHETLAND ISLANDS; MCMURDO SOUND; PHYSICAL DISTURBANCE; FAUNAL ASSOCIATIONS; WEDDELL SEA; POTTER COVE; SEDIMENTATION; PENINSULA; COASTAL</t>
  </si>
  <si>
    <t>The Antarctic Peninsula is one of the regions on the Earth with the clearest evidence of recent and fast air warming. This air temperature rise has caused massive glacier retreat leading to an increased influx of glacier meltwater which entails hydrological changes in coastal waters, increasing sediment input and ice-scouring impact regime. It has been hypothesized that an increase of sediment load due to glacier retreat resulted in a remarkable benthic community shift in Potter Cove, a small inlet of the South Shetland Islands. In order to test this hypothesis, we developed an explicit spatial model to explore the link between sedimentation and ice-scouring increase upon four of the most conspicuous benthic species. This is a valuable novel approach since disturbances are strongly dependent of the space. The model takes into account sediment and population dynamics with Lotka-Volterra competition, a sediment-dependent mortality term and a randomized ice-scouring biomass removal. With the developed algorithm, and using a MATLAB environment, numerical simulations for scenarios with different sedimentation and ice-impact rates were undertaken in order to evaluate the effect of this phenomenon on biological dynamics. Comparing simulation results with biological data, the model not only recreates the spatial community distribution pattern but also seems to be able to recreate the shifts in abundance under sedimentation enhancement, pointing out its importance as a structuring factor of polar benthic communities. Considering the challenges of Antarctic field work, this model represents a powerful tool for assessing, understanding, and predicting the effects of climate change on threatened Antarctic coastal ecosystems.</t>
  </si>
  <si>
    <t>[Torre, Luciana; Sahade, Ricardo] Univ Nacl Cordoba, Fac Ciencias Exactas Fis &amp; Nat, Inst Diversidad &amp; Ecol Anim CONICET UNC, Marine Ecol, Av Velez Sarsfield 299, RA-5000 Cordoba, Argentina; [Tabares, Paulo C. Carmona] Univ Quindio, Quindio, Colombia; [Momo, Fernando] Univ Nacl Gen Sarmiento, Inst Ciencias, Buenos Aires, DF, Argentina; [Momo, Fernando] Univ Nacl Lujan CONICET, INEDES, Lujan, Argentina; [Meyer, Joao F. C. A.] Univ Estadual Campinas, IMECC, Campinas, SP, Brazil</t>
  </si>
  <si>
    <t>National University of Cordoba; Universidad del Quindio; Universidad Nacional de Lujan; Consejo Nacional de Investigaciones Cientificas y Tecnicas (CONICET); Universidade Estadual de Campinas</t>
  </si>
  <si>
    <t>Torre, L (corresponding author), Univ Nacl Cordoba, Fac Ciencias Exactas Fis &amp; Nat, Inst Diversidad &amp; Ecol Anim CONICET UNC, Marine Ecol, Av Velez Sarsfield 299, RA-5000 Cordoba, Argentina.</t>
  </si>
  <si>
    <t>torreluciana@gmail.com</t>
  </si>
  <si>
    <t>Momo, Fernando R/E-3426-2012</t>
  </si>
  <si>
    <t>Momo, Fernando R/0000-0003-0710-1149; Sahade, Ricardo/0000-0001-5650-8135; Torre, Luciana/0000-0002-2090-1258; Carmona Tabares, Paulo Cesar/0000-0002-1718-2264</t>
  </si>
  <si>
    <t>Instituto Antartico Argentino; CONICET; FONCyT (Fondo para la Investigacion Cientifica y Tecnologica); SECyT-UNC (Secretaria de Ciencia y Tecnologia-UNC); DFG (Deutsche Forschungsgemeinschaft); EU (European Union) [119, 36323]; DFG [BR 775/25-1]; PADI [11234]</t>
  </si>
  <si>
    <t>Instituto Antartico Argentino; CONICET(Consejo Nacional de Investigaciones Cientificas y Tecnicas (CONICET)); FONCyT (Fondo para la Investigacion Cientifica y Tecnologica)(FONCyT); SECyT-UNC (Secretaria de Ciencia y Tecnologia-UNC); DFG (Deutsche Forschungsgemeinschaft)(German Research Foundation (DFG)); EU (European Union)(European Union (EU)); DFG(German Research Foundation (DFG)); PADI</t>
  </si>
  <si>
    <t>We thank the Carlini (former Jubany)-Dallmann staff for their support. Funding: Logistic and financial support were provided by Instituto Antartico Argentino, CONICET, FONCyT (Fondo para la Investigacion Cientifica y Tecnologica), SECyT-UNC (Secretaria de Ciencia y Tecnologia-UNC), DFG (Deutsche Forschungsgemeinschaft), and EU (European Union) via grants PICTO-DNA No 119 and 36323, DFG project no. BR 775/25-1, IMCOAST (impact of climate induced glacial melting on marine coastal systems in the western Antarctic Peninsula region), IMCONet [FP7 IRSES (International Research Staff Exchange Scheme), action no. 319718], and PADI Foundation Grant 11234.</t>
  </si>
  <si>
    <t>0165-0009</t>
  </si>
  <si>
    <t>1573-1480</t>
  </si>
  <si>
    <t>Clim. Change</t>
  </si>
  <si>
    <t>10.1007/s10584-017-1915-2</t>
  </si>
  <si>
    <t>EO6TU</t>
  </si>
  <si>
    <t>WOS:000396826200010</t>
  </si>
  <si>
    <t>Milanese, FN; Olivero, EB; Kirschvink, JL; Rapalini, AE</t>
  </si>
  <si>
    <t>Milanese, Florencia N.; Olivero, Eduardo B.; Kirschvink, Joseph L.; Rapalini, Augusto E.</t>
  </si>
  <si>
    <t>Magnetostratigraphy of the Rabot Formation, Upper Cretaceous, James Ross Basin, Antarctic Peninsula</t>
  </si>
  <si>
    <t>CRETACEOUS RESEARCH</t>
  </si>
  <si>
    <t>Magnetostratigraphy; Antarctica; James Ross Basin; Upper Cretaceous; Paleomagnetism; Rabot Formation</t>
  </si>
  <si>
    <t>BACK-ARC BASIN; REMANENT MAGNETIZATION; MARAMBIO GROUP; ISLAND; STRATIGRAPHY; CONIACIAN; PATTERNS; CHANNEL; SECTION</t>
  </si>
  <si>
    <t>Problems of endemism and diachronous extinctions make global correlation of coeval strata in the mid Campanian-Maastrichtian of the James Ross Basin problematic. To provide a more precise chronological framework, we present two magnetostratigraphies of Campanian strata from the Rabot Formation that crops out at Hamilton Norte (200 m thick) and Redonda Point (340 m thick) in James Ross Island. Sampled sections consist of poorly-consolidated, drab-colored fine sandstones and mudstones. Bulk susceptibility logs of both sections show a similar pattern of relatively low values at the lower and upper levels with significantly higher values at mid-levels that confirms the lithostratigraphic correlation between sections. Rock magnetic studies suggest that this change is not attributable to a ferrimagnetic fraction but to a paramagnetic contribution of presumed detrital origin. Stepwise thermal demagnetization showed dominant unblocking temperatures higher than 400 degrees C. Progressive hybrid low-temperature cycling, low-field AF and thermal demagnetization in a controlled N-2 atmosphere, reveals a two-polarity characteristic component of possible primary origin. Rock magnetic experiments suggest that detrital titano-magnetite is the most likely remanence carrier. Anisotropy of magnetic susceptibility results show sedimentary fabrics, indicating that beds were not significantly buried or compacted. Magnetostratigraphies produced at each locality demonstrate a consistent change from reverse to normal polarity remanence in the middle of the sections. Biostratigraphic constraints identify this reversal as the C33r/C33n transition, indicating a 79.90 Ma depositional age for this level of the Rabot Formation. The remanence directions yield a mean whose corresponding paleopole is consistent with two recently obtained Upper Cretaceous reference paleopoles for the Antarctic Peninsula. Our data support the lack of tectonic rotation or oroclinal bending of this region since the Late Cretaceous. (C) 2016 Elsevier Ltd. All rights reserved.</t>
  </si>
  <si>
    <t>[Milanese, Florencia N.; Rapalini, Augusto E.] Univ Buenos Aires, Fac Ciencias Exactas &amp; Nat, Inst Geociencias Basicas Aplicadas &amp; Ambientales, Dept Cs Geol,IGEBA CONICET, Ciudad Univ,Intendente Guiraldes 2160, RA-1428 Buenos Aires, DF, Argentina; [Olivero, Eduardo B.] Ctr Austral Invest Cient CADIC CONICET, B Houssay 200, RA-9140 Ushuaia, Tierra Del Fueg, Argentina; [Kirschvink, Joseph L.] CALTECH, Div Geol &amp; Planetary Sci, Pasadena, CA 91125 USA; [Kirschvink, Joseph L.] Tokyo Inst Technol, Earth Life Sci Inst, Meguro Ku, Tokyo, Japan</t>
  </si>
  <si>
    <t>University of Buenos Aires; Consejo Nacional de Investigaciones Cientificas y Tecnicas (CONICET); California Institute of Technology; Tokyo Institute of Technology</t>
  </si>
  <si>
    <t>Milanese, FN (corresponding author), Univ Buenos Aires, Fac Ciencias Exactas &amp; Nat, Inst Geociencias Basicas Aplicadas &amp; Ambientales, Dept Cs Geol,IGEBA CONICET, Ciudad Univ,Intendente Guiraldes 2160, RA-1428 Buenos Aires, DF, Argentina.</t>
  </si>
  <si>
    <t>fnmilanese@gl.fcen.uba.ar</t>
  </si>
  <si>
    <t>Kirschvink, Joseph L/U-5844-2017</t>
  </si>
  <si>
    <t>Milanese, Florencia/0000-0002-8850-788X; Kirschvink, Joseph/0000-0001-9486-6689</t>
  </si>
  <si>
    <t>ANPCyT [PICTO 2010-0114]; Universidad de Buenos Aires (UBACyT) [20020130100465BA]; Directorate For Geosciences; Office of Polar Programs (OPP) [1341729] Funding Source: National Science Foundation</t>
  </si>
  <si>
    <t>ANPCyT(ANPCyT); Universidad de Buenos Aires (UBACyT)(University of Buenos Aires); Directorate For Geosciences; Office of Polar Programs (OPP)(National Science Foundation (NSF)NSF - Directorate for Geosciences (GEO))</t>
  </si>
  <si>
    <t>To the Instituto Antartico Argentino for the logistic support during the antarctic field seasons, and the NSF Office of Polar Programs for support of the laboratory work at Caltech. Grants from ANPCyT (PICTO 2010-0114 to E. Olivero) and Universidad de Buenos Aires (UBACyT 20020130100465BA to A. Rapalini) provided additional support for this research. To A. Sobral, D. Smith, M. E. Raffi, S. Garcia, who were very helpful during fieldworks. To the reviewers, whose comments considerably improved the final result.</t>
  </si>
  <si>
    <t>0195-6671</t>
  </si>
  <si>
    <t>1095-998X</t>
  </si>
  <si>
    <t>CRETACEOUS RES</t>
  </si>
  <si>
    <t>Cretac. Res.</t>
  </si>
  <si>
    <t>10.1016/j.cretres.2016.12.016</t>
  </si>
  <si>
    <t>Geology; Paleontology</t>
  </si>
  <si>
    <t>EP4MU</t>
  </si>
  <si>
    <t>WOS:000397355400020</t>
  </si>
  <si>
    <t>Youngflesh, C; Jenouvrier, S; Li, Y; Ji, RB; Ainley, DG; Ballard, G; Barbraud, C; Delord, K; Dugger, KM; Emmerson, LM; Fraser, WR; Hinke, JT; Lyver, PO; Olmastroni, S; Southwell, CJ; Trivelpiece, SG; Trivelpiece, WZ; Lynch, HJ</t>
  </si>
  <si>
    <t>Youngflesh, Casey; Jenouvrier, Stephanie; Li, Yun; Ji, Rubao; Ainley, David G.; Ballard, Grant; Barbraud, Christophe; Delord, Karine; Dugger, Katie M.; Emmerson, Louise M.; Fraser, William R.; Hinke, Jefferson T.; Lyver, Phil O'B.; Olmastroni, Silvia; Southwell, Colin J.; Trivelpiece, Susan G.; Trivelpiece, Wayne Z.; Lynch, Heather J.</t>
  </si>
  <si>
    <t>Circumpolar analysis of the Adelie Penguin reveals the importance of environmental variability in phenological mismatch</t>
  </si>
  <si>
    <t>Anna Karenina Principle; Antarctica; asynchrony; Bayesian hierarchical model; climate change; phenology; Pygoscelis adeliae; quantile regression</t>
  </si>
  <si>
    <t>CLIMATE-CHANGE; SEA-ICE; REPRODUCTIVE SUCCESS; TROPHIC INTERACTIONS; CHICK GROWTH; ROSS SEA; MARINE; FOOD; TRENDS; IMPACT</t>
  </si>
  <si>
    <t>Evidence of climate-change-driven shifts in plant and animal phenology have raised concerns that certain trophic interactions may be increasingly mismatched in time, resulting in declines in reproductive success. Given the constraints imposed by extreme seasonality at high latitudes and the rapid shifts in phenology seen in the Arctic, we would also expect Antarctic species to be highly vulnerable to climate-change-driven phenological mismatches with their environment. However, few studies have assessed the impacts of phenological change in Antarctica. Using the largest database of phytoplankton phenology, sea-ice phenology, and Adelie Penguin breeding phenology and breeding success assembled to date, we find that, while a temporal match between Penguin breeding phenology and optimal environmental conditions sets an upper limit on breeding success, only a weak relationship to the mean exists. Despite previous work suggesting that divergent trends in Adelie Penguin breeding phenology are - apparent across the Antarctic continent, we find no such trends. Furthermore, we find no trend in the magnitude of phenological mismatch, suggesting that mismatch is driven by interannual variability in environmental conditions rather than climate-change-driven trends, as observed in other systems. We propose several criteria necessary for a species to experience a strong climate-change-driven phenological mismatch, of which several may be violated by this system.</t>
  </si>
  <si>
    <t>[Youngflesh, Casey; Lynch, Heather J.] SUNY Stony Brook, Dept Ecol &amp; Evolut, Stony Brook, NY 11790 USA; [Jenouvrier, Stephanie; Ji, Rubao] Woods Hole Oceanog Inst, Dept Biol, Woods Hole, MA 02543 USA; [Jenouvrier, Stephanie; Barbraud, Christophe; Delord, Karine] Univ Rochelle Villiers Bois, Ctr Natl Rech Sci, Ctr dEtudes Biol Chiz, UMR 7372, FR-79360 Bois Guillaume, France; [Li, Yun] Univ S Florida, Coll Marine Sci, Tampa, FL 33701 USA; [Ainley, David G.] HT Harvey &amp; Associates, Los Gatos, CA 95032 USA; [Ballard, Grant] Point Blue Conservat Sci, Petaluma, CA 94954 USA; [Dugger, Katie M.] Oregon State Univ, US Geol Survey, Dept Fisheries &amp; Wildlife, Oregon Cooperat Fish &amp; Wildlife Res Unit, Corvallis, OR 97331 USA; [Emmerson, Louise M.; Southwell, Colin J.] Australian Antarctic Div, Dept Environm, Kingston, Tas 7050, Australia; [Fraser, William R.] Polar Oceans Res Grp, Sheridan, MT 59749 USA; [Hinke, Jefferson T.; Trivelpiece, Susan G.; Trivelpiece, Wayne Z.] Southwest Fisheries Sci Ctr, Natl Ocean &amp; Atmospher Adm, Antarct Ecosyst Res, Natl Marine Fisheries Serv, La Jolla, CA 92037 USA; [Lyver, Phil O'B.] Landcare Res, Lincoln 7640, NE, New Zealand; [Olmastroni, Silvia] Univ Siena, Dipartimento Sci Fis Terra &amp; Ambiente, I-53100 Siena, Italy; [Olmastroni, Silvia] Museo Nazl Antartide Sez Siena, I-53100 Siena, Italy</t>
  </si>
  <si>
    <t>State University of New York (SUNY) System; State University of New York (SUNY) Stony Brook; Woods Hole Oceanographic Institution; Centre National de la Recherche Scientifique (CNRS); CNRS - Institute of Ecology &amp; Environment (INEE); State University System of Florida; University of South Florida; Oregon State University; United States Department of the Interior; United States Geological Survey; Australian Antarctic Division; National Oceanic Atmospheric Admin (NOAA) - USA; Landcare Research - New Zealand; University of Siena</t>
  </si>
  <si>
    <t>Youngflesh, C (corresponding author), SUNY Stony Brook, Dept Ecol &amp; Evolut, Stony Brook, NY 11790 USA.</t>
  </si>
  <si>
    <t>casey.youngflesh@stonybrook.edu</t>
  </si>
  <si>
    <t>Barbraud, Christophe/A-5870-2012; Li, Yun/F-5944-2015; Ji, Rubao/I-1970-2015; , Jefferson/AAG-1702-2021; OLMASTRONI, Silvia/G-6267-2018</t>
  </si>
  <si>
    <t>Barbraud, Christophe/0000-0003-0146-212X; , Jefferson/0000-0002-3600-1414; OLMASTRONI, Silvia/0000-0002-9319-9914; jenouvrier, stephanie/0000-0003-3324-2383; Li, Yun/0000-0002-4766-4723; Youngflesh, Casey/0000-0001-6343-3311</t>
  </si>
  <si>
    <t>National Science Foundation [1341474, 1016936, OPP 9011927, 9632763, 0217282, ANT 0823101, 1440435, OPP/GSS 1255058]; NASA [NNX14AH74G]; National Science Foundation Grants [OPP 9526865, 9814882, 0125608, 0944411, 0440643]; New Zealand's Ministry of Business, Innovation, and Employment [C09X0510, C01X1001]; Ministry of Primary Industry; French Polar Institute IPEV [109]; U.S. Antarctic Marine Living Resources program; Lenfest Oceans Program at the Pew Charitable Trusts; Australian Antarctic program through Australian Antarctic Science projects [2205, 2722, 4087]; NASA [NNX14AH74G, 683299] Funding Source: Federal RePORTER; Directorate For Geosciences; Office of Polar Programs (OPP) [1543459, 1341474, 1255058, 0440643, 9814882] Funding Source: National Science Foundation; Directorate For Geosciences; Office of Polar Programs (OPP) [0125608] Funding Source: National Science Foundation; New Zealand Ministry of Business, Innovation &amp; Employment (MBIE) [C01X1001] Funding Source: New Zealand Ministry of Business, Innovation &amp; Employment (MBIE)</t>
  </si>
  <si>
    <t>National Science Foundation(National Science Foundation (NSF)); NASA(National Aeronautics &amp; Space Administration (NASA)); National Science Foundation Grants(National Science Foundation (NSF)); New Zealand's Ministry of Business, Innovation, and Employment(New Zealand Ministry of Business, Innovation and Employment (MBIE)); Ministry of Primary Industry; French Polar Institute IPEV; U.S. Antarctic Marine Living Resources program; Lenfest Oceans Program at the Pew Charitable Trusts; Australian Antarctic program through Australian Antarctic Science projects; NASA(National Aeronautics &amp; Space Administration (NASA)); Directorate For Geosciences; Office of Polar Programs (OPP)(National Science Foundation (NSF)NSF - Directorate for Geosciences (GEO)); Directorate For Geosciences; Office of Polar Programs (OPP)(National Science Foundation (NSF)NSF - Directorate for Geosciences (GEO)); New Zealand Ministry of Business, Innovation &amp; Employment (MBIE)</t>
  </si>
  <si>
    <t>S. Jenouvrier, R. Ji, H.J. Lynch, and C. Youngflesh designed the study. Environmental variables have been defined by S. Jenouvrier, C. Youngflesh, H.J. Lynch, and Y. Li, and derived and analyzed by Y. Li, C. Youngflesh, S. Jenouvrier, and R. Ji. C. Youngflesh, H.J. Lynch, and S. Jenouvrier performed statistical analysis and analyzed output data. C. Youngflesh, H.J. Lynch, and S. Jenouvrier wrote the manuscript, and all authors contributed to revisions. D. G. Ainley, G. Ballard, C. Barbraud, K. Delord, K. M. Dugger, L. M. Emmerson, W. R. Fraser, J.T. Hinke, P. O'B. Lyver, S. Olmastroni, C. J. Southwell, S. G. Trivelpiece, W. Z. Trivelpiece, and H.J. Lynch contributed Adelie Penguin breeding phenology and breeding success data, and helped in preparing the manuscript. We acknowledge the many fieldworkers over the decades that contributed to the collection of the data used in this study. Funding to H. J. Lynch and C. Youngflesh was provided by the National Science Foundation Grant OPP/GSS 1255058, to S. Jenouvrier, H.J. Lynch, C. Youngflesh, Y. Li, and R. Ji by the National Science Foundation Grant 1341474, to S. Jenouvrier, Y. Li, and R. Ji by NASA grant NNX14AH74G, to D. G. Ainley, G. Ballard, and K. M. Dugger by the National Science Foundation Grants OPP 9526865, 9814882, 0125608, 0944411 and 0440643, to P. O'B. Lyver by New Zealand's Ministry of Business, Innovation, and Employment Grants C09X0510 and C01X1001, and Ministry of Primary Industry grants with logistic support from Antarctica New Zealand. All data are from study areas where D. G. Ainley, G. Ballard, P. O'B. Lyver, and K. M. Dugger were principal investigators ( Capes Royds, Bird, and Crozier) were collected following protocols approved under animal care and use permits overseen by Oregon State University, Landcare Research Animal Ethics Committee, and the National Science Foundation's Antarctic Conservation Act. Funding for the long-term study at Point Geologie was provided by the French Polar Institute IPEV (program No. 109 resp. H. Weimerskirch). Data from Admiralty Bay was made possible with support from the U.S. Antarctic Marine Living Resources program, the Lenfest Oceans Program at the Pew Charitable Trusts, and many prior grants from the National Science Foundation (e.g., grant #1016936 to W. Z. Trivelpiece and S. G. Trivelpiece). The Humble Island data are publicly available in the Palmer LTER data repository (http://pal.lternet.edu/data), and were obtained with support to W. R. Fraser from National Science Foundation Grants OPP 9011927, 9632763, 0217282, and ANT 0823101 and 1440435. The data were obtained following IACUC permits covering animal use approved by Old Dominion University, Montana State University, Virginia Institute of Marine Science, Marine Biological Laboratory, Columbia University, and the Antarctic Conservation Act. Data from Bechervaise Island were collected following protocols approved by the Australian Antarctic Animal Ethics Committee and supported through the Australian Antarctic program through Australian Antarctic Science projects 2205, 2722 and 4087. Any use of trade, firm, or product names is for descriptive purposes only and does not imply endorsement by the U.S. Government.</t>
  </si>
  <si>
    <t>10.1002/ecy.1749/suppinfo</t>
  </si>
  <si>
    <t>EQ6ES</t>
  </si>
  <si>
    <t>WOS:000398175200007</t>
  </si>
  <si>
    <t>Cropp, R; Moroz, I; Norbury, J</t>
  </si>
  <si>
    <t>Cropp, Roger; Moroz, Irene; Norbury, John</t>
  </si>
  <si>
    <t>Sequential boundary eigenvalue destabilisation (SeSEDes): An expert method for parameter screening and estimation in complex ecosystem models</t>
  </si>
  <si>
    <t>ENVIRONMENTAL MODELLING &amp; SOFTWARE</t>
  </si>
  <si>
    <t>SeBEDes; Boundary eigenvalue; Parameter estimation; Parameter search</t>
  </si>
  <si>
    <t>OCEAN ECOSYSTEMS; FOOD-WEB; DYNAMICS; POPULATION; KRILL</t>
  </si>
  <si>
    <t>We present a new method to find parameter sets that allow all populations to co-exist in multi-trophic level food web models in which the outcome of competition between populations at each trophic level is determined by R* theory. The method involves sequentially destabilising an eigenvalue at the boundary equilibrium point of the winning population at each trophic level. We illustrate the procedure on a six population, three trophic level ecosystem model of a pelagic Antarctic ecosystem. We used the method to find an initial parameter set for which all populations coexisted. Only three model evaluations were required to find a parameter set that allowed coexistence. In contrast, a random search of parameter space required an average of 250 model evaluations to find each coexistence parameter set. The method is useful for identifying regions of parameter space that have high densities of coexistence solutions. Crown Copyright (C) 2017 Published by Elsevier Ltd. All rights reserved.</t>
  </si>
  <si>
    <t>[Cropp, Roger] Griffith Univ, Griffith Sch Environm, Nathan, Qld 4111, Australia; [Moroz, Irene; Norbury, John] Univ Oxford, Math Inst, Andrew Wiles Bldg,ROQ,Woodstock Rd, Oxford OX2 6GG, England</t>
  </si>
  <si>
    <t>Griffith University; University of Oxford</t>
  </si>
  <si>
    <t>Cropp, R (corresponding author), Griffith Univ, Griffith Sch Environm, Nathan, Qld 4111, Australia.</t>
  </si>
  <si>
    <t>r.cropp@griffith.edu.au; Irene.Moroz@matbs.ox.ac.uk; john.norbury@lincoln.ox.ac.uk</t>
  </si>
  <si>
    <t>Cropp, Roger/C-1019-2008</t>
  </si>
  <si>
    <t>1364-8152</t>
  </si>
  <si>
    <t>1873-6726</t>
  </si>
  <si>
    <t>ENVIRON MODELL SOFTW</t>
  </si>
  <si>
    <t>Environ. Modell. Softw.</t>
  </si>
  <si>
    <t>10.1016/j.envsoft.2017.01.011</t>
  </si>
  <si>
    <t>Computer Science, Interdisciplinary Applications; Engineering, Environmental; Environmental Sciences; Water Resources</t>
  </si>
  <si>
    <t>Computer Science; Engineering; Environmental Sciences &amp; Ecology; Water Resources</t>
  </si>
  <si>
    <t>EP7IK</t>
  </si>
  <si>
    <t>Green Submitted, Green Published</t>
  </si>
  <si>
    <t>WOS:000397551300012</t>
  </si>
  <si>
    <t>Finger, A; Lavers, JL; Dann, P; Kowalczyk, ND; Scarpaci, C; Nugegoda, D; Orbell, JD</t>
  </si>
  <si>
    <t>Finger, Annett; Lavers, Jennifer L.; Dann, Peter; Kowalczyk, Nicole D.; Scarpaci, Carol; Nugegoda, Dayanthi; Orbell, John D.</t>
  </si>
  <si>
    <t>Metals and metalloids in Little Penguin (Eudyptula minor) prey, blood and faeces</t>
  </si>
  <si>
    <t>ENVIRONMENTAL POLLUTION</t>
  </si>
  <si>
    <t>Coastal pollution; Blood; Guano; Fish trace metal; Port phillip bay</t>
  </si>
  <si>
    <t>SAN-FRANCISCO BAY; PORT PHILLIP BAY; TRACE-ELEMENTS; MERCURY CONCENTRATIONS; TISSUES; TRENDS; ACCUMULATION; SEABIRDS; FISH; BIOMAGNIFICATION</t>
  </si>
  <si>
    <t>Piscivorous species like the Little Penguin (Eudyptula minor) are particularly at risk of being negatively impacted by pollution due to their heightened exposure through aquatic food chains. Therefore, determining the concentration of heavy metals in the fish prey of seabirds is an essential component of assessing such risk. In this study, we report on arsenic, cadmium, mercury, lead and selenium concentrations in three fish species, which are known to comprise a substantial part of the diet of Little Penguins at the urban colony of St Kilda, Melbourne, Australia. Metal concentrations in the fish sampled were generally within the expected limits, however, arsenic and mercury were higher than reported elsewhere. Anchovy (Engraulis australis) and sandy sprat (Hyperlophus vittatus) contained higher Hg concentrations than pilchard (Sardinops sagax), while sandy sprat and pilchard contained more selenium. We present these findings together with metal concentrations in Little Penguin blood and faeces, sampled within weeks of the fish collection. Mercury concentrations were highest in the blood, while faeces and fish prey species contained similar concentrations of arsenic and lead, suggesting faeces as a primary route of detoxification for these elements. We also investigated paired blood - faecal samples and found a correlation for selenium only. Preliminary data from stable isotope ratios in penguin blood indicate that changes in penguin blood mercury concentrations cannot be explained by trophic changes in their diet alone, suggesting a variation of bioavailable Hg within this semi-enclosed bay. (C) 2017 Elsevier Ltd. All rights reserved.</t>
  </si>
  <si>
    <t>[Finger, Annett; Scarpaci, Carol; Orbell, John D.] Victoria Univ, Coll Engn &amp; Sci, Inst Sustainabil &amp; Innovat, POB 14428, Melbourne, Vic 8001, Australia; [Lavers, Jennifer L.] Inst Marine &amp; Antarctic Studies, 20 Castray Esplanade, Battery Point, Tas 7004, Australia; [Dann, Peter] Res Dept, Phillip Isl Nat Parks,POB 97,Cowes, Victoria 3922, Australia; [Kowalczyk, Nicole D.] Monash Univ, Sch Biol Sci, Clayton, Vic 3800, Australia; [Nugegoda, Dayanthi] RMIT Univ, Sch Sci, GPO Box 2476,Victoria, Melbourne, Australia</t>
  </si>
  <si>
    <t>Melbourne Genomics Health Alliance; Victoria University; University of Tasmania; Monash University; Royal Melbourne Institute of Technology (RMIT)</t>
  </si>
  <si>
    <t>Finger, A (corresponding author), Victoria Univ, Coll Engn &amp; Sci, Inst Sustainabil &amp; Innovat, POB 14428, Melbourne, Vic 8001, Australia.</t>
  </si>
  <si>
    <t>Annett.Finger@live.vu.edu.au</t>
  </si>
  <si>
    <t>Nugegoda, Dayanthi/R-9770-2019; Lavers, Jennifer/IWM-5417-2023; Lavers, Jennifer/O-4831-2017</t>
  </si>
  <si>
    <t>Lavers, Jennifer/0000-0001-7596-6588; Nugegoda, Dayanthi/0000-0002-6327-4581; Finger, Annett/0000-0002-9467-4078; Orbell, John/0000-0003-3485-5309</t>
  </si>
  <si>
    <t>Victoria University; Holsworth Wildlife Research Endowment; Port Phillip EcoCentre; Phillip Island Nature Parks and Birds Australia</t>
  </si>
  <si>
    <t>Victoria University (Return-To-Study-Scholarship to AF), Holsworth Wildlife Research Endowment, Port Phillip EcoCentre, Phillip Island Nature Parks and Birds Australia generously provided funding. Thanks are due to S. Tzardis (NMI) for expert advice on laboratory analysis. We are grateful to P. McAdams (VanCouver Fisheries Inc., Williamstown) for generously donating fish samples. Research was conducted under scientific permits issued by the Victorian Department of Environment and Primary Industries (permit 10005200) and Victoria University Animal Experimentation Ethics Committee (permit 05/09). Parks Victoria kindly granted permission to work along the St Kilda breakwater. We gratefully received in-kind support from N. Blake, M. Booth, M. Cowling, N. Dunlop, A. Fabijanska, N. Filby, P. Guay, T. Haase, A. Hirst, Z. Hogg, M. Lynch, T. Preston, B. Robertson, C. Wallis and various volunteers. We are grateful for help with stable isotope interpretations from A. Bond and B. Braune. We thank two anonymous reviewers for constructive comments on earlier drafts of this manuscript.</t>
  </si>
  <si>
    <t>0269-7491</t>
  </si>
  <si>
    <t>1873-6424</t>
  </si>
  <si>
    <t>ENVIRON POLLUT</t>
  </si>
  <si>
    <t>Environ. Pollut.</t>
  </si>
  <si>
    <t>10.1016/j.envpol.2017.01.059</t>
  </si>
  <si>
    <t>EP4OJ</t>
  </si>
  <si>
    <t>WOS:000397359500060</t>
  </si>
  <si>
    <t>Grilli, MG; Cherel, Y</t>
  </si>
  <si>
    <t>Grana Grilli, Maricel; Cherel, Yves</t>
  </si>
  <si>
    <t>Skuas (Stercorarius spp.) moult body feathers during both the breeding and inter-breeding periods: implications for stable isotope investigations in seabirds</t>
  </si>
  <si>
    <t>IBIS</t>
  </si>
  <si>
    <t>Antarctica; diet; migration; Southern Ocean</t>
  </si>
  <si>
    <t>FEEDING ECOLOGY; FORAGING AREAS; TROPHIC NICHE; SOUTH POLAR; CARBON; BIRDS; SPECIALIZATION; POPULATION; PLASTICITY; DELTA-N-15</t>
  </si>
  <si>
    <t>Seabirds are mostly thought to moult during the inter-breeding period and the isotopic values of their feathers are often therefore assumed to relate to their assimilated diet during such periods. We observed Brown Skuas Stercorarius antarcticus lonnbergi and South Polar Skuas Stercorarius maccormicki moulting on a breeding site at King George Island, Antarctica. This raises concerns about the reliability of using stable isotopes in feathers to infer feeding localities of birds during the inter- breeding period. We analysed the delta C-13 and delta N-15 values of growing and fully grown body feathers collected from the same individuals. For both species, delta C-13 values of growing feathers indicated feeding areas in the Antarctic zone (breeding grounds), whereas most fully grown feathers (100% for South Polar Skuas and 93.3% for Brown Skuas) could be assigned to northern latitudes (non-breeding grounds). However, a few fully grown body feathers of Brown Skuas (6.7% of the feathers, belonging to two birds) showed isotopic values that indicated moult in the Antarctic zone. As the growth period of those feathers was unknown, they could not be used with confidence to depict the foraging behaviour of the birds during the non-breeding period. Although precautions must be taken when inferring dietary information from feathers in seabirds where the moulting pattern is unknown, this study shows that if the development stage of a feather (growing/fully grown) is identified, then dietary information from both breeding and non-breeding seasons can be obtained on the same individual birds.</t>
  </si>
  <si>
    <t>[Grana Grilli, Maricel] Univ Nacl Comahue, CONICET, Lab Ecotono, INIBIOMA, R8400FRF, RA-1250 San Carlos De Bariloche, Rio Negro, Argentina; [Cherel, Yves] Univ La Rochelle, CNRS, UMR 7372, Ctr Etud Biol Chize, F-79360 Villiers En Bois, France</t>
  </si>
  <si>
    <t>Consejo Nacional de Investigaciones Cientificas y Tecnicas (CONICET); Universidad Nacional del Comahue; Centre National de la Recherche Scientifique (CNRS); CNRS - Institute of Ecology &amp; Environment (INEE); La Rochelle Universite</t>
  </si>
  <si>
    <t>Grilli, MG (corresponding author), Univ Nacl Comahue, CONICET, Lab Ecotono, INIBIOMA, R8400FRF, RA-1250 San Carlos De Bariloche, Rio Negro, Argentina.</t>
  </si>
  <si>
    <t>ggmaricel@comahue-conicet.gob.ar</t>
  </si>
  <si>
    <t>0019-1019</t>
  </si>
  <si>
    <t>1474-919X</t>
  </si>
  <si>
    <t>Ibis</t>
  </si>
  <si>
    <t>10.1111/ibi.12441</t>
  </si>
  <si>
    <t>EQ2ZB</t>
  </si>
  <si>
    <t>WOS:000397939500002</t>
  </si>
  <si>
    <t>Pattyn, N; Mairesse, O; Cortoos, A; Marcoen, N; Neyt, X; Meeusen, R</t>
  </si>
  <si>
    <t>Pattyn, Nathalie; Mairesse, Olivier; Cortoos, Aisha; Marcoen, Nele; Neyt, Xavier; Meeusen, Romain</t>
  </si>
  <si>
    <t>Sleep during an Antarctic summer expedition: new light on polar insomnia</t>
  </si>
  <si>
    <t>JOURNAL OF APPLIED PHYSIOLOGY</t>
  </si>
  <si>
    <t>Antarctica; sleep; chronobiology; field study; polysomnography; cortisol; melatonin</t>
  </si>
  <si>
    <t>HUMAN CIRCADIAN-RHYTHMS; SEASONAL-CHANGES; TERM CHANGES; DIM LIGHT; MELATONIN; PATTERNS; CORTISOL; WINTER; PERFORMANCE; ENVIRONMENTS</t>
  </si>
  <si>
    <t>Sleep complaints are consistently cited as the most prominent health and well-being problem in Arctic and Antarctic expeditions, without clear evidence to identify the causal mechanisms. The present investigation aimed at studying sleep and determining circadian regulation and mood during a 4-mo Antarctic summer expedition. All data collection was performed during the continuous illumination of the Antarctic summer. After an habituation night and acclimatization to the environment (3 wk), ambulatory polysomnography (PSG) was performed in 21 healthy male subjects, free of medication. An 18-h profile (saliva sampling every 2 h) of cortisol and melatonin was assessed. Mood, sleepiness, and subjective sleep quality were assessed, and the psychomotor vigilance task was administered. PSG showed, in addition to high sleep fragmentation, a major decrease in slow-wave sleep (SWS) and an increase in stage R sleep. Furthermore, the ultradian rhythmicity of sleep was altered, with SWS occurring mainly at the end of the night and stage R sleep at the beginning. Cortisol secretion profiles were normal; melatonin secretion, however, showed a severe phase delay. There were no mood alterations according to the Profile of Mood States scores, but the psychomotor vigilance test showed an impaired vigilance performance. These results confirm previous reports on polar insomnia, the decrease in SWS, and present novel insight, the disturbed ultradian sleep structure. A hypothesis is formulated linking the prolonged SWS latency to the phase delay in melatonin. NEW &amp; NOTEWORTHY The present paper presents a rare body of work on sleep and sleep wake regulation in the extreme environment of an Antarctic expedition, documenting the effects of constant illumination on sleep, mood, and chronobiology. For applied research, these results suggest the potential efficiency of melatonin supplementation in similar deployments. For fundamental research, these results warrant further investigation of the potential link between melatonin secretion and the onset of slow-wave sleep.</t>
  </si>
  <si>
    <t>[Pattyn, Nathalie; Mairesse, Olivier; Cortoos, Aisha; Marcoen, Nele; Neyt, Xavier] Royal Mil Acad, VIPER Res Unit, Renaissancelaan 30, B-1000 Brussels, Belgium; [Pattyn, Nathalie; Mairesse, Olivier; Marcoen, Nele] Vrije Univ Brussels, Dept Expt &amp; Appl Psychol, Brussels, Belgium; [Pattyn, Nathalie; Meeusen, Romain] Vrije Univ Brussels, Human Physiol &amp; Sports Med, Brussels, Belgium; [Mairesse, Olivier] CHU Brugmann, Sleep Unit, Brussels, Belgium; [Cortoos, Aisha] Univ Ziekenhuis Brussels, Dept Pneumol, Sleep Unit, Brussels, Belgium</t>
  </si>
  <si>
    <t>Vrije Universiteit Brussel; Vrije Universiteit Brussel; University Hospital Brussels</t>
  </si>
  <si>
    <t>Pattyn, N (corresponding author), Royal Mil Acad, VIPER Res Unit, Renaissancelaan 30, B-1000 Brussels, Belgium.</t>
  </si>
  <si>
    <t>nathalie.pattyn@rma.ac.be</t>
  </si>
  <si>
    <t>Neyt, Xavier/I-7259-2019; Mairesse, Olivier/AAM-6427-2020</t>
  </si>
  <si>
    <t>Neyt, Xavier/0000-0002-8992-3877; Mairesse, Olivier/0000-0001-8428-1185; Pattyn, Nathalie/0000-0002-2690-5479</t>
  </si>
  <si>
    <t>AMER PHYSIOLOGICAL SOC</t>
  </si>
  <si>
    <t>BETHESDA</t>
  </si>
  <si>
    <t>9650 ROCKVILLE PIKE, BETHESDA, MD 20814 USA</t>
  </si>
  <si>
    <t>8750-7587</t>
  </si>
  <si>
    <t>1522-1601</t>
  </si>
  <si>
    <t>J APPL PHYSIOL</t>
  </si>
  <si>
    <t>J. Appl. Physiol.</t>
  </si>
  <si>
    <t>10.1152/japplphysiol.00606.2016</t>
  </si>
  <si>
    <t>Physiology; Sport Sciences</t>
  </si>
  <si>
    <t>EQ7PK</t>
  </si>
  <si>
    <t>WOS:000398275900006</t>
  </si>
  <si>
    <t>Cullen, NJ; Anderson, B; Sirguey, P; Stumm, D; Mackintosh, A; Conway, JP; Horgan, HJ; Dadic, R; Fitzsimons, SJ; Lorrey, A</t>
  </si>
  <si>
    <t>Cullen, Nicolas J.; Anderson, Brian; Sirguey, Pascal; Stumm, Dorothea; Mackintosh, Andrew; Conway, Jonathan P.; Horgan, Huw J.; Dadic, Ruzica; Fitzsimons, Sean J.; Lorrey, Andrew</t>
  </si>
  <si>
    <t>An 11-year record of mass balance of Brewster Glacier, New Zealand, determined using a geostatistical approach</t>
  </si>
  <si>
    <t>co-kriging; geostatistics; mass-balance reconstruction; mountain glaciers</t>
  </si>
  <si>
    <t>EQUILIBRIUM-LINE ALTITUDE; SOUTHERN ALPS; TIME-SERIES; CLIMATE; ABLATION; TOOLS; ACCUMULATION; CATCHMENT; ENERGY; MELT</t>
  </si>
  <si>
    <t>Recognising the scarcity of glacier mass-balance data in the Southern Hemisphere, a massbalance measurement programme was started at Brewster Glacier in the Southern Alps of New Zealand in 2004. Evolution of the measurement regime over the 11 years of data recorded means there are differences in the spatial density of data obtained. To ensure the temporal integrity of the dataset a new geostatistical approach is developed to calculate mass balance. Spatial co-variance between elevation and snow depth allows a digital elevation model to be used in a co-kriging approach to develop a snow depth index (SDI). By capturing the observed spatial variability in snow depth, the SDI is a more reliable predictor than elevation and is used to adjust each year of measurements consistently despite variability in sampling spatial density. The SDI also resolves the spatial structure of summer balance better than elevation. Co-kriging is used again to spatially interpolate a derived mean summer balance index using SDI as a co-variate, which yields a spatial predictor for summer balance. The average glacier-wide surface winter, summer and annual balances over the period 2005-15 are 2484, - 2586 and - 102 mm w.e., respectively, with changes in summer balance explaining most of the variability in annual balance.</t>
  </si>
  <si>
    <t>[Cullen, Nicolas J.; Fitzsimons, Sean J.] Univ Otago, Dept Geog, POB 56, Dunedin, New Zealand; [Anderson, Brian; Mackintosh, Andrew; Horgan, Huw J.; Dadic, Ruzica] Victoria Univ Wellington, Antarctic Res Ctr, POB 600, Wellington, New Zealand; [Sirguey, Pascal] Univ Otago, Sch Surveying, Dunedin, New Zealand; [Stumm, Dorothea] ICIMOD, Kathmandu, Nepal; [Mackintosh, Andrew; Horgan, Huw J.] Victoria Univ Wellington, Sch Geog Environm &amp; Earth Sci, POB 600, Wellington, New Zealand; [Conway, Jonathan P.] Bodeker Sci, 42 Russell St, Central Otago 9320, New Zealand; [Lorrey, Andrew] Natl Inst Water &amp; Atmospher Res NIWA, Auckland, New Zealand</t>
  </si>
  <si>
    <t>University of Otago; Victoria University Wellington; University of Otago; Victoria University Wellington; National Institute of Water &amp; Atmospheric Research (NIWA) - New Zealand</t>
  </si>
  <si>
    <t>Cullen, NJ (corresponding author), Univ Otago, Dept Geog, POB 56, Dunedin, New Zealand.</t>
  </si>
  <si>
    <t>nicolas.cullen@otago.ac.nz</t>
  </si>
  <si>
    <t>Horgan, Huw/I-5847-2019; Dadic, Ruzica/O-4458-2019</t>
  </si>
  <si>
    <t>Horgan, Huw/0000-0002-4836-0078; Conway, Jonathan/0000-0001-9276-7425; Cullen, Nicolas James/0000-0001-8877-1325; Dadic, Ruzica/0000-0003-1303-1896; Mackintosh, Andrew/0000-0002-6430-4711</t>
  </si>
  <si>
    <t>Alexander von Humboldt Foundation; National Institute of Water and Atmospheric Research (NIWA) project 'Climate Present and Past'; NIWA Regional Climate Modelling programme</t>
  </si>
  <si>
    <t>Alexander von Humboldt Foundation(Alexander von Humboldt Foundation); National Institute of Water and Atmospheric Research (NIWA) project 'Climate Present and Past'; NIWA Regional Climate Modelling programme</t>
  </si>
  <si>
    <t>N.J.C. received support from the Alexander von Humboldt Foundation to complete this research. The research was funded in-part by the National Institute of Water and Atmospheric Research (NIWA) project 'Climate Present and Past'. B.A. and A.M. contributions were also supported by the NIWA Regional Climate Modelling programme. This research was conducted under the Department of Conservation concession OT-32299-OTH. Chris Garden provided field and technical support and helped to review the probe and ablation stake locations in 2014.</t>
  </si>
  <si>
    <t>10.1017/jog.2016.128</t>
  </si>
  <si>
    <t>EN6PB</t>
  </si>
  <si>
    <t>WOS:000396124800001</t>
  </si>
  <si>
    <t>Picotti, S; Francese, R; Giorgi, M; Pettenati, F; Carcione, JM</t>
  </si>
  <si>
    <t>Picotti, Stefano; Francese, Roberto; Giorgi, Massimo; Pettenati, Franco; Carcione, Jose M.</t>
  </si>
  <si>
    <t>Estimation of glacier thicknesses and basal properties using the horizontal-to-vertical component spectral ratio (HVSR) technique from passive seismic data</t>
  </si>
  <si>
    <t>active seismic; HVSR technique; geoelectric; passive seismic; radio-echo sounding</t>
  </si>
  <si>
    <t>SUBGLACIAL LAKE WHILLANS; ELECTRICAL-RESISTIVITY TOMOGRAPHY; ACTIVE RESERVOIR BENEATH; WEST ANTARCTICA; ADAMELLO MASSIF; ITALIAN ALPS; ICE; VELOCITY; NOISE; INVERSION</t>
  </si>
  <si>
    <t>Microtremor measurements and the horizontal-to-vertical spectral ratio (HVSR) technique, generally used for site effect studies as well as to determine the thickness of soft sedimentary layers, can effectively be applied to map the thickness of glaciers. In this work the radio-echo sounding, geoelectric and active seismic methods, widely employed to image the earth interior, are applied to verify the reliability of the HVSR technique in Alpine and Antarctic glacial environments. The technique has been used to analyze passive seismic data from glaciers of the Adamello and Ortles-Cevedale massifs (Italy), the Bernese Oberland Alps (Switzerland) and from the Whillans Ice Stream (West Antarctica). Comparing with the results obtained from the different geophysical imaging methods, we show that the resonance frequency in the HVSR spectra correlates well with the ice thickness at the site, in a wide range from a few tens of meters to more than 800 m. The reliability of the method mainly depends on the coupling of sensors at the glacier surface and on the basal impedance contrast. This passive seismic technique offers a logistically efficient and cost effective method to map glacier and ice-sheet thicknesses. Moreover, under certain conditions, it allows reliable estimations of the basal seismic properties.</t>
  </si>
  <si>
    <t>[Picotti, Stefano; Giorgi, Massimo; Pettenati, Franco; Carcione, Jose M.] Ist Nazl Oceanog &amp; Geofis Sperimentale OGS, Borgo Grotta Gigante 42-C, I-34010 Sgonico, Trieste, Italy; [Francese, Roberto] Univ Parma, Parma, Italy</t>
  </si>
  <si>
    <t>Istituto Nazionale di Oceanografia e di Geofisica Sperimentale; University of Parma</t>
  </si>
  <si>
    <t>Picotti, S (corresponding author), Ist Nazl Oceanog &amp; Geofis Sperimentale OGS, Borgo Grotta Gigante 42-C, I-34010 Sgonico, Trieste, Italy.</t>
  </si>
  <si>
    <t>spicotti@inogs.it</t>
  </si>
  <si>
    <t>Carcione, Jose M/T-9660-2019; Pettenati, Franco/IMR-0840-2023</t>
  </si>
  <si>
    <t>Carcione, Jose M/0000-0002-2839-705X; Pettenati, Franco/0000-0003-4476-817X; Giorgi, Massimo/0000-0002-3316-1404; picotti, stefano/0000-0001-7341-1095</t>
  </si>
  <si>
    <t>Italian National Program of Antarctic Research (PNRA-WISSLAKE Project); US National Science Foundation (WISSARD Program-NSF) [0944794, 0632198, 0424589]; Office of Polar Programs (OPP); Directorate For Geosciences [0424589, 0944794] Funding Source: National Science Foundation; Office of Polar Programs (OPP); Directorate For Geosciences [0632198] Funding Source: National Science Foundation</t>
  </si>
  <si>
    <t>Italian National Program of Antarctic Research (PNRA-WISSLAKE Project); US National Science Foundation (WISSARD Program-NSF); Office of Polar Programs (OPP); Directorate For Geosciences(National Science Foundation (NSF)NSF - Directorate for Geosciences (GEO)); Office of Polar Programs (OPP); Directorate For Geosciences(National Science Foundation (NSF)NSF - Directorate for Geosciences (GEO))</t>
  </si>
  <si>
    <t>We dedicate this paper to the memory of Marco Mucciarelli, who encouraged us to perform this study. This work was supported by the Italian National Program of Antarctic Research (PNRA-WISSLAKE Project) and the US National Science Foundation (WISSARD Program-NSF 0944794, 0632198, and 0424589). We thank Alessandro Vuan for his constructive suggestions.</t>
  </si>
  <si>
    <t>10.1017/jog.2016.135</t>
  </si>
  <si>
    <t>WOS:000396124800003</t>
  </si>
  <si>
    <t>González, SN; Greco, GA; Sato, AM; Llambías, EJ; Basei, MAS; González, PD; Díaz, PE</t>
  </si>
  <si>
    <t>Gonzalez, Santiago N.; Greco, Gerson A.; Sato, Ana M.; Llambias, Eduardo J.; Basei, Miguel A. S.; Gonzalez, Pablo D.; Diaz, Pablo E.</t>
  </si>
  <si>
    <t>Middle Triassic trachytic lava flows associated with coeval dyke swarm in the North Patagonian Massif: A postorogenic magmatism related to extensional collapse of the Gondwanide orogen</t>
  </si>
  <si>
    <t>JOURNAL OF SOUTH AMERICAN EARTH SCIENCES</t>
  </si>
  <si>
    <t>ANTARCTIC PENINSULA; BREAK-UP; AGE; VOLCANISM; PROVINCE; GEOLOGY; ROCKS</t>
  </si>
  <si>
    <t>[Gonzalez, Santiago N.; Greco, Gerson A.; Gonzalez, Pablo D.] UNRN, CONICET, Inst Invest Paleobiol &amp; Geol, Av Julio Roca 1242,R 8332 EXZ, General Roca, Rio Negro, Argentina; [Sato, Ana M.; Llambias, Eduardo J.] UNLP, CONICET, Ctr Invest Geol, Calle 1 644,B 1900 TAC, La Plata, Buenos Aires, Argentina; [Basei, Miguel A. S.] Univ Sao Paulo, Ctr Pesquisas Geocronol, Inst Geociencias, Rua Lago 562, BR-05508080 Sao Paulo, SP, Brazil; [Diaz, Pablo E.] UNLPam, Fac Ciencias Exactas &amp; Nat, Dept Geol, Campo Enserianza,Ruta 35,Km 334,Pabellon Geol, La Pampa, Argentina</t>
  </si>
  <si>
    <t>Consejo Nacional de Investigaciones Cientificas y Tecnicas (CONICET); Consejo Nacional de Investigaciones Cientificas y Tecnicas (CONICET); National University of La Plata; Universidade de Sao Paulo</t>
  </si>
  <si>
    <t>González, SN (corresponding author), UNRN, CONICET, Inst Invest Paleobiol &amp; Geol, Av Julio Roca 1242,R 8332 EXZ, General Roca, Rio Negro, Argentina.</t>
  </si>
  <si>
    <t>sgonzalez@unrn.edu.ar</t>
  </si>
  <si>
    <t>Basei, Miguel A S/C-1915-2013</t>
  </si>
  <si>
    <t>Basei, Miguel A S/0000-0002-3857-7089; Diaz, Pablo Esteban/0000-0003-2069-5404</t>
  </si>
  <si>
    <t>Universidad Nacional de La Plata, UNLP [11 / N 653]; Consejo Nacional de Investigaciones Cientificas y Tecnicas [PIP-CONICET 0119, PIP-CONICET 324.]</t>
  </si>
  <si>
    <t>Universidad Nacional de La Plata, UNLP(National University of La Plata); Consejo Nacional de Investigaciones Cientificas y Tecnicas(Consejo Nacional de Investigaciones Cientificas y Tecnicas (CONICET))</t>
  </si>
  <si>
    <t>We would like to express our sincere thanks to the people from Sierra Grande to Arroyo Ventana, all over the wide eastern part of Rio Negro province, for allowing us the access to their lands and for their hospitality during our fieldwork. Fieldwork and laboratory tasks were possible with the financial contributions of the Universidad Nacional de La Plata, UNLP Project 11 / N 653, and Consejo Nacional de Investigaciones Cientificas y Tecnicas, PIP-CONICET 0119 and PIP-CONICET 324.</t>
  </si>
  <si>
    <t>0895-9811</t>
  </si>
  <si>
    <t>J S AM EARTH SCI</t>
  </si>
  <si>
    <t>J. South Am. Earth Sci.</t>
  </si>
  <si>
    <t>10.1016/j.jsames.2017.02.007</t>
  </si>
  <si>
    <t>EP9LG</t>
  </si>
  <si>
    <t>WOS:000397694500010</t>
  </si>
  <si>
    <t>Shabudin, AFA; Rahim, RA; Sibly, S; Nor, NM</t>
  </si>
  <si>
    <t>Shabudin, Ahmad Firdaus Ahmad; Rahim, Rashidah Abdul; Sibly, Suzyrman; Nor, Norizan Md</t>
  </si>
  <si>
    <t>From ad hoc towards the institutionalisation: An assessment of Malaysia's policy evolution on Antarctica and the Southern Ocean</t>
  </si>
  <si>
    <t>Programme evaluation; Polar region; Policy; National Antarctic programme; Institutional</t>
  </si>
  <si>
    <t>Malaysia's policy on Antarctica and the Southern Ocean (A &amp; SO) in the last three decades has evolved from being focused on diplomatic engagement to pioneering science in cooperation with the international community and strengthening science diplomacy by becoming a member of the international governance of Antarctic. Through process-oriented evaluation, the aim of this study is to map out the development of Malaysia's policy on the Antarctic region (from 1982 to 2016) and consequently, identify the current capacities and future needs to strengthen its involvement. This study reveals that Malaysia's policy on A &amp; SO has strong integration in foreign affairs, science and technology (S &amp; T), and the environment, and the involvements are parallel with the national development plan. To move forward, Malaysia is currently establishing a suitable governance structure and a long-term management plan to ensure a long-term political commitment, sustain investment of resources and strengthen the dynamic participation of stakeholders. This study advances the scholarly understanding of the political processes and challenges to Malaysia's Antarctic policy development, in its journey towards institutionalisation which will create distinctive and valuable positions for Malaysia to contribute to current debates on the future of the Antarctic region. In the context of ad-hoc decision on certain policy, this case study will contribute relevant information about the development process, issues and challenges on policy through ad hoc implementation.</t>
  </si>
  <si>
    <t>[Shabudin, Ahmad Firdaus Ahmad] Univ Sains Malaysia, Natl Higher Educ Res Inst, George Town 11800, Malaysia; [Rahim, Rashidah Abdul] Univ Sains Malaysia, Sch Biol Sci, George Town 11800, Malaysia; [Sibly, Suzyrman] Univ Sains Malaysia, Ctr Global Sustainabil Studies, George Town 11800, Malaysia; [Nor, Norizan Md] Univ Sains Malaysia, Sch Humanities, George Town 11800, Malaysia</t>
  </si>
  <si>
    <t>Universiti Sains Malaysia; Universiti Sains Malaysia; Universiti Sains Malaysia; Universiti Sains Malaysia</t>
  </si>
  <si>
    <t>Rahim, RA (corresponding author), Univ Sains Malaysia, Sch Biol Sci, George Town 11800, Malaysia.</t>
  </si>
  <si>
    <t>firdausshabudin@live.com; rshidah@usm.my; suzyrman@usm.my; norizan@usm.my</t>
  </si>
  <si>
    <t>Abdul Rahim, Rashidah/0000-0001-8945-4428</t>
  </si>
  <si>
    <t>10.1016/j.marpol.2017.01.007</t>
  </si>
  <si>
    <t>EP4LH</t>
  </si>
  <si>
    <t>WOS:000397351500001</t>
  </si>
  <si>
    <t>Liu, SH; Wang, J; Chen, KS; Zhang, ZH; Zhang, PY</t>
  </si>
  <si>
    <t>Liu, Shenghao; Wang, Jing; Chen, Kaoshan; Zhang, Zhaohui; Zhang, Pengying</t>
  </si>
  <si>
    <t>The L-type lectin receptor-like kinase (PnLecRLK1) from the Antarctic moss Pohlia nutans enhances chilling-stress tolerance and abscisic acid sensitivity in Arabidopsis</t>
  </si>
  <si>
    <t>PLANT GROWTH REGULATION</t>
  </si>
  <si>
    <t>Abiotic stress; Antarctica; Bryophyte; Protein kinase; Psychrophile</t>
  </si>
  <si>
    <t>PROTEIN-KINASE; PHYSCOMITRELLA-PATENS; NICOTIANA-BENTHAMIANA; POSITIVE REGULATOR; COLD-ACCLIMATION; GENE FAMILY; RESISTANCE; PLANTS; SALT</t>
  </si>
  <si>
    <t>Lectin receptor-like kinases (LecRLK) are widespread in higher plants and their effects on abiotic stress tolerance are gradually being reported. However, little information is available on LecRLK functions in bryophytes. Here, an L-type LecRLK gene (PnLecRLK1) was characterized from the Antarctic moss Pohlia nutans. Subcellular localization analysis revealed that PnLecRLK1 was a plasma membrane protein. The expression of PnLecRLK1 was rapidly induced by simulated cold, salt, and drought stresses as well as by exogenously applied abscisic acid (ABA) and methyl jasmonate. Transgenic Arabidopsis plants of overexpressing PnLecRLK1 exhibited enhanced tolerance to chilling-stress and increased ABA sensitivity. Additionally, the expression levels of genes in the C-repeat binding factor (CBF) signaling pathway such as AtCBF1, AtCBF2, AtCBF3 and AtCOR47 were markedly increased in transgenic Arabidopsis. Furthermore, the expression levels of ABA-responsive genes, such as AtABI4, AtABI5, AtMYB2 and AtDREB2A, were also significantly up-regulated in transgenic Arabidopsis. Therefore, our results suggested that PnLecRLK1 functions as a membrane-bound regulator that increases chilling stress tolerance and ABA sensitivity to enable P. nutans to adapt to polar climates.</t>
  </si>
  <si>
    <t>[Liu, Shenghao; Zhang, Zhaohui] State Ocean Adm, Inst Oceanog 1, Marine Ecol Res Ctr, Key Lab Marine Bioact Subst, 6 Xian Xia Ling Rd, Qingdao, Peoples R China; [Wang, Jing; Chen, Kaoshan; Zhang, Pengying] Shandong Univ, Sch Life Sci, Natl Glycoengn Res Ctr, 27 Shanda South Rd, Jinan, Peoples R China</t>
  </si>
  <si>
    <t>First Institute of Oceanography, Ministry of Natural Resources; Shandong University</t>
  </si>
  <si>
    <t>Zhang, ZH (corresponding author), State Ocean Adm, Inst Oceanog 1, Marine Ecol Res Ctr, Key Lab Marine Bioact Subst, 6 Xian Xia Ling Rd, Qingdao, Peoples R China.;Zhang, PY (corresponding author), Shandong Univ, Sch Life Sci, Natl Glycoengn Res Ctr, 27 Shanda South Rd, Jinan, Peoples R China.</t>
  </si>
  <si>
    <t>zhang@fio.org.cn; zhangpy80@sdu.edu.cn</t>
  </si>
  <si>
    <t>Liu, Shenghao/ISU-3076-2023; jing, wang/KCZ-2144-2024</t>
  </si>
  <si>
    <t>Liu, Shenghao/0000-0002-1449-3526;</t>
  </si>
  <si>
    <t>National Natural Science Foundation of China [41206176, 41476174]; Basic Scientific Fund for National Public Research Institutes [2014T04]; Natural Science Foundation of Shandong Province [ZR2014DQ012]; Construction of the marine germplasm resource library [12PYY001SF08-HYYS-1]</t>
  </si>
  <si>
    <t>National Natural Science Foundation of China(National Natural Science Foundation of China (NSFC)); Basic Scientific Fund for National Public Research Institutes; Natural Science Foundation of Shandong Province(Natural Science Foundation of Shandong Province); Construction of the marine germplasm resource library</t>
  </si>
  <si>
    <t>This work was supported by National Natural Science Foundation of China (41206176 and 41476174), Basic Scientific Fund for National Public Research Institutes (2014T04), Natural Science Foundation of Shandong Province (ZR2014DQ012) and Construction of the marine germplasm resource library (12PYY001SF08-HYYS-1).</t>
  </si>
  <si>
    <t>0167-6903</t>
  </si>
  <si>
    <t>1573-5087</t>
  </si>
  <si>
    <t>PLANT GROWTH REGUL</t>
  </si>
  <si>
    <t>Plant Growth Regul.</t>
  </si>
  <si>
    <t>10.1007/s10725-016-0217-4</t>
  </si>
  <si>
    <t>ER1VD</t>
  </si>
  <si>
    <t>WOS:000398582200005</t>
  </si>
  <si>
    <t>Maturana, CS; Gérard, K; Díaz, A; David, B; Féral, JP; Poulin, E</t>
  </si>
  <si>
    <t>Maturana, Claudia S.; Gerard, Karin; Diaz, Angie; David, Bruno; Feral, Jean-Pierre; Poulin, Elie</t>
  </si>
  <si>
    <t>Mating system and evidence of multiple paternity in the Antarctic brooding sea urchin Abatus agassizii</t>
  </si>
  <si>
    <t>Parentage analysis; Polyandry; Spermcast; Vagility; Panmixia</t>
  </si>
  <si>
    <t>MICROSATELLITE NULL ALLELES; POPULATION-STRUCTURE; SPERM LIMITATION; FERTILIZATION SUCCESS; GENETIC-STRUCTURE; LIFE-HISTORY; CORDATUS ECHINODERMATA; AMPHIPHOLIS-SQUAMATA; REPRODUCTIVE SUCCESS; NATURAL-POPULATIONS</t>
  </si>
  <si>
    <t>Broadcasting is the predominant spawning behavior among benthic marine invertebrates, mainly associated with planktotrophic and planktonic lecitotrophic development. Broadcasting allows genetic mixing that should contribute to increase the genetic diversity of a female clutch. Conversely, in brooding species characterized by protected development, oocytes are retained and only sperm is released, which is supposed to limit the number of males that contribute to a female clutch. This spermcasting behavior together with egg retention, unusually frequent among Antarctic marine invertebrates, putatively give brooders low dispersal capacities which may reduce genetic mixing and generate genetic and kinship structure at a small spatial scale. Like many other Antarctic marine benthic invertebrates, the irregular sea urchin Abatus agassizii is a spermcaster that broods its young. In this study, we assessed the genetic diversity among 66 adults using 6 polymorphic microsatellite loci and performed progeny array analyses in order to evaluate the number of mates per female as well as genetic structure at a small spatial scale. A. agassizii exhibited a polyandric system with 2-5 mates per female regardless of population density. Bayesian analyses suggested the absence of genetic structure along our 20-m transect, while relatedness among individuals did not differ from that expected under panmixia. Finally, we conclude that a limited number of males contribute to a female clutch, probably as a consequence of limited sperm dispersal and that movement of adults may be sufficient to avoid kinship structure in the population.</t>
  </si>
  <si>
    <t>[Maturana, Claudia S.; Gerard, Karin; Diaz, Angie; Poulin, Elie] Univ Chile, IEB, Fac Ciencias, Casilla 653, Santiago 7800003, Chile; [Gerard, Karin] Univ Magallanes, GAIA Antartica, Ave Bulnes 01890, Punta Arenas 6210427, Chile; [Diaz, Angie] Univ Concepcion, Fac Ciencias Nat &amp; Oceanog, Dept Zool, Victor Lamas 1290, Concepcion 4070386, Chile; [David, Bruno] Univ Bourgogne, UMR CNRS 6282, Biogeosci, 6 Blvd Gabriel, F-21000 Dijon, France; [David, Bruno] Museum Natl Hist Nat, 57 Rue Cuvier, F-75005 Paris, France; [Feral, Jean-Pierre] Inst Mediterrane Biodiversite &amp; Ecol Marine &amp; Con, Stn Marine Endoume, UMR IMBE 7263, Chemin Batterie Lions, F-13007 Marseille, France</t>
  </si>
  <si>
    <t>Universidad de Chile; Universidad de Magallanes; Universidad de Concepcion; Universite de Bourgogne; Centre National de la Recherche Scientifique (CNRS); CNRS - Institute of Ecology &amp; Environment (INEE); Museum National d'Histoire Naturelle (MNHN); Aix-Marseille Universite; Centre National de la Recherche Scientifique (CNRS); Institut de Recherche pour le Developpement (IRD)</t>
  </si>
  <si>
    <t>Maturana, CS (corresponding author), Univ Chile, IEB, Fac Ciencias, Casilla 653, Santiago 7800003, Chile.</t>
  </si>
  <si>
    <t>cmaturana.ciencias@gmail.com</t>
  </si>
  <si>
    <t>Gérard, Karin/AAC-4911-2021; DAVID, Bruno/N-8798-2013; FERAL, Jean-Pierre/M-9608-2019; Gerard, Karin/H-6245-2014; Poulin, Elie/C-2654-2012; Maturana, Claudia/JOK-7975-2023; Diaz, Angie/I-8033-2016</t>
  </si>
  <si>
    <t>Gérard, Karin/0000-0003-0596-1348; FERAL, Jean-Pierre/0000-0001-7627-0160; Poulin, Elie/0000-0001-7736-0969; Maturana, Claudia/0000-0002-4427-8093; Diaz, Angie/0000-0003-4944-588X</t>
  </si>
  <si>
    <t>Thesis project INACH [M02_10]; CONICYT PhD [21150317, D-21060218, D21-08]; INACH [D05-09, FP_03-12, F01_09]; Postdoctoral FONDECYT [3130677]; Fondecyt post-doctorate [3100139]; Egide program ECOS-Sud [C06B02]; [PFB-23]; [ICM P05-002]</t>
  </si>
  <si>
    <t>Thesis project INACH; CONICYT PhD(Comision Nacional de Investigacion Cientifica y Tecnologica (CONICYT)); INACH; Postdoctoral FONDECYT(Comision Nacional de Investigacion Cientifica y Tecnologica (CONICYT)CONICYT FONDECYT); Fondecyt post-doctorate(Comision Nacional de Investigacion Cientifica y Tecnologica (CONICYT)CONICYT FONDECYT); Egide program ECOS-Sud; ;</t>
  </si>
  <si>
    <t>This study was supported by the Grants PFB-23 and ICM P05-002 and Thesis project INACH M02_10 and CONICYT PhD 21150317 to C.M; INACH D05-09, FP_03-12, CONICYT Ph.D. D-21060218, D21-08 and Postdoctoral FONDECYT 3130677 to A.D, Fondecyt post-doctorate 3100139 and INACH F01_09 to K.G and Egide program ECOS-Sud C06B02 to E.P. and J-P.F.</t>
  </si>
  <si>
    <t>10.1007/s00300-016-2001-3</t>
  </si>
  <si>
    <t>EQ6FF</t>
  </si>
  <si>
    <t>WOS:000398176500005</t>
  </si>
  <si>
    <t>Landaeta, MF; Vera-Duarte, J; Manríquez, K; Marcovich, N; Latorre-Melín, L; López-Berger, V; Letelier, J; Alvarado-Niño, M; Masotti, I; La Mesa, M</t>
  </si>
  <si>
    <t>Landaeta, Mauricio F.; Vera-Duarte, Javier; Manriquez, Karen; Marcovich, Natalia; Latorre-Melin, Laura; Lopez-Berger, Valentina; Letelier, Jaime; Alvarado-Nino, Monica; Masotti, Italo; La Mesa, Mario</t>
  </si>
  <si>
    <t>Trophic plasticity of larval notothenioid fish Harpagifer antarcticus in shallow waters from the South Shetland Islands, Antarctica</t>
  </si>
  <si>
    <t>Greenwich Island; Harpagifer; Feeding; Fish larvae; Antarctica</t>
  </si>
  <si>
    <t>FEEDING ECOLOGY; ADAPTIVE FLEXIBILITY; POTTER COVE; PREY SIZE; DIET; PENINSULA; PISCES; SEA; BEHAVIOR; PATTERNS</t>
  </si>
  <si>
    <t>Adaptive plasticity in foraging of early life stages of marine fishes is highly relevant, particularly in environments such as the Antarctic inshore waters. In this study we analyzed the trophic habits, feeding success and selectivity of larval spiny plunderfish Harpagifer antarcticus (Osteichthyes: Harpagiferidae) collected weekly in austral summer 2014 and 2015 at Bahia Chile, Greenwich Island, South Shetland Islands. Based on the stomach contents of 202 individuals ranging between 5.97 and 10.66 mm, the spiny plunderfish was omnivorous, with chain-forming diatom Thalassiosira minuscula, euphausiid eggs and copepodites as the main prey items. The feeding success, measured as prey number per gut and total volume per gut, and the trophic niche breadth were independent of the standard length. Only the maximum prey size (width) was positively correlated with larval size, suggesting a preference for larger prey as larvae grow. At the interannual scale, significant differences were only detected in the ingested prey per gut, with higher values during summer 2014. In this season, trophic niche breadth increased with larval size. At the weekly scale, and after storm winds from southeast and high turbulence in surface waters, H. antarcticus larvae switched their selective feeding based on large prey (i.e., copepodites) to a more opportunistic feeding strategy, relying on large abundance of small (i.e., T. minuscula) to medium-size prey (euphausiid eggs). The present results suggest that larval spiny plunderfish exhibit feeding behavior plasticity, ensuring higher feeding rates after major changes triggered by meteorological conditions in a shallow embayment of the South Shetland Islands.</t>
  </si>
  <si>
    <t>[Landaeta, Mauricio F.; Vera-Duarte, Javier] Univ Valparaiso, Fac Ciencias Mar &amp; Recursos Nat, Lab Ictioplancton LABITI, Escuela Biol Marina, Ave Borgono 16344, Renaca, Vina Del Mar, Chile; [Manriquez, Karen; Marcovich, Natalia; Lopez-Berger, Valentina] Univ Andres Bello, Ctr Invest Marinas Quintay CIMARQ, Santiago, Chile; [Manriquez, Karen] Hidroplank Ltd, Quebrada Caracoles 057, Villa San Joaquin, Rancagua, Chile; [Latorre-Melin, Laura; Masotti, Italo] Univ Valparaiso, Fac Ciencias Mar &amp; Recursos Nat, Lab Oceanog Biol, Escuela Biol Marina, Ave Borgono 16344, Renaca, Vina Del Mar, Chile; [Letelier, Jaime] Inst Fomento Pesquero IFOP, Dept Oceanog, Valparaiso, Chile; [Alvarado-Nino, Monica] Univ Valparaiso, Fac Ciencias Mar &amp; Recursos Nat, Programa Magister Oceanog, Valparaiso, Chile; [La Mesa, Mario] CNR, ISMAR, Ist Sci Marine, Sede Ancona, I-60125 Ancona, Italy</t>
  </si>
  <si>
    <t>Universidad de Valparaiso; Universidad Andres Bello; Universidad de Valparaiso; Instituto de Fomento Pesquero (Valparaiso); Universidad de Valparaiso; Consiglio Nazionale delle Ricerche (CNR); Istituto di Scienze Marine (ISMAR-CNR)</t>
  </si>
  <si>
    <t>Landaeta, MF (corresponding author), Univ Valparaiso, Fac Ciencias Mar &amp; Recursos Nat, Lab Ictioplancton LABITI, Escuela Biol Marina, Ave Borgono 16344, Renaca, Vina Del Mar, Chile.</t>
  </si>
  <si>
    <t>landaeta.mauricio@gmail.com</t>
  </si>
  <si>
    <t>LANDAETA, MAURICIO/X-4293-2019</t>
  </si>
  <si>
    <t>LANDAETA, MAURICIO/0000-0002-5199-5103; Vera-Duarte, Javier/0000-0002-0539-1245; Masotti, Italo/0000-0001-7635-0021</t>
  </si>
  <si>
    <t>Instituto Antartico Chileno (INACH) [INACH RT_04-13]; CONICYT-PAI-PHY-TOHUMBOLDT/ACADEMIA [7912010002]</t>
  </si>
  <si>
    <t>Instituto Antartico Chileno (INACH); CONICYT-PAI-PHY-TOHUMBOLDT/ACADEMIA</t>
  </si>
  <si>
    <t>We want to thank J.E. Contreras and D. Ortiz-Gonzalez for the the field work as well as all the crew of the Antarctic Base Arturo Prat of Armada de Chile at Greenwich Island, South Shetland Islands, Antarctica, and appreciate the support of Instituto Antartico Chileno (INACH) through project INACH RT_04-13 granted to MFL. IM was partially funded by CONICYT-PAI-PHY-TOHUMBOLDT/ACADEMIA 7912010002. Two anonymous reviewers and Joseph T. Eastman greatly improved an early version of the manuscript with their comments.</t>
  </si>
  <si>
    <t>10.1007/s00300-016-2009-8</t>
  </si>
  <si>
    <t>WOS:000398176500009</t>
  </si>
  <si>
    <t>Angel, JJS; Cantero, ALP</t>
  </si>
  <si>
    <t>Soto Angel, Joan J.; Pena Cantero, Alvaro L.</t>
  </si>
  <si>
    <t>A new piece in the puzzle of the Antarctic Biogeography: What do benthic hydroids tell us about the Scotia Arc affinities?</t>
  </si>
  <si>
    <t>Hydrozoa; Scotia Arc; Biogeography; Endemism; Species richness</t>
  </si>
  <si>
    <t>CNIDARIA HYDROZOA; SOUTHERN-OCEAN; STAUROTHECA ALLMAN; SERTULARIIDAE; EXPEDITIONS; POLARSTERN; DIVERSITY; PATTERNS; FAUNAS; SEA</t>
  </si>
  <si>
    <t>The biogeography of the Southern Ocean and its subdivisions has attracted the interest of the scientific community for many years, especially for those border regions with great sub-Antarctic influence. The Scotia Arc, located between the Antarctic Peninsula and the Magellan region, has been considered as a biogeographic bridge and hence widely discussed, but there are still gaps in the knowledge of some zoological groups and its inclusion in truly Antarctic waters still constitutes an unresolved topic. The faunistic affinities between the benthic hydroids from the Scotia Arc and those from nearby regions (i.e., High Antarctica, Patagonian region and Bouvet Island) were evaluated with different similarity index and hierarchical analyses in order to put into evidence the biogeographic connectivity among those regions. The results show that the Scotia Arc archipelagos have greater affinity with continental Antarctica than with the Patagonian region, with an increasing similarity while approaching to High Antarctica, highlighting their importance as a biogeographic bridge and the effectiveness of the Polar Front as a major oceanographic barrier. Evidences from the present study on benthic hydroids supports the placement of the whole Scotia Arc within of the Antarctic region. Present data were compared with those from other benthic invertebrates groups to contribute to a better understanding of the biogeography of the Scotia Arc as a whole.</t>
  </si>
  <si>
    <t>[Soto Angel, Joan J.; Pena Cantero, Alvaro L.] Univ Valencia, Inst Cavanilles Biodiversitat &amp; Biol Evolutiva, Grp Biodiversitat &amp; Evolucio Cnidaris, Valencia, Spain; [Soto Angel, Joan J.] Univ Valencia, Fac Ciencies Biol, Dept Zool, Lab Biol Marina, C Dr Moliner 50, E-46100 Burjassot, Spain</t>
  </si>
  <si>
    <t>University of Valencia; University of Valencia</t>
  </si>
  <si>
    <t>Angel, JJS (corresponding author), Univ Valencia, Inst Cavanilles Biodiversitat &amp; Biol Evolutiva, Grp Biodiversitat &amp; Evolucio Cnidaris, Valencia, Spain.;Angel, JJS (corresponding author), Univ Valencia, Fac Ciencies Biol, Dept Zool, Lab Biol Marina, C Dr Moliner 50, E-46100 Burjassot, Spain.</t>
  </si>
  <si>
    <t>joan.soto@uv.es</t>
  </si>
  <si>
    <t>Àngel, Joan J. Soto/AAS-6133-2021; Cantero, Álvaro Luis Peña/F-7888-2016</t>
  </si>
  <si>
    <t>Àngel, Joan J. Soto/0000-0002-9132-4822; Pena Cantero, Alvaro/0000-0003-3056-6673</t>
  </si>
  <si>
    <t>Conselleria d'Educacio, Cultura i Esport, Generalitat Valenciana, Spain [ACIF/2011/062]</t>
  </si>
  <si>
    <t>Conselleria d'Educacio, Cultura i Esport, Generalitat Valenciana, Spain</t>
  </si>
  <si>
    <t>We want to express our gratitude to the anonymous referees for their constructive criticism that aimed to improve the quality of the manuscript. The present project was supported by the Conselleria d'Educacio, Cultura i Esport, Generalitat Valenciana, Spain (ACIF/2011/062).</t>
  </si>
  <si>
    <t>10.1007/s00300-016-2013-z</t>
  </si>
  <si>
    <t>WOS:000398176500011</t>
  </si>
  <si>
    <t>Monti, M; Zoccarato, L; Umani, SF</t>
  </si>
  <si>
    <t>Monti, Marina; Zoccarato, Luca; Umani, Serena Fonda</t>
  </si>
  <si>
    <t>Microzooplankton composition under the sea ice and in the open waters in Terra Nova Bay (Antarctica)</t>
  </si>
  <si>
    <t>Antarctica; Ross Sea; Microzooplankton; Tintinnids; Sea ice</t>
  </si>
  <si>
    <t>ROSS SEA; WEDDELL SEA; PACK-ICE; PROTOZOAN BACTERIVORY; COMMUNITY STRUCTURE; SEASONAL-CHANGES; SPECIAL EMPHASIS; EDGE ZONE; SUMMER; DYNAMICS</t>
  </si>
  <si>
    <t>The aim of this study was to describe the microzooplankton composition under the sea ice in the Ross Sea (Antarctica) and its possible role as seed for the open-water community. We compared the under-sea-ice data to the communities present in the ice-free waters and at the retreating ice edge in order to test the hypothesis that the microzooplankton composition and abundance depend on the temporal development of the ecosystem. In December 2011, microzooplankton were sampled through two boreholes in sea ice, and 1 month later, in nearby stations that had been free from ice for a short time. The data from these samples were compared with a previous campaign (January 2011) when all of the area had been free of ice for a longer period. Our data indicate that under the sea ice the communities were very different from those of the ice-free waters, both in terms of abundance and diversity, with the prevalence of heterotrophic dinoflagellates and aloricate ciliates. Tintinnids were almost absent below the sea ice, and their abundance increased during the sampling at the intermediate depths. The present study provides evidence for the effect of the environment on the microzooplankton distributions, and indicates that the microzooplankton presence mainly depends on the sampling period. The community under the sea ice appears not to seed the open water community once the ice has retreated. The presence of the ice appears to influence the whole water-column production, which might thus not feed the deeper communities. The most important constraint appears to be the time that has lapsed from the presence of ice cover to the ice-free period.</t>
  </si>
  <si>
    <t>[Monti, Marina] Ist Nazl Oceanog &amp; Geofis Sperimentale OGS, Dept Biol Oceanog, Via A Piccard 54, I-34151 Trieste, Italy; [Zoccarato, Luca; Umani, Serena Fonda] Univ Trieste, Dept Life Sci, Via L Giorgieri 10, I-34127 Trieste, Italy</t>
  </si>
  <si>
    <t>Istituto Nazionale di Oceanografia e di Geofisica Sperimentale; University of Trieste</t>
  </si>
  <si>
    <t>Monti, M (corresponding author), Ist Nazl Oceanog &amp; Geofis Sperimentale OGS, Dept Biol Oceanog, Via A Piccard 54, I-34151 Trieste, Italy.</t>
  </si>
  <si>
    <t>mmonti@inogs.it</t>
  </si>
  <si>
    <t>monti, marina/O-2910-2015</t>
  </si>
  <si>
    <t>Zoccarato, Luca/0000-0001-8914-6396; Monti, Marina/0000-0001-5198-7798</t>
  </si>
  <si>
    <t>Italian National Antarctic Research Program (PNRA)</t>
  </si>
  <si>
    <t>Italian National Antarctic Research Program (PNRA)(Ministry of Education, Universities and Research (MIUR))</t>
  </si>
  <si>
    <t>This study was supported by the Italian National Antarctic Research Program (PNRA). Thanks are due to Paolo Povero and Enrico Olivari for temperature, salinity and fluorescence data. The authors would like to thank Christopher Berrie for the language revision.</t>
  </si>
  <si>
    <t>10.1007/s00300-016-2016-9</t>
  </si>
  <si>
    <t>WOS:000398176500013</t>
  </si>
  <si>
    <t>Herrera, LM; García-Laviña, CX; Marizcurrena, JJ; Volonterio, O; de León, RP; Castro-Sowinski, S</t>
  </si>
  <si>
    <t>Herrera, Lorena M.; Garcia-Lavina, Cesar X.; Marizcurrena, Juan J.; Volonterio, Odile; Ponce de Leon, Rodrigo; Castro-Sowinski, Susana</t>
  </si>
  <si>
    <t>Hydrolytic enzyme-producing microbes in the Antarctic oligochaete Grania sp (Annelida)</t>
  </si>
  <si>
    <t>Microbiome; Cold-adapted; Symbiosis; Worm</t>
  </si>
  <si>
    <t>SP NOV.; SOUTH-AMERICA; DIVERSITY; ENVIRONMENTS; MACROALGAE</t>
  </si>
  <si>
    <t>The oligochaete Grania sp. is a common inhabitant of Artigas Beach at Maxwell Bay (King George Island, South Shetland Islands, Maritime Antarctica) that proliferate during the summer season and feed on debris of red and brown algae. This investigation was undertaken to test the hypothesis that Grania sp. has an enzyme-producing microbiota that may facilitate the worm's nutrient uptake by processing or metabolizing macroalgae compounds. A culture-based approach was used to investigate the occurrence of microorganisms able to degrade proteins, lipids and polysaccharides. Thirty-four hydrolytic enzyme-producing microorganisms associated with these worms, including bacteria and yeasts, were isolated and identified by sequencing a partial fragment of the 16S and 26S rDNA genes, respectively. These microorganisms have the ability to produce extracellular proteases, esterases, amylases, cellulases and agarases. The microbial genera found during this work (Flavobacterium, Pseudomonas, Salinibacterium, Psychrobacter, Cystobasidium and Rhodotorula) have been previously described in association with red and brown Antarctic algae. Our results suggest that this microbiome has a digestive capability that may assist Grania sp. in metabolizing nutrients from algae, leading us to consider the possibility of a mutualistic relationship between them. The association between the worm Grania sp. and a cold-active hydrolyzing microbiota may contribute to the macroalgae decomposition and nutrient recycling in the Antarctic ecosystem.</t>
  </si>
  <si>
    <t>[Herrera, Lorena M.; Garcia-Lavina, Cesar X.; Marizcurrena, Juan J.; Castro-Sowinski, Susana] Univ Republica, Biochem &amp; Mol Biol, Fac Sci, Montevideo 4225, Uruguay; [Volonterio, Odile; Ponce de Leon, Rodrigo] Univ Republica, Sect Invertebrate Zool, Fac Sci, Montevideo 4225, Uruguay; [Castro-Sowinski, Susana] Inst Clemente Estable, Mol Microbiol Lab, Ave Italia 3318, Montevideo, Uruguay</t>
  </si>
  <si>
    <t>Universidad de la Republica, Uruguay; Universidad de la Republica, Uruguay; Instituto de Investigaciones Biologicas Clemente Estable Uruguay</t>
  </si>
  <si>
    <t>Castro-Sowinski, S (corresponding author), Univ Republica, Biochem &amp; Mol Biol, Fac Sci, Montevideo 4225, Uruguay.;Castro-Sowinski, S (corresponding author), Inst Clemente Estable, Mol Microbiol Lab, Ave Italia 3318, Montevideo, Uruguay.</t>
  </si>
  <si>
    <t>s.castro.sow@gmail.com</t>
  </si>
  <si>
    <t>Marizcurrena, Juan Jose/AAB-5482-2020; Volonterio, Odile/GOK-2869-2022</t>
  </si>
  <si>
    <t>Marizcurrena, Juan Jose/0000-0002-5191-1539</t>
  </si>
  <si>
    <t>PEDECIBA (Programa de Desarrollo de las Ciencias Basicas); ANII (Agencia Nacional de Investigacion e Innovacion) [FSE_1_2104_1_102649]</t>
  </si>
  <si>
    <t>PEDECIBA (Programa de Desarrollo de las Ciencias Basicas); ANII (Agencia Nacional de Investigacion e Innovacion)</t>
  </si>
  <si>
    <t>This work was partially supported by PEDECIBA (Programa de Desarrollo de las Ciencias Basicas) and ANII (Agencia Nacional de Investigacion e Innovacion) (FSE_1_2104_1_102649). The work of LMH and JJM was supported by ANII. The authors thank the Uruguayan Antarctic Institute for the logistic support during the stay in the Artigas Base. We also thank Vivian Irving and Nicolas Boullosa for their assistance in collecting worms and isolating microorganisms. S. Castro-Sowinski is a member of the National Research System (SNI, Sistema Nacional de Investigadores).</t>
  </si>
  <si>
    <t>10.1007/s00300-016-2012-0</t>
  </si>
  <si>
    <t>WOS:000398176500018</t>
  </si>
  <si>
    <t>Rupprecht, S; Bennetts, LG; Peter, MA</t>
  </si>
  <si>
    <t>Rupprecht, Sebastian; Bennetts, Luke G.; Peter, Malte A.</t>
  </si>
  <si>
    <t>Effective wave propagation along a rough thin-elastic beam</t>
  </si>
  <si>
    <t>WAVE MOTION</t>
  </si>
  <si>
    <t>Wave attenuation; Effective wavenumber; Elastic beam in vacuo; Step approximation; Integral equation; Multiple-scale approach</t>
  </si>
  <si>
    <t>SCATTERING; ROWS</t>
  </si>
  <si>
    <t>Two methods for computing the complex-valued effective wavenumber of a rough beam in the context of linear time-harmonic theory are presented. The roughness of the beam is modelled as a continuous random process of known characteristic length and root-mean square amplitude for either the beam mass or the beam rigidity. The first method is based on a random sampling method, with the effective wave field calculated as the mean of a large ensemble of wave fields for individual realisations of the roughness. The individual wave fields are calculated using a step approximation, which is validated for a deterministic problem via comparison to results produced by an integral equation approach. The second method assumes a splitting of the length scale of the fluctuations and an observation scale, employing a multiple-scale approximation to derive analytical expressions for the effective attenuation rate and phase change. Numerical comparisons show agreement of the results of the random sampling method and the multiple-scale approximation for a wide range of parameters. It is shown that the effective wavenumbers only differ by a real constant between the cases of varying beam mass and rigidity. (C) 2016 Elsevier B.V. All rights reserved.</t>
  </si>
  <si>
    <t>[Rupprecht, Sebastian; Peter, Malte A.] Univ Augsburg, Inst Math, D-86135 Augsburg, Germany; [Bennetts, Luke G.] Univ Adelaide, Sch Math Sci, Adelaide, SA 5005, Australia; [Peter, Malte A.] Univ Augsburg, Augsburg Ctr Innovat Technol, D-86135 Augsburg, Germany</t>
  </si>
  <si>
    <t>University of Augsburg; University of Adelaide; University of Augsburg</t>
  </si>
  <si>
    <t>Rupprecht, S (corresponding author), Univ Augsburg, Inst Math, D-86135 Augsburg, Germany.</t>
  </si>
  <si>
    <t>sebastian.rupprecht@math.uni-augsburg.de; luke.bennetts@adelaide.edu.au; malte.peter@math.uni-augsburg.de</t>
  </si>
  <si>
    <t>Bennetts, Luke/N-1448-2019</t>
  </si>
  <si>
    <t>Bennetts, Luke/0000-0001-9386-7882; Peter, Malte A./0000-0001-6107-9806</t>
  </si>
  <si>
    <t>Group of Eight, Australia; German Academic Exchange Service (DAAD) Joint Research Co-operation Scheme; Australian Research Council [DE130101571]; Australian Antarctic Science Grant Program [4123]; Australian government, through an Endeavour Research Fellowship; Australian Research Council [DE130101571] Funding Source: Australian Research Council</t>
  </si>
  <si>
    <t>Group of Eight, Australia; German Academic Exchange Service (DAAD) Joint Research Co-operation Scheme; Australian Research Council(Australian Research Council); Australian Antarctic Science Grant Program; Australian government, through an Endeavour Research Fellowship(Australian GovernmentDepartment of Industry, Innovation and Science); Australian Research Council(Australian Research Council)</t>
  </si>
  <si>
    <t>This work was supported by the Group of Eight, Australia, and German Academic Exchange Service (DAAD) Joint Research Co-operation Scheme. LB acknowledges funding support from the Australian Research Council (DE130101571) and the Australian Antarctic Science Grant Program (Project 4123). SR acknowledges funding from the Australian government, through an Endeavour Research Fellowship in 2016.</t>
  </si>
  <si>
    <t>0165-2125</t>
  </si>
  <si>
    <t>1878-433X</t>
  </si>
  <si>
    <t>Wave Motion</t>
  </si>
  <si>
    <t>10.1016/j.wavemoti.2016.08.002</t>
  </si>
  <si>
    <t>Acoustics; Mechanics; Physics, Multidisciplinary</t>
  </si>
  <si>
    <t>Acoustics; Mechanics; Physics</t>
  </si>
  <si>
    <t>EP4UR</t>
  </si>
  <si>
    <t>WOS:000397375900002</t>
  </si>
  <si>
    <t>Nelli, F; Bennetts, LG; Skene, DM; Monty, JP; Lee, JH; Meylan, MH; Toffoli, A</t>
  </si>
  <si>
    <t>Nelli, F.; Bennetts, L. G.; Skene, D. M.; Monty, J. P.; Lee, J. H.; Meylan, M. H.; Toffoli, A.</t>
  </si>
  <si>
    <t>Reflection and transmission of regular water waves by a thin, floating plate</t>
  </si>
  <si>
    <t>Ocean waves; Thin plate; Energy dissipation</t>
  </si>
  <si>
    <t>SEA-ICE FLOES; HYDROELASTIC RESPONSE; ELASTIC DISCS; SCATTERING; TRANSECTS; BEHAVIOR</t>
  </si>
  <si>
    <t>Measurements of the wave fields reflected and transmitted by a thin floating plastic plate are reported for regular incident waves over a range of incident periods (producing wavelengths comparable to the plate length) and steepnesses (ranging from mild to storm-like). Two different plastics are tested, with different densities and mechanical properties, and three different configurations are tested. The configurations include freely floating plates, loosely moored plates (to restrict drift), and plates with edge barriers (to restrict waves overwashing the plates). The wave fields reflected and transmitted by plates without barriers are shown to become irregular, as the incident waves become steeper, particularly for the denser plastic and the moored plate. Further, the proportion of energy transmitted by the plates without barriers is shown to decrease as the incident wave becomes steeper, and this is related to wave energy dissipation. (C) 2016 Elsevier B.V. All rights reserved.</t>
  </si>
  <si>
    <t>[Nelli, F.] Swinburne Univ Technol, Ctr Ocean Engn Sci &amp; Technol, POB 218, Hawthorn, Vic 3122, Australia; [Bennetts, L. G.; Skene, D. M.] Univ Adelaide, Sch Math Sci, Adelaide, SA, Australia; [Monty, J. P.; Lee, J. H.] Univ Melbourne, Dept Mech Engn, Melbourne, Vic, Australia; [Meylan, M. H.] Univ Newcastle, Sch Math &amp; Phys Sci, Callaghan, NSW, Australia; [Toffoli, A.] Univ Melbourne, Dept Infrastruct Engn, Melbourne, Vic, Australia</t>
  </si>
  <si>
    <t>Swinburne University of Technology; University of Adelaide; University of Melbourne; Melbourne Bioinformatics; University of Newcastle; Melbourne Genomics Health Alliance; University of Melbourne</t>
  </si>
  <si>
    <t>Nelli, F (corresponding author), Swinburne Univ Technol, Ctr Ocean Engn Sci &amp; Technol, POB 218, Hawthorn, Vic 3122, Australia.</t>
  </si>
  <si>
    <t>fnelli@swin.edu.au</t>
  </si>
  <si>
    <t>Bennetts, Luke/N-1448-2019; Meylan, Michael/A-7341-2010</t>
  </si>
  <si>
    <t>Bennetts, Luke/0000-0001-9386-7882; Meylan, Michael/0000-0002-3164-1367; Nelli, Filippo/0000-0003-4206-8516; Lee, Will Junghoon/0000-0003-3858-768X; Toffoli, Alessandro/0000-0003-3112-6856; MONTY, JASON/0000-0003-4433-2640</t>
  </si>
  <si>
    <t>University of Melbourne; University of Newcastle; Swinburne University of Technology; LGB [DE130101571]; JPM [F1120100409]; DMS [4123]; US Office of Naval Research [N00014-13-1-0290]</t>
  </si>
  <si>
    <t>University of Melbourne(University of Melbourne); University of Newcastle; Swinburne University of Technology; LGB; JPM; DMS; US Office of Naval Research(Office of Naval Research)</t>
  </si>
  <si>
    <t>The authors thank the two anonymous reviewers for their helpful comments. The Universities of Melbourne and Newcastle funded the experiments. FN is supported by a Swinburne University of Technology Postgraduate Research Award. The Australian Research Council funds an early-career fellowship for LGB (DE130101571) and a mid-career fellowship for JPM (F1120100409). The Australian Antarctic Science Program provides support for LGB and a Ph.D. top-up scholarship for DMS (project 4123). MHM acknowledges support from the US Office of Naval Research (project N00014-13-1-0290).</t>
  </si>
  <si>
    <t>10.1016/j.wavemoti.2016.09.003</t>
  </si>
  <si>
    <t>WOS:000397375900015</t>
  </si>
  <si>
    <t>Meylan, MH; Bennetts, LG; Peter, MA</t>
  </si>
  <si>
    <t>Meylan, Michael H.; Bennetts, Luke G.; Peter, Malte A.</t>
  </si>
  <si>
    <t>Water-wave scattering and energy dissipation by a floating porous elastic plate in three dimensions</t>
  </si>
  <si>
    <t>Wave-structure interaction; Porous elastic plate; Eigenfunction matching; Boundary element method; Finite element method</t>
  </si>
  <si>
    <t>PERFORATED WALL BREAKWATER; ICE FLOES; FINITE; TRANSMISSION; REFLECTION; SPECTRA; MOTION; DEPTH</t>
  </si>
  <si>
    <t>An eigenfunction-matching method is developed for the problem of linear water-wave scattering by a circular floating porous elastic plate, and a coupled boundary-element and finite-element method is developed for the problem in which the plate is of arbitrary shape. The methods are shown to produce the same solutions for a circular plate, and their convergence properties are established. The impact of porosity on the far field (the wave field away from the plate) is investigated using integral representations for the Bessel and Hankel functions. It is shown that wave-energy dissipation due to porosity initially increases as the plate becomes more porous, but reaches a maximum and then slowly decreases as the porosity increases further. (C) 2016 Elsevier B.V. All rights reserved.</t>
  </si>
  <si>
    <t>[Meylan, Michael H.] Univ Newcastle, Sch Math &amp; Phys Sci, Callaghan, NSW 2308, Australia; [Bennetts, Luke G.] Univ Adelaide, Sch Math Sci, Adelaide, SA 5005, Australia; [Peter, Malte A.] Univ Augsburg, Math Inst, D-86135 Augsburg, Germany; [Peter, Malte A.] Univ Augsburg, Augsburg Ctr Innovat Technol, D-86135 Augsburg, Germany</t>
  </si>
  <si>
    <t>University of Newcastle; University of Adelaide; University of Augsburg; University of Augsburg</t>
  </si>
  <si>
    <t>Meylan, MH (corresponding author), Univ Newcastle, Sch Math &amp; Phys Sci, Callaghan, NSW 2308, Australia.</t>
  </si>
  <si>
    <t>mike.meylan@newcastle.edu.au</t>
  </si>
  <si>
    <t>Bennetts, Luke/0000-0001-9386-7882; Meylan, Michael/0000-0002-3164-1367; Peter, Malte A./0000-0001-6107-9806</t>
  </si>
  <si>
    <t>US. Office of Naval Research [N00014-15-1-2611]; The Australian Research Council [DE130101571]; LGB [4123]</t>
  </si>
  <si>
    <t>US. Office of Naval Research(Office of Naval Research); The Australian Research Council(Australian Research Council); LGB</t>
  </si>
  <si>
    <t>This material is based upon research supported by, or in part by, the US. Office of Naval Research under award number N00014-15-1-2611 (MHM). The Australian Research Council funds an early-career fellowship for LGB (DE130101571). The Australian Antarctic Science Program provides funding support for LGB (Project 4123). The University of Adelaide generously hosted MAP for a sabbatical, during which this work was accomplished.</t>
  </si>
  <si>
    <t>10.1016/j.wavemoti.2016.06.014</t>
  </si>
  <si>
    <t>Green Submitted, hybrid, Green Published</t>
  </si>
  <si>
    <t>WOS:000397375900017</t>
  </si>
  <si>
    <t>Liu, CY; Wang, ZM; Li, BR; Cheng, C; Xia, RB</t>
  </si>
  <si>
    <t>Liu, Chengyan; Wang, Zhaomin; Li, Bingrui; Cheng, Chen; Xia, Ruibin</t>
  </si>
  <si>
    <t>On the response of subduction in the South Pacific to an intensification of westerlies and heat flux in an eddy permitting ocean model</t>
  </si>
  <si>
    <t>SUB-ANTARCTIC MODE; WATER-MASS TRANSFORMATION; WIND-DRIVEN CIRCULATION; INTERMEDIATE WATER; TRANSPORT; VARIABILITY</t>
  </si>
  <si>
    <t>Based on an eddy permitting ocean general circulation model, the response of water masses to two distinct climate scenarios in the South Pacific is assessed in this paper. Under annually repeating atmospheric forcing that is characterized by different westerlies and associated heat flux, the response of Subantarctic Mode Water (SAMW) and Antarctic Intermediate Water (AAIW) is quantitatively estimated. Both SAMW and AAIW are found to be warmer, saltier and denser under intensified westerlies and increased heat loss. The increase in the subduction volume of SAMW and AAIW is about 19.8 Sv (1 Sv = 10(6) m(3) s(-1)). The lateral induction term plays a dominant role in the changes in the subduction volume due to the deepening of the mixed layer depth (MLD). Furthermore, analysis of the buoyancy budget is used to quantitatively diagnose the reason for the changes in the MLD. The deepening of the MLD is found to be primarily caused by the strengthening of heat loss from the ocean to the atmosphere in the formation region of SAMW and AAIW.</t>
  </si>
  <si>
    <t>[Liu, Chengyan; Wang, Zhaomin; Cheng, Chen; Xia, Ruibin] Nanjing Univ Informat Sci &amp; Technol, Polar Climate Syst &amp; Global Change Lab, Nanjing 210044, Jiangsu, Peoples R China; [Li, Bingrui] Polar Res Inst China, Shanghai 200136, Peoples R China</t>
  </si>
  <si>
    <t>Nanjing University of Information Science &amp; Technology; Polar Research Institute of China</t>
  </si>
  <si>
    <t>Liu, CY (corresponding author), Nanjing Univ Informat Sci &amp; Technol, Polar Climate Syst &amp; Global Change Lab, Nanjing 210044, Jiangsu, Peoples R China.</t>
  </si>
  <si>
    <t>whale@nuist.edu.cn</t>
  </si>
  <si>
    <t>Major State Basic Research Development Program of China [2016YFA0601804]; National Natural Science Foundation of China [41306208, 41276200, 41406214, 41376190, 41606217]; scientific Research Foundation of Nanjing University of Information Science and Technology [2015r043]; Polar Research Institute of China [KP201301]; Priority Academic Program Development of Jiangsu Higher Education Institutions; Jiangsu Government Scholarship for Overseas Studies; China Scholarship Council</t>
  </si>
  <si>
    <t>Major State Basic Research Development Program of China(National Basic Research Program of China); National Natural Science Foundation of China(National Natural Science Foundation of China (NSFC)); scientific Research Foundation of Nanjing University of Information Science and Technology(Nanjing University of Information Science &amp; Technology); Polar Research Institute of China; Priority Academic Program Development of Jiangsu Higher Education Institutions; Jiangsu Government Scholarship for Overseas Studies; China Scholarship Council(China Scholarship Council)</t>
  </si>
  <si>
    <t>This work was supported by the Major State Basic Research Development Program of China (Grant No. 2016YFA0601804), the National Natural Science Foundation of China (Grant Nos. 41306208, 41276200, 41406214, 41376190 and 41606217), the scientific Research Foundation of Nanjing University of Information Science and Technology (Grant No. 2015r043), the open project of the Polar Research Institute of China (Grant No. KP201301), the Priority Academic Program Development of Jiangsu Higher Education Institutions, the Jiangsu Government Scholarship for Overseas Studies, and the China Scholarship Council. The comments of the three anonymous reviewers were greatly appreciated.</t>
  </si>
  <si>
    <t>10.1007/s00376-016-6021-2</t>
  </si>
  <si>
    <t>EM1WQ</t>
  </si>
  <si>
    <t>WOS:000395108300008</t>
  </si>
  <si>
    <t>Karppinen, EM; Stewart, KJ; Farrell, RE; Siciliano, SD</t>
  </si>
  <si>
    <t>Karppinen, Erin M.; Stewart, Katherine J.; Farrell, Richard E.; Siciliano, Steven D.</t>
  </si>
  <si>
    <t>Petroleum hydrocarbon remediation in frozen soil using a meat and bonemeal biochar plus fertilizer</t>
  </si>
  <si>
    <t>Biochar; Petroleum hydrocarbon; Remediation; Frozen soil; Landfarm</t>
  </si>
  <si>
    <t>REAL-TIME PCR; WATER-CONTENT; ARCTIC SOILS; LIQUID WATER; CONTAMINATED SOILS; ANTARCTIC SOILS; BIODEGRADATION; DEGRADATION; TEMPERATURE; BIOREMEDIATION</t>
  </si>
  <si>
    <t>Petroleum hydrocarbon (PHC) degradation slows significantly during the winter which substantially increases the time it takes to remediate soil in Arctic landfarms. The aim of this laboratory trial was to assess the potential of a meat and bonemeal (MBM) biochar to stimulate PHC degradation in contaminated soil collected from Iqaluit, Canada. Over 90 days, 3% (w/w) MBM biochar significantly increased F3 (equivalent nC(16)-C-34) PHC degradation rate constants (k) in frozen soils when compared to the fertilizer (urea and monoammonium phosphate) control. Taking into consideration extensive variability within treatments and negative k values, this difference may not reflect significant remediation. Decreasing C-17/ Pr and C-18/Ph ratios in the frozen soil suggest that this reduction is a result of microbial degradation rather than volatilization. Amendment type and application rate affected the immediate abiotic losses of F2 and F3-PHC in sterile soils, with the greatest losses occurring in compost-amended treatments in the first 24 h. In frozen soils, MBM biochar was found to increase liquid water content (theta liquid) but not nutrient supply rates. Under frozen but not thawed conditions, genes for aromatic (C-2,30 and nahAc) but not aliphatic (alkB) PHC degradation increased over time in both biochar-amended and control treatments but total viable PHC-degrading populations only increased in biochar-amended soils. Based on these results, it is possible that PHC degradation in biochar-amended soils is active and even enhanced under frozen conditions, but further investigation is required. (C) 2017 Elsevier Ltd. All rights reserved.</t>
  </si>
  <si>
    <t>[Karppinen, Erin M.; Stewart, Katherine J.; Farrell, Richard E.; Siciliano, Steven D.] Univ Saskatchewan, Dept Soil Sci, Saskatoon, SK S7N 5A8, Canada; [Siciliano, Steven D.] Univ Saskatchewan, Toxicol Grp, Saskatoon, SK S7N 5B3, Canada</t>
  </si>
  <si>
    <t>University of Saskatchewan; University of Saskatchewan</t>
  </si>
  <si>
    <t>Siciliano, SD (corresponding author), 5E26-51 Campus Dr, Saskatoon, SK, Canada.</t>
  </si>
  <si>
    <t>steven.siciliano@usask.ca</t>
  </si>
  <si>
    <t>Siciliano, Steven D/G-3370-2011</t>
  </si>
  <si>
    <t>Farrell, Richard/0000-0001-6365-3939; Siciliano, Steven/0000-0002-8994-3341; Karppinen, Erin/0000-0001-8740-3272</t>
  </si>
  <si>
    <t>Natural Science and Engineering Research Council (NSERC) Engage grant</t>
  </si>
  <si>
    <t>This research was supported by a Natural Science and Engineering Research Council (NSERC) Engage grant. We gratefully acknowledge Jim Wilson at Nunatta Environmental Services Inc. for collecting and shipping soil samples.</t>
  </si>
  <si>
    <t>10.1016/j.chemosphere.2017.01.016</t>
  </si>
  <si>
    <t>EM3KN</t>
  </si>
  <si>
    <t>WOS:000395213700037</t>
  </si>
  <si>
    <t>Luek, JL; Dickhut, RM; Cochran, MA; Falconer, RL; Kylin, H</t>
  </si>
  <si>
    <t>Luek, Jenna L.; Dickhut, Rebecca M.; Cochran, Michele A.; Falconer, Renee L.; Kylin, Henrik</t>
  </si>
  <si>
    <t>Persistent organic pollutants in the Atlantic and southern oceans and oceanic atmosphere</t>
  </si>
  <si>
    <t>POPs; Organochlorine pesticides; Air-sea flux; Hexachlorocyclohexane; Endosulfan</t>
  </si>
  <si>
    <t>HENRYS LAW CONSTANTS; ORGANOCHLORINE PESTICIDES; POLYCHLORINATED-BIPHENYLS; GAS-EXCHANGE; BIOGEOCHEMICAL CONTROLS; SURFACE SEAWATER; AIR; HEXACHLOROCYCLOHEXANES; PCBS; WATER</t>
  </si>
  <si>
    <t>Persistent organic pollutants (POPs) continue to cycle through the atmosphere and hydrosphere despite banned or severely restricted usages. Global scale analyses of POPs are challenging, but knowledge of the current distribution of these compounds is needed to understand the movement and long-term consequences of their global use. In the current study, air and seawater samples were collected Oct. 2007 Jan. 2008 aboard the Icebreaker Oden en route from Goteborg, Sweden to McMurdo Station, Antarctica. Both air and surface seawater samples consistently contained alpha-hexachlorocyclohexane (alpha-HCH), gamma-HCH, hexachlorobenzene (HCB), alpha-Endosulfan, and polychlorinated biphenyls (PCBs). Sample concentrations for most POPs in air Were higher in the northern hemisphere with the exception of HCB, which had high gas phase concentrations in the northern and sotithern latitudes and low concentrations near the equator. South Atlantic and Southern Ocean seawater had a high ratio of a-HCH to gamma-HCH, indicating persisting levels from technical grade sources. The Atlantic and Southern Ocean continue to be net sinks for atmospheric alpha-, gamma-HCH, and Endosulfan despite declining usage.(C) 2017 Elsevier B.V. All rights reserved.</t>
  </si>
  <si>
    <t>[Luek, Jenna L.; Dickhut, Rebecca M.; Cochran, Michele A.] Coll William &amp; Mary, Virginia Inst Marine Sci, Gloucester Point, VA 23062 USA; [Luek, Jenna L.] Univ Maryland, Chesapeake Biol Lab, Ctr Environm Sci, Solomons, MD 20688 USA; [Falconer, Renee L.] Colorado Sch Mines, Golden, CO 80401 USA; [Kylin, Henrik] Linkoping Univ, Dept Themat Studies Environm Change, SE-58183 Linkoping, Sweden; [Kylin, Henrik] Fram Ctr, Norwegian Inst Air Res, NO-9296 Tromso, Norway</t>
  </si>
  <si>
    <t>William &amp; Mary; Virginia Institute of Marine Science; University System of Maryland; University of Maryland Center for Environmental Science; Colorado School of Mines; Linkoping University; NILU</t>
  </si>
  <si>
    <t>Luek, JL (corresponding author), Chesapeake Biol Lab, 146 Williams St,POB 38, Solomons, MD 20688 USA.</t>
  </si>
  <si>
    <t>jluek88@gmail.com</t>
  </si>
  <si>
    <t>Kylin, Henrik/F-9819-2011</t>
  </si>
  <si>
    <t>Swedish Research Council; National Science Foundation Office of Polar Programs [0741379]; NSF Research Experience for Undergraduates [0552612]; Virginia Institute of Marine Science, College of William Mary [3605]; Directorate For Geosciences; Office of Polar Programs (OPP) [0741379] Funding Source: National Science Foundation; Division Of Ocean Sciences; Directorate For Geosciences [0552612] Funding Source: National Science Foundation</t>
  </si>
  <si>
    <t>Swedish Research Council(Swedish Research Council); National Science Foundation Office of Polar Programs(National Science Foundation (NSF)NSF - Directorate for Geosciences (GEO)); NSF Research Experience for Undergraduates(National Science Foundation (NSF)); Virginia Institute of Marine Science, College of William Mary; Directorate For Geosciences; Office of Polar Programs (OPP)(National Science Foundation (NSF)NSF - Directorate for Geosciences (GEO)); Division Of Ocean Sciences; Directorate For Geosciences(National Science Foundation (NSF)NSF - Directorate for Geosciences (GEO))</t>
  </si>
  <si>
    <t>We sincerely thank the late Rebecca M. Dickhut for her foresight, hard work, friendship and mentorship. The expedition Oden Southern Ocean 2007-2008 was organized by the Swedish Polar Research Secretariat in cooperation with the United States Antarctic Program. We thank the officers and crew of the R/V Icebreaker Oden, and Heidi Geisz and Elizabeth MacDonald for laboratory assistance. The authors gratefully acknowledge the NOAA Air Resources Laboratory (ARL) for the provision of the HYSPLIT transport and dispersion model and/or READY website (http://www.arl.noaa.gov/ready.php) used in this publication. Thanks to two reviewers for providing helpful comments. This project was funded by Swedish Research Council, the National Science Foundation Office of Polar Programs Award 0741379 and NSF Research Experience for Undergraduates Award 0552612. This paper is Contribution No. 3605 of the Virginia Institute of Marine Science, College of William &amp; Mary.</t>
  </si>
  <si>
    <t>10.1016/j.scitotenv.2016.12.189</t>
  </si>
  <si>
    <t>EL3YK</t>
  </si>
  <si>
    <t>WOS:000394556400007</t>
  </si>
  <si>
    <t>van den Ende, C; White, LT; van Welzen, PC</t>
  </si>
  <si>
    <t>van den Ende, Conrad; White, Lloyd T.; van Welzen, Peter C.</t>
  </si>
  <si>
    <t>The existence and break-up of the Antarctic land bridge as indicated by both amphi-Pacific distributions and tectonics</t>
  </si>
  <si>
    <t>GONDWANA RESEARCH</t>
  </si>
  <si>
    <t>Antarctica; Australia, disjunct distributions; Dispersal; South America; Vicariance</t>
  </si>
  <si>
    <t>GONDWANAN VICARIANCE; SOUTHERN-HEMISPHERE; MOLECULAR PHYLOGENY; BIOGEOGRAPHY; DNA; DISPERSAL; HISTORY; DIPTERA; SEA; RECONSTRUCTIONS</t>
  </si>
  <si>
    <t>Amphi-Pacific disjunct distributions between South America and Australasia are correlated with the breakup and changing palaeo-climate of Gondwana. For a long period, with a temperate climate, Antarctica formed a land bridge between Australia and South America, allowing species to disperse/vicariate between both continents. Dated phylogenies in the literature, showing sister-clades with a distribution disjunction between SouthAmerica and Australia, were used for the correlation. The initiation of the Antarctic Circumpolar Current, and a change to a colder Antarctic climate is associated with the opening of the Drake Passage between South America and Antarctica at c. 30Ma, and the final separation of Australia and Antarctica along the South Tasman Rise at c. 45 Ma. The distribution data highlighted the existence of a southern disjunct distribution pattern, which may be the result of continental vicariance/dispersal. This is strongly indicative of a connection between Antarctica, South America and Australia; which later provided a dispersal pathway and facilitated vicariance after break up. The taxa that likely dispersed/vicariated via Antarctica included all species with a more (sub) tropical climate preference. Twelve distributions, younger than 30 Ma, are interpreted as the result of long distance dispersal between South America and Australia; these taxa are suited to a temperate climate. The climatic signal shown by all taxa is possibly a consequence of the Australian plate's asynchronous rifting over tens of millions of years in combination with climate changes. These events may have provided opportunities for tropical and sub-tropical species to disperse and speciate earlier than what we observe for the more temperate taxa. Crown Copyright (C) 2016 Published by Elsevier B.V. on behalf of International Association for Gondwana Research. All rights reserved.</t>
  </si>
  <si>
    <t>[van den Ende, Conrad; van Welzen, Peter C.] Naturalis Biodivers Ctr, NL-2300 RA Leiden, Netherlands; [White, Lloyd T.] Royal Holloway Univ London, Dept Earth Sci, Southeast Asia Res Grp, Egham TW20 0EX, Surrey, England; [van Welzen, Peter C.] Leiden Univ, Inst Biol Leiden, NL-2300 RA Leiden, Netherlands</t>
  </si>
  <si>
    <t>Naturalis Biodiversity Center; University of London; Royal Holloway University London; Leiden University - Excl LUMC; Leiden University</t>
  </si>
  <si>
    <t>van Welzen, PC (corresponding author), Naturalis Biodivers Ctr, NL-2300 RA Leiden, Netherlands.</t>
  </si>
  <si>
    <t>peter.vanwelzen@naturalis.nl</t>
  </si>
  <si>
    <t>White, Lloyd/AAY-8174-2020; White, Lloyd/AAB-3357-2020; van Welzen, Peter/D-6707-2019; van Welzen, Peter Cornelis/GYR-0640-2022</t>
  </si>
  <si>
    <t>White, Lloyd/0000-0002-1829-0881;</t>
  </si>
  <si>
    <t>Naturalis Biodiversity Center; Southeast Asia Research Group</t>
  </si>
  <si>
    <t>We are grateful for the helpful cooperation we received from J. E. Richardson, D. A. Baum and M. P. Simmons, who were willing to share their data with us. We would also like to thank Graeme Eagles and three anonymous reviewers for critically evaluating this and earlier versions of our manuscript. Additionally, we kindly acknowledge the support from the Naturalis Biodiversity Center, without which this project would not be possible and C. Mennes for kindly sharing the Corsiaceae phylogeny. L. W. thanks the industrial sponsors of the Southeast Asia Research Group for their financial support as well as The Rothwell Group for providing a license for PaleoGIS plate tectonic reconstruction software.</t>
  </si>
  <si>
    <t>1342-937X</t>
  </si>
  <si>
    <t>1878-0571</t>
  </si>
  <si>
    <t>GONDWANA RES</t>
  </si>
  <si>
    <t>Gondwana Res.</t>
  </si>
  <si>
    <t>10.1016/j.gr.2016.12.006</t>
  </si>
  <si>
    <t>EQ2BX</t>
  </si>
  <si>
    <t>WOS:000397874400015</t>
  </si>
  <si>
    <t>Zmudczynska-Skarbek, K; Balazy, P</t>
  </si>
  <si>
    <t>Zmudczynska-Skarbek, Katarzyna; Balazy, Piotr</t>
  </si>
  <si>
    <t>Following the flow of ornithogenic nutrients through the Arctic marine coastal food webs</t>
  </si>
  <si>
    <t>Omithogenic nutrients; Pelagic-benthic coupling; Seabirds; Stable isotopes; Scuba diving; Arctic</t>
  </si>
  <si>
    <t>STABLE-ISOTOPE ANALYSES; TERRESTRIAL ECOSYSTEMS; TROPHIC RELATIONSHIPS; DELTA-N-15 ANALYSIS; BARENTS SEA; COMMUNITIES; NITROGEN; SPITSBERGEN; MACROALGAE; SVALBARD</t>
  </si>
  <si>
    <t>Arctic colonial seabirds are recognized as effective fertilizers of terrestrial ecosystems by delivering marine-origin nutrients to the vicinities of their nesting sites. A proportion of this ornithogenic matter is then thought to return to the sea and, concentrated within a smaller area, locally provides additional nutrients for the nearshore marine communities. The aim of this study was to assess the presence and impact of local ornithogenic enrichment on two important elements of the Arctic coastal food web: (1,) the planktonic pathway originating in the surface water, and (2) the benthic pathway based on benthic primary production. We sampled two areas in Isfjorden (Spitsbergen): one located below a coastal mixed breeding colony of guillemots and kittiwakes, and a control area not influenced by the colony. Slightly higher nitrogen stable isotope ratios (615N.) were found in particulate organic matter suspended in the surface water (POM), sedimentary organic matter (SOM) from outside the zone of dense kelp forest, and the predatory/scavenging whelks Buccinum sp. collected below the seabird colony (the components recognized as following the planktonic path). In contrast, no ornithogenic isotopic enrichment was detected in the herbivorous gastropod Margaritas helicinus or in SOM from the kelp zone (benthic path). The data are compatible with those obtained from the same location a year before, showing 615N enrichment in predatory/ scavenging hermit crabs Pagurus pubescens below the seabird, and no such changes in kelps Saccharina latissima or their presumed consumers, sea urchins Strongylocentrotus droebachiensis (Zmudczyfiska-Skarbek et al., 2015a). The results suggest that, in the conditions of periodic, short-term pulses of ornithogenic nutrient inputs to the local marine environment, which typify the short High Arctic summer, planktonic organisms are the initial organisms to incorporate these nutrients before transfer to the benthic food web via pelagic benthic coupling. However, the supply of ornithogenic resources alone is insufficient to support benthic producers and the trophic pathways based on them. Overall, the ornithogenic subsidies are not a major nutrient source for marine organisms from below the seabird colony. (C) 2016 Elsevier B.V. All rights reserved.</t>
  </si>
  <si>
    <t>[Zmudczynska-Skarbek, Katarzyna] Univ Gdansk, Dept Vertebrate Ecol &amp; Zool, Wita Stwosza 59, PL-80308 Gdansk, Poland; [Balazy, Piotr] Polish Acad Sci, Inst Oceanol, Marine Ecol Dept, Powstancow Warszawy 55, PL-81712 Sopot, Poland</t>
  </si>
  <si>
    <t>Fahrenheit Universities; University of Gdansk; Polish Academy of Sciences; Institute of Oceanology of the Polish Academy of Sciences</t>
  </si>
  <si>
    <t>Zmudczynska-Skarbek, K (corresponding author), Univ Gdansk, Dept Vertebrate Ecol &amp; Zool, Wita Stwosza 59, PL-80308 Gdansk, Poland.</t>
  </si>
  <si>
    <t>biozmud@ug.edu.pl</t>
  </si>
  <si>
    <t>Zmudczynska-Skarbek, Katarzyna/HNP-0022-2023; Balazy, Piotr/D-2949-2018</t>
  </si>
  <si>
    <t>Balazy, Piotr/0000-0002-1126-3151; Zmudczynska-Skarbek, Katarzyna/0000-0003-2276-4565</t>
  </si>
  <si>
    <t>Faculty of Biology, University of Gdansk [538-L120-B082-13, 538-L120-B605-14, 538-L120-B949-15]</t>
  </si>
  <si>
    <t>Faculty of Biology, University of Gdansk</t>
  </si>
  <si>
    <t>We thank Dr. Gilles Lepoint and Dr. Nicolas Sturaro (Laboratory of Oceanology, University of Liege, Belgium) for performing the isotopic analyses, Prof. Peter Convey (British Antarctic Survey, UK) for consultation and linguistic improvement, and the many colleagues that have contributed to our discussions. This study was supported by the Faculty of Biology, University of Gdansk to KZS (grant nos. 538-L120-B082-13, 538-L120-B605-14 and 538-L120-B949-15).</t>
  </si>
  <si>
    <t>10.1016/j.jmarsys.2016.12.006</t>
  </si>
  <si>
    <t>EN2MT</t>
  </si>
  <si>
    <t>WOS:000395845300003</t>
  </si>
  <si>
    <t>Magnusson, M; Yuen, AKL; Zhang, R; Wright, JT; Taylor, RB; Maschmeyer, T; de Nys, R</t>
  </si>
  <si>
    <t>Magnusson, Marie; Yuen, Alexander K. L.; Zhang, Rui; Wright, Jeffrey T.; Taylor, Richard B.; Maschmeyer, Thomas; de Nys, Rocky</t>
  </si>
  <si>
    <t>A comparative assessment of microwave assisted (MAE) and conventional solid-liquid (SLE) techniques for the extraction of phloroglucinol from brown seaweed</t>
  </si>
  <si>
    <t>ALGAL RESEARCH-BIOMASS BIOFUELS AND BIOPRODUCTS</t>
  </si>
  <si>
    <t>Hydrothermal liquefaction; Hydrothermal upgrading; Phenolic compounds; Biorefinery; Macroalgae; Bioproducts</t>
  </si>
  <si>
    <t>ALGA FUCUS-VESICULOSUS; PHENOLIC-COMPOUNDS; HYDROTHERMAL LIQUEFACTION; PHLOROTANNIN INDUCTION; ANTIOXIDANT ACTIVITIES; SARGASSUM-MANGAREVENSE; ASCOPHYLLUM-NODOSUM; SEASONAL-VARIATION; CHEMICAL DEFENSES; MARINE MACROALGAE</t>
  </si>
  <si>
    <t>Brown seaweeds are rich in polyphenols with a basic building block of 1,3,5-trihydroxybenzene (phloroglucinol) and were investigated as a bioresource for the extraction of polyphenols for biopolymers and bioproducts. Species of seaweed with high contents of polyphenols were identified through meta-analysis and selected for the comparative assessment of the extraction efficiency of polyphenols using microwave assisted (MAE) vs. conventional solid-liquid (SLE) extraction. Out of ten species from Australia and New Zealand screened by SLE, Carpophyllum flexuosum(8.6%) and C. plumosum(7.5%) had the highest contents of polyphenols and were selected for MAE along with commercially available Ecklonia radiata. C. flexuosum was identified as the key species for extraction of polyphenols, with a 70% increase in yield using optimized MAE (aqueous, biomass: solvent ratio 1: 30, 160 degrees C, 3 min) compared to SLE. The cell-wall bound fraction of polyphenols in brown seaweed may be larger than previously thought and is accessible through MAE. (C) 2017 Elsevier B.V. All rights reserved.</t>
  </si>
  <si>
    <t>[Magnusson, Marie; de Nys, Rocky] James Cook Univ, MACRO, Townsville, Qld 4811, Australia; [Magnusson, Marie; de Nys, Rocky] James Cook Univ, Sch Marine &amp; Trop Biol, Townsville, Qld 4811, Australia; [Yuen, Alexander K. L.; Zhang, Rui; Maschmeyer, Thomas] Univ Sydney, Sch Chem, Sydney, NSW 2006, Australia; [Wright, Jeffrey T.] Univ Tasmania, Inst Marine &amp; Antarctic Studies, Hobart, Tas 7001, Australia; [Taylor, Richard B.] Univ Auckland, Leigh Marine Lab, Warkworth 0941, New Zealand</t>
  </si>
  <si>
    <t>James Cook University; James Cook University; University of Sydney; University of Tasmania; University of Auckland</t>
  </si>
  <si>
    <t>Magnusson, M (corresponding author), James Cook Univ, MACRO, Townsville, Qld 4811, Australia.;Magnusson, M (corresponding author), James Cook Univ, Sch Marine &amp; Trop Biol, Townsville, Qld 4811, Australia.</t>
  </si>
  <si>
    <t>marie.magnusson@jcu.edu.au</t>
  </si>
  <si>
    <t>Taylor, Richard B/D-2332-2009; Yuen, Alexander K L/R-1119-2016; Maschmeyer, Thomas/H-5993-2015; de Nys, Rocky/D-6741-2012; Wright, Jeffrey/J-7536-2014; Magnusson, Marie/D-8996-2012</t>
  </si>
  <si>
    <t>Maschmeyer, Thomas/0000-0001-8494-9907; de Nys, Rocky/0000-0003-3869-4928; Wright, Jeffrey/0000-0002-1085-4582; Magnusson, Marie/0000-0002-3141-8544; Yuen, Alexander/0000-0002-6908-8851</t>
  </si>
  <si>
    <t>Australian Government through the Advanced Manufacturing Cooperative Research Centre (AM-CRC) through Australian Government's Cooperative Research Centre Scheme [DP109602]; Science and Industry Endowment Fund [SIEF RP03-028]</t>
  </si>
  <si>
    <t>Australian Government through the Advanced Manufacturing Cooperative Research Centre (AM-CRC) through Australian Government's Cooperative Research Centre Scheme(Australian GovernmentDepartment of Industry, Innovation and ScienceCooperative Research Centres (CRC) Programme); Science and Industry Endowment Fund</t>
  </si>
  <si>
    <t>This research is part of the MBD Energy Research and Development program for Biological Carbon Capture and Storage. The project is supported by the Australian Government through the Advanced Manufacturing Cooperative Research Centre (AM-CRC), funded through the Australian Government's Cooperative Research Centre Scheme (DP109602). This research was also funded by the Science and Industry Endowment Fund (SIEF RP03-028). The funding bodies had no role in the study design; in the collection, analysis and interpretation of data; or in the writing of the report. MBD Energy agrees with the decision to submit the article for publication. We thank Dr. Marco Noe for his assistance with and discussions of focused microwave procedures, and Veronique Mocellin and Muhammad Azmi Abdul Wahab for assistance with biomass processing.</t>
  </si>
  <si>
    <t>2211-9264</t>
  </si>
  <si>
    <t>ALGAL RES</t>
  </si>
  <si>
    <t>Algal Res.</t>
  </si>
  <si>
    <t>10.1016/j.algal.2017.01.002</t>
  </si>
  <si>
    <t>EP6BJ</t>
  </si>
  <si>
    <t>WOS:000397462700004</t>
  </si>
  <si>
    <t>What are our data and specimens worth?</t>
  </si>
  <si>
    <t>10.1017/S0954102017000086</t>
  </si>
  <si>
    <t>WOS:000396346900001</t>
  </si>
  <si>
    <t>Kloster, M; Esper, O; Kauer, G; Beszteri, B</t>
  </si>
  <si>
    <t>Kloster, Michael; Esper, Oliver; Kauer, Gerhard; Beszteri, Bank</t>
  </si>
  <si>
    <t>Large-Scale Permanent Slide Imaging and Image Analysis for Diatom Morphometrics</t>
  </si>
  <si>
    <t>APPLIED SCIENCES-BASEL</t>
  </si>
  <si>
    <t>slide scanning; virtual slide; SHERPA; Fragilariopsis kerguelensis; microscopy; Metafer</t>
  </si>
  <si>
    <t>SOUTHERN-OCEAN; FRAGILARIOPSIS</t>
  </si>
  <si>
    <t>Light microscopy analysis of diatom frustules is widely used in basic and applied research, notably taxonomy, morphometrics, water quality monitoring and paleo-environmental studies. Although there is a need for automation in these applications, various developments in image processing and analysis methodology supporting these tasks have not become widespread in diatom-based analyses. We have addressed this issue by combining our automated diatom image analysis software SHERPA with a commercial slide-scanning microscope. The resulting workflow enables mass-analyses of a broad range of morphometric features from individual frustules mounted on permanent slides. Extensive automation and internal quality control of the results helps to minimize user intervention, but care was taken to allow the user to stay in control of the most critical steps (exact segmentation of valve outlines and selection of objects of interest) using interactive functions for reviewing and revising results. In this contribution, we describe our workflow and give an overview of factors critical for success, ranging from preparation and mounting through slide scanning and autofocus finding to final morphometric data extraction. To demonstrate the usability of our methods we finally provide an example application by analysing Fragilariopsis kerguelensis valves originating from a sediment core, which substantially extends the size range reported in the literature.</t>
  </si>
  <si>
    <t>[Kloster, Michael; Esper, Oliver; Beszteri, Bank] Alfred Wegener Inst, Helmholtz Zentrum Polar &amp; Meeresforsch, Hustedt Diatom Study Ctr, Sect Polar Biol Oceanog, Handelshafen 12, D-27570 Bremerhaven, Germany; [Kloster, Michael; Kauer, Gerhard] Hsch Emden Leer, Constantiapl 4, D-26723 Emden, Germany</t>
  </si>
  <si>
    <t>Beszteri, B (corresponding author), Alfred Wegener Inst, Helmholtz Zentrum Polar &amp; Meeresforsch, Hustedt Diatom Study Ctr, Sect Polar Biol Oceanog, Handelshafen 12, D-27570 Bremerhaven, Germany.</t>
  </si>
  <si>
    <t>michael.kloster@awi.de; Oliver.Esper@awi.de; gerhard.kauer@hs-emden-leer.de; bank.beszteri@awi.de</t>
  </si>
  <si>
    <t>Beszteri, Bank/D-1961-2010</t>
  </si>
  <si>
    <t>Beszteri, Bank/0000-0002-6852-1588; Kloster, Michael/0000-0001-9244-4925; Esper, Oliver/0000-0002-4342-3471</t>
  </si>
  <si>
    <t>Deutsche Forschungsgemeinschaft (DFG) [1158, BE4316/4-1, KA1655/3-1]</t>
  </si>
  <si>
    <t>This work was supported by the Deutsche Forschungsgemeinschaft (DFG) in the framework of the priority programme 1158 Antarctic Research with comparative investigations in Arctic ice areas by grant nr. BE4316/4-1, KA1655/3-1.</t>
  </si>
  <si>
    <t>2076-3417</t>
  </si>
  <si>
    <t>APPL SCI-BASEL</t>
  </si>
  <si>
    <t>Appl. Sci.-Basel</t>
  </si>
  <si>
    <t>10.3390/app7040330</t>
  </si>
  <si>
    <t>Chemistry, Multidisciplinary; Engineering, Multidisciplinary; Materials Science, Multidisciplinary; Physics, Applied</t>
  </si>
  <si>
    <t>Chemistry; Engineering; Materials Science; Physics</t>
  </si>
  <si>
    <t>EZ1CW</t>
  </si>
  <si>
    <t>WOS:000404447600020</t>
  </si>
  <si>
    <t>Southwell, C; Emmerson, L; Takahashi, A; Kato, A; Barbraud, C; Delord, K; Weimerskirch, H</t>
  </si>
  <si>
    <t>Southwell, Colin; Emmerson, Louise; Takahashi, Akinori; Kato, Akiko; Barbraud, Christophe; Delord, Karine; Weimerskirch, Henri</t>
  </si>
  <si>
    <t>Recent studies overestimate colonization and extinction events for Adelie Penguin breeding colonies</t>
  </si>
  <si>
    <t>Antarctica; high-resolution satellite imagery; historical data; metapopulation dynamics; occupancy</t>
  </si>
  <si>
    <t>LOCAL EXTINCTION; SEABIRD METAPOPULATIONS; EMPEROR PENGUINS; WINDMILL ISLANDS; ANTARCTICA; POPULATIONS; SIZE; IMAGERY; CENSUS; ARDERY</t>
  </si>
  <si>
    <t>Modeling metapopulation dynamics is potentially a useful and powerful tool for ecologists and conservation biologists. However, the key processes driving metapopulation dynamics are colonization and extinction events, which are notoriously difficult to study. A recent global assessment of Adelie Penguin (Pygoscelis adeliae) breeding populations reported multiple potential colonization and extinction events from occupancy observations using recent high-resolution satellite imagery and examination of historical occupancy literature, but emphasized that the events should be confirmed with direct observations. We evaluated these conclusions by developing a comprehensive database of direct observations of Adelie Penguin breeding site occupancy across East Antarctica. The database allowed 16 of 19 proposed colonization and extinction events in this region to be evaluated using direct observations that were concurrent in space and time (same breeding season) with observations from satellite imagery. We concluded that none of the 16 proposed colonization and extinction events had occurred. One true extinction event may have been correctly identified from satellite imagery, but a conclusive evaluation was not possible because the direct and satellite observations were not concurrent in time. The evaluation identified several sources of error in observations from satellite imagery, including errors of omission through failure to detect small colonies and errors of commission through misidentification of other biological and physical features as Adelie Penguin guano. The occupancy database corrected issues of poor precision and accuracy in locations of historical occupancy data. Our results improve understanding of key parameters for Adelie Penguin metapopulation dynamics and facilitate improved interpretation of satellite imagery in the future.</t>
  </si>
  <si>
    <t>[Southwell, Colin; Emmerson, Louise] Australian Antarctic Div, Dept Environm, Kingston, Tas, Australia; [Takahashi, Akinori; Kato, Akiko] Natl Inst Polar Res, Tachikawa, Tokyo, Japan; [Kato, Akiko; Barbraud, Christophe; Delord, Karine; Weimerskirch, Henri] Ctr Etudes Biol Chize, Stn Ecol Chize La Rochelle, Villiers En Bois, France</t>
  </si>
  <si>
    <t>Australian Antarctic Division; Research Organization of Information &amp; Systems (ROIS); National Institute of Polar Research (NIPR) - Japan</t>
  </si>
  <si>
    <t>Southwell, C (corresponding author), Australian Antarctic Div, Dept Environm, Kingston, Tas, Australia.</t>
  </si>
  <si>
    <t>colin.southwell@aad.gov.au</t>
  </si>
  <si>
    <t>Weimerskirch, Henri/K-7306-2019; Barbraud, Christophe/A-5870-2012; Kato, Akiko/W-2447-2019; Weimerskirch, Henri/F-5562-2013</t>
  </si>
  <si>
    <t>Weimerskirch, Henri/0000-0002-0457-586X; Barbraud, Christophe/0000-0003-0146-212X; Kato, Akiko/0000-0002-8947-3634; Takahashi, Akinori/0000-0002-9868-0408</t>
  </si>
  <si>
    <t>Australian Antarctic Program [2722, 4087, 4088]; Japanese Antarctic Research Expeditions [AMB1, AP12]; Institut Paul Emile Victor (IPEV program) [109]; Zone Atelier Antarctique (CNRS-INEE); Terres Australes et Antarctiques Francaises</t>
  </si>
  <si>
    <t>Australian Antarctic Program; Japanese Antarctic Research Expeditions; Institut Paul Emile Victor (IPEV program); Zone Atelier Antarctique (CNRS-INEE); Terres Australes et Antarctiques Francaises</t>
  </si>
  <si>
    <t>This work was supported by the Australian Antarctic Program (recently under AAS projects 2722, 4087, and 4088), the Japanese Antarctic Research Expeditions (recently under programs AMB1 and AP12), and the Institut Paul Emile Victor (IPEV program 109), Zone Atelier Antarctique (CNRS-INEE), and Terres Australes et Antarctiques Francaises. None of the supporters had any influence on the content of the submitted or published manuscript nor required approval of the final manuscript to be published.</t>
  </si>
  <si>
    <t>AMER ORNITHOLOGISTS UNION</t>
  </si>
  <si>
    <t>LAWRENCE</t>
  </si>
  <si>
    <t>ORNITHOLOGICAL SOC NORTH AMER PO BOX 1897, LAWRENCE, KS 66044-8897 USA</t>
  </si>
  <si>
    <t>0004-8038</t>
  </si>
  <si>
    <t>10.1642/AUK-16-125.1</t>
  </si>
  <si>
    <t>EI1AB</t>
  </si>
  <si>
    <t>WOS:000392206100005</t>
  </si>
  <si>
    <t>Carapelli, A; Convey, P; Frati, F; Spinsanti, G; Fanciulli, PP</t>
  </si>
  <si>
    <t>Carapelli, Antonio; Convey, Peter; Frati, Francesco; Spinsanti, Giacomo; Fanciulli, Pietro P.</t>
  </si>
  <si>
    <t>Population genetics of three sympatric springtail species (Hexapoda: Collembola) from the South Shetland Islands: evidence for a common biogeographic pattern</t>
  </si>
  <si>
    <t>BIOLOGICAL JOURNAL OF THE LINNEAN SOCIETY</t>
  </si>
  <si>
    <t>Antarctica; biogeography; collembola; evolutionary origin</t>
  </si>
  <si>
    <t>VICTORIA LAND; CRYPTOPYGUS-ANTARCTICUS; DNA-SEQUENCES; HISTORY; LIFE; GROWTH; DIVERSITY; PENINSULA; RECORD; FAUNA</t>
  </si>
  <si>
    <t>Three sympatric springtail species, from the South Shetland Islands archipelago in the maritime Antarctic, are analysed here in a common biogeographic and evolutionary framework. This study was designed to compare their population genetic structure using the same molecular marker. Haplotype data for the mitochondrial cox1 gene have been obtained for seven populations of Folsomotoma octooculata and are compared with the data obtained, in previous studies and the current one, for the sympatric species Cryptopygus antarcticus antarcticus, and Friesea grisea. Molecular data obtained are consistent with the hypothesis that all species have been present in the archipelago since well before the last glacial maximum (around 20 000 ybp) and that their early diversifications appear to be linked with known interglacial periods in the region. These springtails may have survived the last glacial cycle in local refugia, from which they dispersed subsequently to ice-free ground re-exposed during the current interglacial period. The populations of the different species diversified at different times, although all of them are within the Pleistocene epoch. We propose that the earliest diversification of haplotypes in all three springtails in this archipelago occurred from local refugia in Livingston I., with subsequent spread of some haplotypes throughout the South Shetland Islands.</t>
  </si>
  <si>
    <t>[Carapelli, Antonio; Frati, Francesco; Spinsanti, Giacomo; Fanciulli, Pietro P.] Univ Siena, Dept Life Sci, Via Aldo Moro 2, I-53100 Siena, Italy; [Convey, Peter] British Antarctic Survey, Madingley Rd, Cambridge CB3 0ET, England</t>
  </si>
  <si>
    <t>University of Siena; UK Research &amp; Innovation (UKRI); Natural Environment Research Council (NERC); NERC British Antarctic Survey</t>
  </si>
  <si>
    <t>Carapelli, A (corresponding author), Univ Siena, Dept Life Sci, Via Aldo Moro 2, I-53100 Siena, Italy.</t>
  </si>
  <si>
    <t>antonio.carapelli@unisi.it</t>
  </si>
  <si>
    <t>Convey, Peter/AAV-5728-2020; Carapelli, Antonio/H-9216-2019</t>
  </si>
  <si>
    <t>Convey, Peter/0000-0001-8497-9903; Carapelli, Antonio/0000-0002-3165-9620</t>
  </si>
  <si>
    <t>Italian National Antarctic Research Program (PNRA); Italian MIUR (PRIN); University of Siena; NERC; NERC [bas0100036] Funding Source: UKRI</t>
  </si>
  <si>
    <t>Italian National Antarctic Research Program (PNRA)(Ministry of Education, Universities and Research (MIUR)); Italian MIUR (PRIN)(Ministry of Education, Universities and Research (MIUR)Research Projects of National Relevance (PRIN)); University of Siena; NERC(UK Research &amp; Innovation (UKRI)Natural Environment Research Council (NERC)); NERC(UK Research &amp; Innovation (UKRI)Natural Environment Research Council (NERC))</t>
  </si>
  <si>
    <t>This work was funded by the Italian National Antarctic Research Program (PNRA) and the Italian MIUR (PRIN). The logistic support of the BAS and HMS Endurance was crucial for the collection of the material. Partial support was also provided by the University of Siena. We thank three anonymous reviewers for their constructive and helpful comments. We also thank Dr. Alessandro Manenti for his assistance in the collection of data. PC is supported by NERC core funding to the BAS 'Biodiversity, Evolution and Adaptation' Team. This paper also contributes to the Scientific Committee on Antarctic Research 'State of the Antarctic Ecosystem' (AntEco) international research programme.</t>
  </si>
  <si>
    <t>0024-4066</t>
  </si>
  <si>
    <t>1095-8312</t>
  </si>
  <si>
    <t>BIOL J LINN SOC</t>
  </si>
  <si>
    <t>Biol. J. Linnean Soc.</t>
  </si>
  <si>
    <t>Evolutionary Biology</t>
  </si>
  <si>
    <t>EU3QE</t>
  </si>
  <si>
    <t>Green Submitted, Bronze, Green Accepted</t>
  </si>
  <si>
    <t>WOS:000400945300005</t>
  </si>
  <si>
    <t>Truzzi, C; Illuminati, S; Annibaldi, A; Antonucci, M; Scarponi, G</t>
  </si>
  <si>
    <t>Truzzi, C.; Illuminati, S.; Annibaldi, A.; Antonucci, M.; Scarponi, G.</t>
  </si>
  <si>
    <t>Quantification of fatty acids in the muscle of Antarctic fish Trematomus bernacchii by gas chromatography-mass spectrometry: Optimization of the analytical methodology</t>
  </si>
  <si>
    <t>Lipid profile; Trematomus bernacchii; Muscle; Microwave-assisted extraction; Fatty acids quantification; Gas chromatography-mass spectrometry</t>
  </si>
  <si>
    <t>DIPHENYL ETHERS PBDES; MYTILUS-EDULIS L.; LIPID-CONTENT; SOXHLET EXTRACTION; METHYL-ESTERS; FOOD; PRODUCTS; OILS; SEA; PURIFICATION</t>
  </si>
  <si>
    <t>This work presents data on the quantification of fatty acids (FAs, in terms of mass unit per tissue weight) in the muscle of Trematomus bernacchii, a key species in Antarctica, often used as bioindicator for contamination studies. Modifications in fatty acids content should be considered a useful biomarker to study how contaminants affect Antarctic biota. Until now, very few studies quantified fatty acids of muscle of T bernacchii, and only as percentage of a single fatty acid on total lipids. To perform the quantification of fatty acids, we used an analytical method based on a fast microwave-assisted extraction of lipids from a lyophilized sample, a base-catalyzed trans-esterification of lipid extract to obtain Fatty Acids Methyl Esters (FAMEs), and a separation and identification of FAMEs by gas chromatography-mass spectrometry. With the optimized and validated method, a fast and accurate separation of Fatty Acids Methyl Esters was performed in 43 min. The linearity was checked up to about 320 mu g mL(-1); limit of detection and limit of quantification are in the range 4-22 mu g mL(-1) and 13-66 mu g mL(-1), respectively. The optimized method showed a good accuracy and precision. Major fatty acids were 14:0, 16:0, 16:1n7, 18:1n9, 18:1n7, 20:1n9, 20:5n3 and 22:6n3. Quantified FM compute for about 47 mg g(-1) tissue dry weight (dw), with 9.1 +/- 0.1 mg g(-1) dw of saturated FAs, 25.5 +/- 0.1 mg g(-1) dw of mono-unsaturated FAs, and 12.2 +/- 0.1 mg g(-1) dw of poly-unsaturated FM.(C) 2017 Elsevier Ltd. All rights reserved.</t>
  </si>
  <si>
    <t>[Truzzi, C.; Illuminati, S.; Annibaldi, A.; Antonucci, M.; Scarponi, G.] Univ Politecn Marche, Dept Life &amp; Environm Sci, Via Brecce Bianche, I-60131 Ancona, Italy</t>
  </si>
  <si>
    <t>Marche Polytechnic University</t>
  </si>
  <si>
    <t>Truzzi, C (corresponding author), Univ Politecn Marche, Dept Life &amp; Environm Sci, Via Brecce Bianche, I-60131 Ancona, Italy.</t>
  </si>
  <si>
    <t>c.truzzi@univpm.it</t>
  </si>
  <si>
    <t>Illuminati, Silvia/T-7873-2019; Scarponi, Giuseppe/AAQ-6394-2021; Illuminati, Silvia/GXZ-5038-2022</t>
  </si>
  <si>
    <t>Illuminati, Silvia/0000-0001-6465-5477; Scarponi, Giuseppe/0000-0003-2932-0596; Antonucci, Matteo/0000-0003-1466-9162</t>
  </si>
  <si>
    <t>Italian Ministry of Education, Universities and Research (project Assessment and evolution of the chemical contamination by organic and inorganic constituents in Antarctic coastal areas - National Program for Antarctic Research PNRA) [2013/AZ2.01]</t>
  </si>
  <si>
    <t>Italian Ministry of Education, Universities and Research (project Assessment and evolution of the chemical contamination by organic and inorganic constituents in Antarctic coastal areas - National Program for Antarctic Research PNRA)</t>
  </si>
  <si>
    <t>Financial support from the Italian Ministry of Education, Universities and Research (project 2013/AZ2.01 Assessment and evolution of the chemical contamination by organic and inorganic constituents in Antarctic coastal areas, funded under the National Program for Antarctic Research PNRA) is gratefully acknowledged. Many thanks are due to the technical staff of ENEA (Ente Nazionale Energia e Ambiente) at Terra Nova Bay and to the scientists of the Antarctic expedition for the sampling activities on site.</t>
  </si>
  <si>
    <t>10.1016/j.chemosphere.2016.12.140</t>
  </si>
  <si>
    <t>WOS:000395213700013</t>
  </si>
  <si>
    <t>Traversi, R; Becagli, S; Brogioni, M; Caiazzo, L; Ciardini, V; Giardi, F; Legrand, M; Macelloni, G; Petkov, B; Preunkert, S; Scarchilli, C; Severi, M; Vitale, V; Udisti, R</t>
  </si>
  <si>
    <t>Traversi, R.; Becagli, S.; Brogioni, M.; Caiazzo, L.; Ciardini, V.; Giardi, F.; Legrand, M.; Macelloni, G.; Petkov, B.; Preunkert, S.; Scarchilli, C.; Severi, M.; Vitale, V.; Udisti, R.</t>
  </si>
  <si>
    <t>Multi-year record of atmospheric and snow surface nitrate in the central Antarctic plateau</t>
  </si>
  <si>
    <t>Nitrate; Aerosol; Surface snow; Antarctica; Dome C; Stratosphere-troposphere exchange</t>
  </si>
  <si>
    <t>DOME-C; REACTIVE NITROGEN; TRANSPORT PROCESSES; TRACE-ELEMENTS; SIMPLE-MODEL; SOUTH-POLE; ICE CORES; AEROSOL; AIR; GREENLAND</t>
  </si>
  <si>
    <t>Continuous all year-round samplings of atmospheric aerosol and surface snow at high (daily to 4-day) resolution were carried out at Dome C since 2004-05 to 2013 and nitrate records are here presented. Basing on a larger statistical data set than previous studies, results confirm that nitrate seasonal pattern is characterized by maxima during austral summer for both aerosol and surface snow, occurring in-phase with solar UV irradiance. This temporal pattern is likely due to a combination of nitrate sources and post-depositional processes whose intensity usually enhances during the summer. Moreover, it should be noted that a case study of the synoptic conditions, which took place during a major nitrate event, showed the occurrence of a stratosphere-troposphere exchange. The sampling of both matrices at the same time with high resolution allowed the detection of a an about one-month long recurring lag of summer maxima in snow with respect to aerosol. This result can be explained by deposition and post-deposition processes occurring at the atmosphere-snow interface, such as a net uptake of gaseous nitric acid and a replenishment of the uppermost surface layers driven by a larger temperature gradient in summer. This hypothesis was preliminarily tested by a comparison with surface layers temperature data in the 2012-13 period. The analysis of the relationship between the nitrate concentration in the gas phase and total nitrate obtained at Dome C (2012-13) showed the major role of gaseous HNO3 to the total nitrate budget suggesting the need to further investigate the gas-to-particle conversion processes. (C) 2017 Elsevier Ltd. All rights reserved.</t>
  </si>
  <si>
    <t>[Traversi, R.; Becagli, S.; Caiazzo, L.; Giardi, F.; Severi, M.; Udisti, R.] Univ Florence, Dept Chem Ugo Schiff, Florence, Italy; [Brogioni, M.; Macelloni, G.] IFAC, CNR, Florence, Italy; [Ciardini, V.; Scarchilli, C.] ENEA, SSPT PROTER OAC, Lab Observat &amp; Analyses Earth &amp; Climate, Rome, Italy; [Legrand, M.; Preunkert, S.] Univ Grenoble Alpes, CNRS, LGGE, Grenoble, France; [Petkov, B.; Vitale, V.; Udisti, R.] CNR, ISAC, Bologna, Italy</t>
  </si>
  <si>
    <t>University of Florence; Consiglio Nazionale delle Ricerche (CNR); Istituto di Fisica Applicata Nello Carrara (IFAC-CNR); Italian National Agency New Technical Energy &amp; Sustainable Economics Development; Communaute Universite Grenoble Alpes; Universite Grenoble Alpes (UGA); Centre National de la Recherche Scientifique (CNRS); Consiglio Nazionale delle Ricerche (CNR); Istituto di Scienze dell'Atmosfera e del Clima (ISAC-CNR)</t>
  </si>
  <si>
    <t>Traversi, R (corresponding author), Univ Florence, Dept Chem Ugo Schiff, Florence, Italy.</t>
  </si>
  <si>
    <t>Legrand, Michel/AAU-4678-2020; Petkov, Valery/AAL-2759-2021; Caiazzo, Laura/AAT-1502-2020; Giardi, Fabio/AAP-1091-2020; Macelloni, Giovanni/B-7518-2015; Severi, Mirko/J-2508-2012; Becagli, Silvia/GNW-2665-2022; Brogioni, Marco/Q-6583-2019; vitale, vito/AAW-8441-2021</t>
  </si>
  <si>
    <t>Caiazzo, Laura/0000-0001-7932-2499; Giardi, Fabio/0000-0003-0291-7800; Brogioni, Marco/0000-0001-6232-6020; Petkov, Boyan/0000-0002-8328-340X; MACELLONI, GIOVANNI/0000-0002-9738-7939; vitale, vito/0000-0003-0978-8976; Scarchilli, Claudio/0000-0002-2414-2439</t>
  </si>
  <si>
    <t>MIUR [2009/A2.21, 2010/A3.05, 2013/AC3.07, 2009/A3.05]; French-Italian Concordia Station; Institut Polaire Francais-Paul Emile Victor (IPEV) [903]; NSF [ANT-0944018, ANT-1245663]</t>
  </si>
  <si>
    <t>MIUR(Ministry of Education, Universities and Research (MIUR)); French-Italian Concordia Station; Institut Polaire Francais-Paul Emile Victor (IPEV); NSF(National Science Foundation (NSF))</t>
  </si>
  <si>
    <t>This research was performed in the framework of the Air-Glacs1181 Station Concordia project, which was funded by the MIUR through the Italian 'Programma Nazionale di Ricerche in Antartide' (PNRA) and in the framework of 'PRIDE' (2009/A2.21), IDECA-POL' (2010/A3.05), MAISARS (2013/AC3.07), MAPNIE (2009/A3.05) PNRA projects. The field operations benefited from the support of the French-Italian Concordia Station. French financial support and field logistic supplies for the year-round campaigns at Dome C were provided by the Institut Polaire Francais-Paul Emile Victor (IPEV) through program no 903. Meteorological data and information were obtained from IPEV/PNRA Project Routine Meteorological Observation at Station Concordia www.climantartide.it. Moreover, the authors appreciate the support of the AMRC, SSEC, UW-Madison for the data set, NSF grant numbers ANT-0944018 and ANT-1245663.</t>
  </si>
  <si>
    <t>10.1016/j.chemosphere.2016.12.143</t>
  </si>
  <si>
    <t>EK6VX</t>
  </si>
  <si>
    <t>WOS:000394065200040</t>
  </si>
  <si>
    <t>Smith, KL; Polvani, LM</t>
  </si>
  <si>
    <t>Smith, Karen L.; Polvani, Lorenzo M.</t>
  </si>
  <si>
    <t>Spatial patterns of recent Antarctic surface temperature trends and the importance of natural variability: lessons from multiple reconstructions and the CMIP5 models</t>
  </si>
  <si>
    <t>Antarctic climate change; Climate variability; Coupled climate models</t>
  </si>
  <si>
    <t>SOUTHERN ANNULAR MODE; SEA-ICE TRENDS; WEST ANTARCTICA; CLIMATE VARIABILITY; CIRCULATION CHANGES; OZONE; OCEAN; SENSITIVITY; THWAITES</t>
  </si>
  <si>
    <t>The recent annually averaged warming of the Antarctic Peninsula, and of West Antarctica, stands in stark contrast to very small trends over East Antarctica. This asymmetry arises primarily from a highly significant warming of West Antarctica in austral spring and a cooling of East Antarctica in austral autumn. Here we examine whether this East-West asymmetry is a response to anthropogenic climate forcings or a manifestation of natural climate variability. We compare the observed Antarctic surface air temperature trends over two distinct time periods (1960-2005 and 1979-2005), and with those simulated by 40 models participating in Phase 5 of the Coupled Model Intercomparison Project (CMIP5). We find that the observed East-West asymmetry differs substantially between the two periods and, furthermore, that it is completely absent from the forced response seen in the CMIP5 multi-model mean, from which all natural variability is eliminated by the averaging. We also examine the relationship between the Southern Annular mode (SAM) and Antarctic temperature trends, in both models and reanalyses, and again conclude that there is little evidence of anthropogenic SAM-induced driving of the recent temperature trends. These results offer new, compelling evidence pointing to natural climate variability as a key contributor to the recent warming of West Antarctica and of the Peninsula.</t>
  </si>
  <si>
    <t>[Smith, Karen L.] Lamont Doherty Earth Observ, Div Ocean &amp; Climate Phys, Palisades, NY 10964 USA; [Polvani, Lorenzo M.] Columbia Univ, Dept Appl Phys &amp; Appl Math, Dept Earth &amp; Environm Sci, New York, NY USA</t>
  </si>
  <si>
    <t>Columbia University; Columbia University</t>
  </si>
  <si>
    <t>Smith, KL (corresponding author), Lamont Doherty Earth Observ, Div Ocean &amp; Climate Phys, Palisades, NY 10964 USA.</t>
  </si>
  <si>
    <t>ksmith@ldeo.columbia.edu</t>
  </si>
  <si>
    <t>Polvani, Lorenzo M/E-5949-2011</t>
  </si>
  <si>
    <t>Smith, Karen/0000-0002-4652-6310</t>
  </si>
  <si>
    <t>National Science Foundation (NSF); Natural Sciences and Engineering Research Council of Canada (NSERC)</t>
  </si>
  <si>
    <t>National Science Foundation (NSF)(National Science Foundation (NSF)); Natural Sciences and Engineering Research Council of Canada (NSERC)(Natural Sciences and Engineering Research Council of Canada (NSERC))</t>
  </si>
  <si>
    <t>This work is funded, in part, by a grant from the National Science Foundation (NSF) to Columbia University. KLS is also funded by a Natural Sciences and Engineering Research Council of Canada (NSERC) Postdoctoral Fellowship. We acknowledge the World Climate Research Programme Working Group on Coupled Modelling, which is responsible for CMIP, and we thank the climate modelling groups for producing and making available their model output. For CMIP the U.S. Department of Energy Program for Climate Model Diagnosis and Intercomparison provides coordinating support and led development of software infrastructure in partnership with the Global Organization for Earth System Science Portals. The authors wish to express their gratitude to David Schneider for several eye-opening conversations and to Andrew Monaghan for providing his updated Antarctic temperature reconstruction. KLS would also like to thank Michael Previdi, Gabriel Chiodo and Abraham Solomon. CMIP5 data for this article was obtained online via the Earth System Grid portal, the CHAPMAN data was obtained at http://igloo.atmos.uiuc.edu/ANTARCTIC, the GISTEMP data was obtained at http://www.esrl.noaa.gov/psd/data/gridded/, the M10 data was made available to us by request from A. Monaghan (monaghan@ucar.edu), and the Steig data was obtained at http://faculty.washington.edu/steig/nature09data/data.</t>
  </si>
  <si>
    <t>10.1007/s00382-016-3230-4</t>
  </si>
  <si>
    <t>WOS:000398926400033</t>
  </si>
  <si>
    <t>Haver, SM; Klinck, H; Nieukirk, SL; Matsumoto, H; Dziak, RP; Miksis-Olds, JL</t>
  </si>
  <si>
    <t>Haver, Samara M.; Klinck, Holger; Nieukirk, Sharon L.; Matsumoto, Haru; Dziak, Robert P.; Miksis-Olds, Jennifer L.</t>
  </si>
  <si>
    <t>The not-so-silent world: Measuring Arctic, Equatorial, and Antarctic soundscapes in the Atlantic Ocean</t>
  </si>
  <si>
    <t>Soundscapes; Ocean ambient sound; Atlantic Ocean; Masking</t>
  </si>
  <si>
    <t>AMBIENT NOISE; RIGHT WHALES; MARINE; BLUE; CETACEANS; INCREASES; NETWORK; AIRGUNS; THREATS; WATERS</t>
  </si>
  <si>
    <t>Anthropogenic noise in the ocean has been shown, under certain conditions, to influence the behavior and health of marine mammals. Noise from human activities may interfere with the low-frequency acoustic communication of many Mysticete species, including blue (Balaenoptera musculus) and fin whales (B. physalus). This study analyzed three soundscapes in the Atlantic Ocean, from the Arctic to the Antarctic, to document ambient sound. For 16 months beginning in August 2009, acoustic data (15-100 Hz) were collected in the Fram Strait (79 degrees N, 5.5 degrees E), near Ascension Island (8 degrees S, 14.4 degrees W) and in the Bransfield Strait (62 degrees S, 55.5 degrees W). Results indicate (1) the highest overall sound levels were measured in the equatorial Atlantic, in association with high levels of seismic oil and gas exploration, (2) compared to the tropics, ambient sound levels in polar regions are more seasonally variable, and (3) individual elements beget the seasonal and annual variability of ambient sound levels in high latitudes. Understanding how the variability of natural and manmade contributors to sound may elicit differences in ocean soundscapes is essential to developing strategies to manage and conserve marine ecosystems and animals.</t>
  </si>
  <si>
    <t>[Haver, Samara M.; Klinck, Holger; Nieukirk, Sharon L.; Matsumoto, Haru] Oregon State Univ, Cooperat Inst Marine Resources Studies, 2030 SE Marine Sci Dr, Newport, OR 97365 USA; [Haver, Samara M.; Klinck, Holger; Nieukirk, Sharon L.; Matsumoto, Haru] NOAA, Pacific Marine Environm Lab, Hatfield Marine Sci Ctr, 2030 SE Marine Sci Dr, Newport, OR 97365 USA; [Klinck, Holger] Cornell Univ, Bioacoust Res Program, Cornell Lab Ornithol, 159 Sapsucker Woods Rd, Ithaca, NY 14850 USA; [Dziak, Robert P.] NOAA, Pacific Marine Environm Lab, Hatfield Marine Sci Ctr, 2115 Marine Sci Dr, Newport, OR 97365 USA; [Miksis-Olds, Jennifer L.] Sch Marine Sci &amp; Ocean Engn, Ctr Coastal &amp; Ocean Mapping, Jere A Chase Ocean Engn Lab, 24 Colovos Rd, Durham, NH 03824 USA</t>
  </si>
  <si>
    <t>Oregon State University; National Oceanic Atmospheric Admin (NOAA) - USA; Cornell University; National Oceanic Atmospheric Admin (NOAA) - USA</t>
  </si>
  <si>
    <t>Haver, SM (corresponding author), Oregon State Univ, Cooperat Inst Marine Resources Studies, 2030 SE Marine Sci Dr, Newport, OR 97365 USA.;Haver, SM (corresponding author), NOAA, Pacific Marine Environm Lab, Hatfield Marine Sci Ctr, 2030 SE Marine Sci Dr, Newport, OR 97365 USA.</t>
  </si>
  <si>
    <t>samara.haver@noaa.gov</t>
  </si>
  <si>
    <t>Klinck, Holger/X-5214-2019; Dziak, Robert/AAC-6107-2020; Manfredini, Giuliani/AAS-3554-2020; Matsumoto, Haru/J-6812-2017</t>
  </si>
  <si>
    <t>Klinck, Holger/0000-0003-1078-7268; Matsumoto, Haru/0000-0002-0202-4060; Haver, Samara/0000-0003-4450-5986</t>
  </si>
  <si>
    <t>Office of Naval Research [N000141110619]; Department of Energy [09NA28654]; NOAA Ocean Exploration and Research Program; Korea Ocean and Polar Research Institute [08NA28654, PE13050, PM12020, PM14020]; National Fish and Wildlife Foundation/Marine Mammal Commission [2010-0073-003]; NOAA/PMEL Acoustics Program; Oregon State University</t>
  </si>
  <si>
    <t>Office of Naval Research(Office of Naval Research); Department of Energy(United States Department of Energy (DOE)); NOAA Ocean Exploration and Research Program(National Oceanic Atmospheric Admin (NOAA) - USA); Korea Ocean and Polar Research Institute; National Fish and Wildlife Foundation/Marine Mammal Commission; NOAA/PMEL Acoustics Program(National Oceanic Atmospheric Admin (NOAA) - USA); Oregon State University</t>
  </si>
  <si>
    <t>This work was supported by partial funding from the Office of Naval Research (YIP award N000141110619), the Department of Energy (contract number 09NA28654), the NOAA Ocean Exploration and Research Program, and the Korea Ocean and Polar Research Institute (project numbers 08NA28654, PE13050, PM12020 and PM14020). Additional sponsorship was provided by the National Fish and Wildlife Foundation/Marine Mammal Commission (2010-0073-003), the NOAA/PMEL Acoustics Program, and Oregon State University. The authors thank Eberhard Fahrbach (Alfred Wegner Institute, Germany), Mark Prior and Andrew Forbes (CTBTO), and Chad Smith, Russell Hawkins, and Sam Denes (ARL/PSU) for field and data support. We also thank two anonymous reviewers and the editor-in-chief for their constructive comments to improve this manuscript. This manuscript is in partial fulfillment of the lead author's M.S. thesis. This is NOAA/PMEL contribution #4559.</t>
  </si>
  <si>
    <t>10.1016/j.dsr.2017.03.002</t>
  </si>
  <si>
    <t>ET8DU</t>
  </si>
  <si>
    <t>WOS:000400529700010</t>
  </si>
  <si>
    <t>Strass, VH; Wolf-Gladrow, D; Pakhomov, EA; Klaas, C</t>
  </si>
  <si>
    <t>Strass, Volker H.; Wolf-Gladrow, Dieter; Pakhomov, Evgeny A.; Klaas, Christine</t>
  </si>
  <si>
    <t>Eddy-Pump: Pelagic carbon pump processes along the eddying Antarctic Polar Front in the Atlantic Sector of the Southern Ocean</t>
  </si>
  <si>
    <t>CIRCUMPOLAR CURRENT; EXPORT; DYNAMICS; DIOXIDE</t>
  </si>
  <si>
    <t>[Strass, Volker H.; Wolf-Gladrow, Dieter; Klaas, Christine] Alfred Wegener Inst, Helmholtz Zentrum Polar &amp; Meeresforsch, Bremerhaven, Germany; [Pakhomov, Evgeny A.] Univ British Columbia, Dept Earth Ocean &amp; Atmospher Sci, Vancouver, BC, Canada; [Pakhomov, Evgeny A.] Univ British Columbia, Inst Oceans &amp; Fisheries, Vancouver, BC, Canada</t>
  </si>
  <si>
    <t>Helmholtz Association; Alfred Wegener Institute, Helmholtz Centre for Polar &amp; Marine Research; University of British Columbia; University of British Columbia</t>
  </si>
  <si>
    <t>Strass, VH (corresponding author), Alfred Wegener Inst, Helmholtz Zentrum Polar &amp; Meeresforsch, Bremerhaven, Germany.</t>
  </si>
  <si>
    <t>Volker.Strass@awi.de</t>
  </si>
  <si>
    <t>Klaas, Christine/0000-0002-6679-8970; Strass, Volker/0000-0002-7539-1400</t>
  </si>
  <si>
    <t>10.1016/j.dsr2.2017.02.009</t>
  </si>
  <si>
    <t>WOS:000401211100001</t>
  </si>
  <si>
    <t>Strass, VH; Leach, H; Prandke, H; Donnelly, M; Bracher, AU; Wolf-Gladrow, DA</t>
  </si>
  <si>
    <t>Strass, Volker H.; Leach, Harry; Prandke, Hartmut; Donnelly, Matthew; Bracher, Astrid U.; Wolf-Gladrow, Dieter A.</t>
  </si>
  <si>
    <t>The physical environmental conditions for biogeochemical differences along the Antarctic Circumpolar Current in the Atlantic Sector during late austral summer 2012</t>
  </si>
  <si>
    <t>SOUTHERN-OCEAN; POLAR FRONT; SEA-ICE; IRON; GEORGIA; VARIABILITY; DYNAMICS; TRENDS; DRIVEN; BLOOM</t>
  </si>
  <si>
    <t>The physical and biological carbon pumps in the different hydrographic and biogeochemical regimes of the Atlantic Sector of the Southern Ocean are controlled by a series of coupled physical, chemical and biological processes and a project named Eddy-Pump was designed to study them. The Eddy Pump field campaign was carried out during RV Polarstern Cruise ANT-XXVIII/3 between January and March 2012. Particular emphasis was laid on the differences which occur along the axis of the Antarctic Circumpolar Current (ACC) with its associated mesoscale eddy field. The study sites were selected in order to represent (1) the central ACC with its regular separation in different frontal jets, investigated by a meridional transect along 10 degrees E; (2) a large-scale bloom west of the Mid-Atlantic Ridge which lasted several months with conspicuous chlorophyll-poor waters to its immediate east studied by a threedimensional mesoscale survey centred at 12 degrees 40'W; and (3) the Georgia Basin north of the island of South Georgia, which regularly features an extended and dense phytoplankton bloom, was investigated by a mesoscale survey centred at 38 degrees 12'W. While Eddy-Pump represents an interdisciplinary project by design, we here focus on describing the variable physical environment within which the different biogeochemical regimes developed. For describing the physical environment we use measurements of temperature, salinity and density, of mixed-layer turbulence parameters, of dynamic heights and horizontal current vectors, and of flow trajectories obtained from surface drifters and submerged floats. This serves as background information for the analyses of biological and chemical processes and of biogeochemical fluxes addressed by other papers in this issue. The section along 10 degrees E between 44 degrees S and 53 degrees S showed a classical ACC structure with well-known hydrographic fronts, the Subantarctic Front (SAF) at 46.5 degrees S, the Antarctic Polar Front (APF) split in two, at 49.25 degrees S and 50.5 degrees S, and the Southern Polar Front (SPF) at 52.5 degrees S. Each front was associated with strong eastward flows. The West Mid-Atlantic Ridge Survey showed a weak and poorly resolved meander structure between the APF and the SPF. During the first eight days of the survey the oceanographic conditions at the Central Station at 12 degrees 40'W remained reasonably constant. However after that, conditions became more variable in the thermocline with conspicuous temperature inversions and inter leavings and also a decrease in temperature in the surface layer. At the very end of the period of observation the conditions in the thermocline returned to being similar to those observed during the early part of the period with however the mixed layer temperature raised. The period of enhanced thermohaline variability was accompanied by increased currents. The Georgia Basin Survey showed a very strong zonal jet at its northern edge which connects to a large cyclonic meander that itself joins an anticyclonic eddy in the southeastern quadrant. The water mass contrasts in this survey were stronger than in the West Mid-Atlantic Ridge Survey, but similar to those met along 10 degrees E with the exception that the warm and saline surface water typical of the northern side of the SAF was not covered by the Georgia Basin Survey. Mixed layers found during Eddy-Pump were typically deep, but varied between the three survey areas; the mean depths and standard variations of the mixed layer along the 10 degrees E were 77.2 +/- 24.7 m, at the West Mid-Atlantic Ridge 66.7 +/- 17.7 m, and in the Georgia Basin 36.8 +/- 10.7 m. (C) 2016 Elsevier Ltd. All rights reserved.</t>
  </si>
  <si>
    <t>[Strass, Volker H.; Bracher, Astrid U.; Wolf-Gladrow, Dieter A.] AWI, Bremerhaven, Germany; [Leach, Harry] Univ Liverpool, Dept Earth Ocean &amp; Ecol Sci, 4 Brownlow St, Liverpool L69 3GP, Merseyside, England; [Prandke, Hartmut] ISW Wassermesstech, OT Petersdolf, Gartenweg 1, D-17213 Funfseen, Germany; [Donnelly, Matthew] Univ Liverpool, British Oceanog Data Ctr, 6 Brownlow St, Liverpool L3 5DA, Merseyside, England; [Bracher, Astrid U.] Univ Bremen, Inst Environm Phys IUP, Otto Hahn Allee 1, D-28359 Bremen, Germany</t>
  </si>
  <si>
    <t>Helmholtz Association; Alfred Wegener Institute, Helmholtz Centre for Polar &amp; Marine Research; University of Liverpool; University of Liverpool; NERC National Oceanography Centre; University of Bremen</t>
  </si>
  <si>
    <t>Strass, VH (corresponding author), AWI, Helmholtz Zentrum Polar &amp; Meeresforsch, Postfach 12 01 61, D-27515 Bremerhaven, Germany.</t>
  </si>
  <si>
    <t>Bracher, Astrid/B-7805-2013; Bracher, Astrid/I-2672-2013</t>
  </si>
  <si>
    <t>Bracher, Astrid/0000-0003-3025-5517; Strass, Volker/0000-0002-7539-1400; Donnelly, Matthew/0000-0002-2491-5497; Leach, Harry/0000-0003-1774-5167</t>
  </si>
  <si>
    <t>School of Environmental Sciences in the University of Liverpool; NERC Ph.D. studentship; Helmholtz Innovation Fund Phytooptics [VH-NG300]; international programme South Atlantic Meridional Overturning Circulation (SAMOC); BSH, Hamburg</t>
  </si>
  <si>
    <t>School of Environmental Sciences in the University of Liverpool; NERC Ph.D. studentship(UK Research &amp; Innovation (UKRI)Natural Environment Research Council (NERC)); Helmholtz Innovation Fund Phytooptics; international programme South Atlantic Meridional Overturning Circulation (SAMOC); BSH, Hamburg</t>
  </si>
  <si>
    <t>We thank the German Bundesministerium fur Bildung and Forschung (BMBF) for placing Polarstern at the disposal of science; Captain and Crew we thank for their support throughout the cruise. HL was partly funded by the School of Environmental Sciences in the University of Liverpool. MD was funded by an NERC Ph.D. studentship. Funding to AB was supplied partly by the Helmholtz Innovation Fund Phytooptics (grant number VH-NG300). We thank Tilman Dinter (IUP/AWI) for help supplying MERIS-Polymer near-real time data for detailed cruise track planning, NASA for SeaWiFS and MODIS-Aqua data and ESA for MERIS and OC-CCI data. The ARVOR floats were provided by Sabrina Speich in support of the international programme South Atlantic Meridional Overturning Circulation (SAMOC). Birgit Klein supplied the APEX floats funded by the BSH, Hamburg. Hendrik Sander, Rainer Graupner and Matthias Kruger contributed to the data collection at sea. Andreas Wisotzki and Julian Wegener assisted in the data processing.</t>
  </si>
  <si>
    <t>10.1016/j.dsr2.2016.05.018</t>
  </si>
  <si>
    <t>WOS:000401211100002</t>
  </si>
  <si>
    <t>Tanhua, T; Hoppema, M; Jones, EM; Stöven, T; Hauck, J; Dávila, MG; Santana-Casiano, M; Alvarez, M; Strass, VH</t>
  </si>
  <si>
    <t>Tanhua, Toste; Hoppema, Mario; Jones, Elizabeth M.; Stoeven, Tim; Hauck, Judith; Gonzalez Davila, Melchor; Santana-Casiano, Magdalena; Alvarez, Marta; Strass, Volker H.</t>
  </si>
  <si>
    <t>Temporal changes in ventilation and the carbonate system in the Atlantic sector of the Southern Ocean</t>
  </si>
  <si>
    <t>Tracers; Carbon cycle; Southern ocean</t>
  </si>
  <si>
    <t>ANTARCTIC CIRCUMPOLAR CURRENT; ANTHROPOGENIC CO2; WATER MASSES; GLOBAL OCEAN; WEDDELL SEA; TRANSIENT TRACER; DEEP-WATER; STORAGE; VARIABILITY; INVENTORY</t>
  </si>
  <si>
    <t>The Southern Ocean is the most important area of anthropogenic carbon (C-ant) uptake in the world ocean, only rivalled in importance by the North Atlantic Ocean. Significant variability on decadal time-scales in the uptake of C-ant in the Southern Ocean has been observed and modelled, likely with consequences for the interior ocean storage of C-ant in the region, and implications for the global carbon budget. Here we use eight cruises between 1973 and 2012 to assess decadal variability in C-ant storage rates in the southeast Atlantic sector of the Southern Ocean. For this we employed the extended multiple linear regression (eMLR) method. We relate variability in DIC (dissolved inorganic carbon) storage, which is assumed to equal anthropogenic carbon storage, to changes in ventilation as observed from repeat measurements of transient tracers. Within the Antarctic Intermediate Water (AAIW) layer, which is the dominant transport conduit for C-ant into the interior ocean, moderate C-ant storage rates were found without any clear temporal trend. In Subantarctic Mode Water (SAMW), a less dense water mass found north of the Subantarctic Front and above AAIW, high storage rates of C-ant were observed up to about 2005 but lower rates in more recent times. The transient tracer data suggest a significant speed-up of ventilation in the summer warmed upper part of AAIW between 1998 and 2012, which is consistent with the high storage rate of C-ant. A shift of more northern Cant storage to more southern storage in near surface waters was detected in the early 2000s. Beneath the AAIW the eMLR method as applied here did not detect significant storage of Cant. However, the presence of the transient tracer CFC-12 all through the water column suggests that some C-ant should be present, but at concentrations not reliably quantifiable. The observed temporal variability in the interior ocean seems at a first glance to be out of phase with observed surface ocean C-ant fluxes, but this can be explained by the time delay for the surface ocean signal to manifest itself in the interior of the ocean.</t>
  </si>
  <si>
    <t>[Tanhua, Toste; Stoeven, Tim] GEOMAR Helmholtz Ctr Ocean Res Kiel, Dusternbrooker Weg 20, D-24105 Kiel, Germany; [Hoppema, Mario; Hauck, Judith; Strass, Volker H.] Alfred Wegener Inst, Helmholtz Ctr Polar &amp; Marine Res, Bremerhaven, Germany; [Jones, Elizabeth M.] Univ Groningen, Ctr Energy &amp; Environm Sci, Groningen, Netherlands; [Gonzalez Davila, Melchor; Santana-Casiano, Magdalena] Univ Las Palmas Gran Canaria, Inst Oceanog &amp; Cambio Global, Las Palmas Gran Canaria, Spain; [Alvarez, Marta] Inst Espanol Oceanog, La Coruna, Spain</t>
  </si>
  <si>
    <t>Helmholtz Association; GEOMAR Helmholtz Center for Ocean Research Kiel; Helmholtz Association; Alfred Wegener Institute, Helmholtz Centre for Polar &amp; Marine Research; University of Groningen; Universidad de Las Palmas de Gran Canaria; Spanish Institute of Oceanography</t>
  </si>
  <si>
    <t>Tanhua, T (corresponding author), GEOMAR Helmholtz Ctr Ocean Res Kiel, Dusternbrooker Weg 20, D-24105 Kiel, Germany.</t>
  </si>
  <si>
    <t>ttanhua@geomar.de</t>
  </si>
  <si>
    <t>Hoppema, Mario/I-6286-2013; Tanhua, Toste/HLX-5402-2023; CASIANO, JUANA MAGDALENA SANTANA/K-5058-2014; Hauck, Judith/AAC-3967-2019; Álvarez, Marta/D-4367-2009; GONZALEZ-DAVILA, MELCHOR/K-5058-2014</t>
  </si>
  <si>
    <t>CASIANO, JUANA MAGDALENA SANTANA/0000-0002-7930-7683; Hauck, Judith/0000-0003-4723-9652; Álvarez, Marta/0000-0002-5075-9344; Strass, Volker/0000-0002-7539-1400; GONZALEZ-DAVILA, MELCHOR/0000-0003-3230-8985</t>
  </si>
  <si>
    <t>Deutsche Forschungsgemeinschaft (DFG) [TA 317/5, HO 4680/1]; EU FP7 project CARBOCHANGE [264879]; Helmholtz PostDoc Programme (Initiative and Networking Fund of the Helmholtz Association); German project Biological Impacts of Ocean ACIDification (BIOACID) - Federal Ministry of Education and Research (BMBF) [FKZ 03F0608B]</t>
  </si>
  <si>
    <t>Deutsche Forschungsgemeinschaft (DFG)(German Research Foundation (DFG)); EU FP7 project CARBOCHANGE(European Union (EU)); Helmholtz PostDoc Programme (Initiative and Networking Fund of the Helmholtz Association); German project Biological Impacts of Ocean ACIDification (BIOACID) - Federal Ministry of Education and Research (BMBF)(Federal Ministry of Education &amp; Research (BMBF))</t>
  </si>
  <si>
    <t>The authors thank the captains and crews on the numerous research vessels that were involved in collecting the data used for this study in the Southern Ocean. This work was supported by the Deutsche Forschungsgemeinschaft (DFG) in the framework of the Antarctic Research with comparative investigations in Arctic ice areas priority program: Carbon and transient tracer dynamics: A bi-polar view on Southern Ocean eddies and the changing Arctic Ocean (TA 317/5, HO 4680/1). Partial support to T. Tanhua and M. Hoppema was received from EU FP7 project CARBOCHANGE (grant agreement no. 264879). J. Hauck was supported by the Helmholtz PostDoc Programme (Initiative and Networking Fund of the Helmholtz Association) and by the German project Biological Impacts of Ocean ACIDification (BIOACID), funded by the Federal Ministry of Education and Research (BMBF, FKZ 03F0608B).</t>
  </si>
  <si>
    <t>10.1016/j.dsr2.2016.10.004</t>
  </si>
  <si>
    <t>WOS:000401211100003</t>
  </si>
  <si>
    <t>Jones, EM; Hoppema, M; Strass, V; Hauck, J; Salt, L; Ossebaar, S; Klaas, C; van Heuven, SMAC; Wolf-Gladrow, D; Stöven, T; de Baar, HJW</t>
  </si>
  <si>
    <t>Jones, Elizabeth M.; Hoppema, Mario; Strass, Volker; Hauck, Judith; Salt, Lesley; Ossebaar, Sharyn; Klaas, Christine; van Heuven, Steven M. A. C.; Wolf-Gladrow, Dieter; Stoven, Tim; de Baar, Hein J. W.</t>
  </si>
  <si>
    <t>Mesoscale features create hotspots of carbon uptake in the Antarctic Circumpolar Current</t>
  </si>
  <si>
    <t>Carbon uptake; Eddies; Polar Front; Antarctic Circumpolar Current; Georgia Basin</t>
  </si>
  <si>
    <t>SOUTHERN-OCEAN; GAS-EXCHANGE; ROSS SEA; PHYTOPLANKTON; NUTRIENT; EDDY; CHLOROPHYLL; EDDIES; IMPACT; CO2</t>
  </si>
  <si>
    <t>The influence of eddy structures on the seasonal depletion of dissolved inorganic carbon (DIC) and carbon dioxide (CO2) disequilibrium was investigated during a trans-Atlantic crossing of the Antarctic Circumpolar Current (ACC) in austral summer 2012. The Georgia Basin, downstream of the island of South Georgia (54-55 degrees S, 36-38 degrees W) is a highly dynamic region due to the mesoscale activity associated with the flow of the Subantarctic Front (SAF) and Polar Front (PF). Satellite sea-surface height and chlorophyll-a anomalies revealed a cyclonic cold core that dominated the northern Georgia Basin that was formed from a large meander of the PF. Warmer waters influenced by the SAF formed a smaller anticyclonic structure to the east of the basin. Both the cold core and warm core eddy structures were hotspots of carbon uptake relative to the rest of the ACC section during austral summer. This was most amplified in the cold core where greatest CO2 undersaturation (-78 mu atm) and substantial surface ocean DIC deficit (5.1 mol m(-2)) occurred. In the presence of high wind speeds, the cold core eddy acted as a strong sink for atmospheric CO2 of 25.5 mmol m(-2) day(-1). Waters of the warm core displayed characteristics of the Polar Frontal Zone (PFZ), with warmer upper ocean waters and enhanced CO2 undersaturation (-59 mu atm) and depletion of DIC (4.9mol m(-2)). A proposed mechanism for the enhanced carbon uptake across both eddy structures is based on the Ekman eddy pumping theory: (i) the cold core is seeded with productive (high chlorophyll-a) waters from the Antarctic Zone and sustained biological productivity through upwelled nutrient supply that counteracts DIC inputs from deep waters; (ii) horizontal entrainment of low-DIC surface waters (biological uptake) from the PFZ downwell within the warm core and cause relative DIC-depletion in the upper water column. The observations suggest that the formation and northward propagation of cold core eddies in the region of the PF could project low-DIC waters towards the site of Antarctic Intermediate Water formation and enhance CO2 drawdown into the deep ocean. (C) 2015 Elsevier Ltd. All rights reserved.</t>
  </si>
  <si>
    <t>[Jones, Elizabeth M.] Univ Groningen, Ctr Energy &amp; Environm Sci, Nijenborgh 4, NL-9747 AG Groningen, Netherlands; [Jones, Elizabeth M.; Ossebaar, Sharyn; van Heuven, Steven M. A. C.; de Baar, Hein J. W.] Royal Netherlands Inst Sea Res, Marine Geol &amp; Chem Oceanog, Landsdiep 4, NL-1797 SZ Texel, Netherlands; [Hoppema, Mario; Strass, Volker] Alfred Wegener Inst, Helmholtz Zentrum Polar &amp; Meeresforsch, Climate Sci Dept, Postfach 120161, D-27515 Bremerhaven, Germany; [Hauck, Judith; Klaas, Christine; Wolf-Gladrow, Dieter] Alfred Wegener Inst, Helmholtz Zentrum Polar &amp; Meeresforsch, Biosci Dept, Postfach 120161, D-27515 Bremerhaven, Germany; [Salt, Lesley] CNRS, Equipe Chim Marine, UMR 7144, Stn Biol Roscoff,Pl Georges Teissier, F-29680 Roscoff, France; [Stoven, Tim] Helmholtz Ctr Ocean Res, GEOMAR, Dusternbrooker Weg 20, D-24105 Kiel, Germany; [de Baar, Hein J. W.] Univ Groningen, Ocean Ecosyst, Nijenborgh 7, NL-9747 AG Groningen, Netherlands</t>
  </si>
  <si>
    <t>University of Groningen; Utrecht University; Royal Netherlands Institute for Sea Research (NIOZ); Helmholtz Association; Alfred Wegener Institute, Helmholtz Centre for Polar &amp; Marine Research; Helmholtz Association; Alfred Wegener Institute, Helmholtz Centre for Polar &amp; Marine Research; Sorbonne Universite; Centre National de la Recherche Scientifique (CNRS); CNRS - Institute of Ecology &amp; Environment (INEE); Helmholtz Association; GEOMAR Helmholtz Center for Ocean Research Kiel; University of Groningen</t>
  </si>
  <si>
    <t>Jones, EM (corresponding author), Univ Groningen, Ctr Energy &amp; Environm Sci, Nijenborgh 4, NL-9747 AG Groningen, Netherlands.;Jones, EM (corresponding author), Royal Netherlands Inst Sea Res, Marine Geol &amp; Chem Oceanog, Landsdiep 4, NL-1797 SZ Texel, Netherlands.</t>
  </si>
  <si>
    <t>Hoppema, Mario/I-6286-2013; Hauck, Judith/AAC-3967-2019</t>
  </si>
  <si>
    <t>Hauck, Judith/0000-0003-4723-9652; Klaas, Christine/0000-0002-6679-8970</t>
  </si>
  <si>
    <t>Deutsche Forschungsgemeinschaft (DFG) [HO 4680/1]; EU FP7 project CARBOCHANGE (European Community's 7th Framework Program) [264879]</t>
  </si>
  <si>
    <t>Deutsche Forschungsgemeinschaft (DFG)(German Research Foundation (DFG)); EU FP7 project CARBOCHANGE (European Community's 7th Framework Program)</t>
  </si>
  <si>
    <t>The authors would like to thank the Captain, officers, crew and scientists onboard FS Polarstern during Antarctic expedition ANTXXVIII/3. Extended thanks to Christoph Volker (AWI) for assistance with NCEP re-analysis wind data and Hugh Venables (BAS) for numerous helpful discussions. MODIS-Aqua chlorophyll-a data were obtained from the SeaWiFS Project, NASA Goddard Space Flight Centre. This work partly supported by th Deutsche Forschungsgemeinschaft (DFG) in the framework of the priority programme Antarctic Research with comparative investigations in Arctic ice areas by a grant to M. Hoppema (HO 4680/1). Partial support to M. Hoppema and H.J.W. de Baar was received from EU FP7 project CARBOCHANGE (European Community's 7th Framework Program, Grant agreement no. 264879). The authors acknowledge the constructive comments by the editors and an anonymous reviewer that greatly helped to improve the manuscript.</t>
  </si>
  <si>
    <t>10.1016/j.dsr2.2015.10.006</t>
  </si>
  <si>
    <t>WOS:000401211100004</t>
  </si>
  <si>
    <t>Poggemann, DW; Hathorne, EC; Nürnberg, D; Frank, M; Bruhn, I; Reissig, S; Bahr, A</t>
  </si>
  <si>
    <t>Poggemann, David-Willem; Hathorne, Ed C.; Nuernberg, Dirk; Frank, Martin; Bruhn, Imke; Reissig, Stefan; Bahr, Andre</t>
  </si>
  <si>
    <t>Rapid deglacialinjection of nutrients into the tropical Atlantic via Antarctic Intermediate Water</t>
  </si>
  <si>
    <t>Atlantic intermediate water circulation; Caribbean nutrient concentrations; Cd reconstruction; Atlantic Meridional Overturning circulation; Antarctic Intermediate Water; deglacial CO2</t>
  </si>
  <si>
    <t>LAST GLACIAL MAXIMUM; MERIDIONAL OVERTURNING CIRCULATION; WESTERN NORTH-ATLANTIC; SOUTHERN-OCEAN; ATMOSPHERIC CO2; SEA-ICE; ABRUPT CHANGES; CARBON-CYCLE; DEEP; VARIABILITY</t>
  </si>
  <si>
    <t>As part of the return flow of the Atlantic overturning circulation, Antarctic Intermediate Water (AAIW) redistributes heat, salt, CO(2)and nutrients from the Southern Ocean to the tropical Atlantic and thus plays a key role in ocean-atmosphere exchange. It feeds (sub) tropical upwelling linking high and low latitude ocean biogeochemistry but the dynamics of AAIW during the last deglaciation remain poorly constrained. We present new multi-decadal benthic foraminiferal Cd/Ca and stable carbon isotope (delta C-13) records from tropical W-Atlantic sediment cores indicating abrupt deglacial nutrient enrichment of AAIW as a consequence of enhanced deglacial Southern Ocean upwelling intensity. This is the first clear evidence from the intermediate depth tropical W-Atlantic that the deglacial reconnection of shallow and deep Atlantic overturning cells effectively altered the AAIW nutrient budget and its geochemical signature. The rapid nutrient injection via AAIW likely fed temporary low latitude productivity, thereby dampening the deglacial rise of atmospheric CO2. (C) 2017 Elsevier B. V. All rights reserved.</t>
  </si>
  <si>
    <t>[Poggemann, David-Willem; Hathorne, Ed C.; Nuernberg, Dirk; Frank, Martin; Bruhn, Imke; Reissig, Stefan] GEOMAR Helmholtz Ctr Ocean Res Kiel, D-24148 Kiel, Germany; [Bahr, Andre] Heidelberg Univ, Inst Earth Sci, D-69120 Heidelberg, Germany</t>
  </si>
  <si>
    <t>Helmholtz Association; GEOMAR Helmholtz Center for Ocean Research Kiel; Ruprecht Karls University Heidelberg</t>
  </si>
  <si>
    <t>Poggemann, DW (corresponding author), GEOMAR Helmholtz Ctr Ocean Res Kiel, D-24148 Kiel, Germany.</t>
  </si>
  <si>
    <t>dpoggemann@geomar.de</t>
  </si>
  <si>
    <t>Hathorne, Ed/AAC-6315-2020</t>
  </si>
  <si>
    <t>Hathorne, Ed/0000-0002-7813-2455; Bahr, Andre/0000-0001-5890-8773; Frank, Martin/0000-0002-8606-4421</t>
  </si>
  <si>
    <t>Deutsche Forschungsgemeinschaft (DFG) via the Cluster of Excellence - The Future Ocean Kiel [CP1142]</t>
  </si>
  <si>
    <t>Deutsche Forschungsgemeinschaft (DFG) via the Cluster of Excellence - The Future Ocean Kiel(German Research Foundation (DFG))</t>
  </si>
  <si>
    <t>This research was funded by the Deutsche Forschungsgemeinschaft (DFG) via the Cluster of Excellence - The Future Ocean Kiel; Project number CP1142. We are thankful for the detailed and constructive comments of two anonymous reviewers which substantially improved this manuscript.</t>
  </si>
  <si>
    <t>10.1016/j.epsl.2017.01.030</t>
  </si>
  <si>
    <t>EN3PA</t>
  </si>
  <si>
    <t>WOS:000395919200011</t>
  </si>
  <si>
    <t>Authier, M; Saraux, C; Péron, C</t>
  </si>
  <si>
    <t>Authier, Matthieu; Saraux, Claire; Peron, Clara</t>
  </si>
  <si>
    <t>Variable selection and accurate predictions in habitat modelling: a shrinkage approach</t>
  </si>
  <si>
    <t>ECOGRAPHY</t>
  </si>
  <si>
    <t>SPECIES DISTRIBUTION MODELS; SMALL PELAGIC FISH; SPATIAL AUTOCORRELATION; DISTRIBUTIONAL DATA; REGRESSION METHODS; MEDITERRANEAN SEA; ECOLOGY; ACCOUNT; UNCERTAINTY; PROJECTIONS</t>
  </si>
  <si>
    <t>Habitat modelling is increasingly relevant in biodiversity and conservation studies. A typical application is to predict potential zones of specific conservation interest. With many environmental covariates, a large number of models can he investigated but multi-model inference may become impractical. Shrinkage regression overcomes this issue by dealing with the identification and accurate estimation of effect size for prediction. In a Bayesian framework we investigated the use of a shrinkage prior, the Horseshoe, for variable selection in spatial generalized linear models (GLM). As study cases, we considered 5 datasets on small pelagic fish abundance in the Gulf of Lion (Mediterranean Sea, France) and 9 environmental inputs. We compared the predictive performances of a simple kriging model, a full spatial GLM model with independent normal priors for regression coefficients, a full spatial GLM model with a Horseshoe prior for regression coefficients and 2 zero-inflated models (spatial and non-spatial) with a Horseshoe prior. Predictive performances were evaluated by cross validation on a hold-out subset of the data: models with a Horseshoe prior performed best, and the full model with independent normal priors worst. With an increasing number of inputs, extrapolation quickly became pervasive as we tried to predict from novel combinations of covariate values. By shrinking regression coefficients with a Horseshoe prior, only one model needed to be fitted to the data in order to obtain reasonable and accurate predictions, including extrapolations.</t>
  </si>
  <si>
    <t>[Authier, Matthieu] Univ La Rochelle, Observ PELAGIS UMS 3462, La Rochelle, France; [Saraux, Claire] Ifremer, UMR MARBEC, F-34203 Sete, France; [Peron, Clara] Univ Tasmania, Inst Marine &amp; Antarctic Studies, Kingston, Tas, Australia; [Peron, Clara] Australian Antarctic Div, Kingston, Tas, Australia; [Authier, Matthieu; Peron, Clara] Ctr Ecol Fonct &amp; Evolut, Ecol Spatiale Populat, Montpellier, France</t>
  </si>
  <si>
    <t>La Rochelle Universite; Ifremer; Universite de Montpellier; University of Tasmania; Australian Antarctic Division; Universite PSL; Ecole Pratique des Hautes Etudes (EPHE); Institut Agro; Montpellier SupAgro; CIRAD; Centre National de la Recherche Scientifique (CNRS); Institut de Recherche pour le Developpement (IRD); Universite Paul-Valery; Universite de Montpellier</t>
  </si>
  <si>
    <t>Authier, M (corresponding author), Univ La Rochelle, Observ PELAGIS UMS 3462, La Rochelle, France.;Authier, M (corresponding author), Ctr Ecol Fonct &amp; Evolut, Ecol Spatiale Populat, Montpellier, France.</t>
  </si>
  <si>
    <t>authier@gmail.com</t>
  </si>
  <si>
    <t>PERON, Clara/E-9840-2015; saraux, claire/AAX-8709-2020</t>
  </si>
  <si>
    <t>saraux, claire/0000-0001-5061-4009; Authier, Matthieu/0000-0001-7394-1993</t>
  </si>
  <si>
    <t>Ifremer; European Union through the Data Collection Framework</t>
  </si>
  <si>
    <t>Ifremer; European Union through the Data Collection Framework(European Union (EU))</t>
  </si>
  <si>
    <t>We are grateful to David Gremillet for financial support and scientific advices. We are indebted to the crew of RV L'Europe and everyone who participated in the 2011 PELMED survey, in particular Jean-Louis Bigot chief scientist onboard. PELMED surveys are cofunded by Ifremer and the European Union through the Data Collection Framework. We thank Carsten Dormann, the associate editor, for his patient and constructive comments.</t>
  </si>
  <si>
    <t>0906-7590</t>
  </si>
  <si>
    <t>1600-0587</t>
  </si>
  <si>
    <t>Ecography</t>
  </si>
  <si>
    <t>10.1111/ecog.01633</t>
  </si>
  <si>
    <t>ET3KF</t>
  </si>
  <si>
    <t>WOS:000400176500010</t>
  </si>
  <si>
    <t>Pacelli, C; Bryan, RA; Onofri, S; Selbmann, L; Shuryak, I; Dadachova, E</t>
  </si>
  <si>
    <t>Pacelli, Claudia; Bryan, Ruth A.; Onofri, Silvano; Selbmann, Laura; Shuryak, Igor; Dadachova, Ekaterina</t>
  </si>
  <si>
    <t>Melanin is effective in protecting fast and slow growing fungi from various types of ionizing radiation</t>
  </si>
  <si>
    <t>GAMMA-RADIATION; BLACK FUNGI; DNA-DAMAGE; RESISTANCE; SURVIVAL; RECOMBINATION; DESICCATION; MECHANISMS; DIVERSITY; TOLERANT</t>
  </si>
  <si>
    <t>Melanin is a ubiquitous pigment with unique physicochemical properties. The resistance of melanized fungi to cosmic and terrestrial ionizing radiation suggests that melanin also plays a pivotal role in radioprotection. In this study, we compared the effects of densely-ionizing deuterons and sparsely-ionizing X-rays on two microscopic fungi capable of melanogenesis. We utilized the fast-growing pathogenic basiodiomycete forming an induced DOPA-melanin, Cryptococcus neoformans (CN); and the slow-growing environmental rock-inhabiting ascomycete synthesizing a constitutive DHN-melanin, Cryomyces antarcticus (CA); melanized and non-melanized counterparts were compared. CA was more resistant to deuterons than CN, and similar resistance was observed for X-rays. Melanin afforded protection against high-dose (1.5 kGy) deuterons for both CN and CA (p-values&lt;10(-4)). For X-rays (0.3 kGy), melanin protected CA (p-values&lt;10(-4)) and probably CN. Deuterons increased XTT activity in melanized strains of both species, while the activity in non-melanized cells remained stable or decreased. For ATP levels the reverse occurred: it decreased in melanized strains, but not in non-melanized ones, after deuteron exposure. For both XTT and ATP, which reflect the metabolic activity of the cells, larger and more statistically-significant differences as a function of melanization status occurred in CN. Our data show, for the first time, that melanin protected both fast-growing and slow-growing fungi from high doses of deuterons under physiological conditions. These observations may give clues for creating melanin-based radioprotectors.</t>
  </si>
  <si>
    <t>[Pacelli, Claudia; Onofri, Silvano; Selbmann, Laura] Univ Tuscia, Dept Ecol &amp; Biol Sci, Viterbo, Italy; [Pacelli, Claudia; Bryan, Ruth A.; Dadachova, Ekaterina] Albert Einstein Coll Med, Dept Radiol, Bronx, NY 10467 USA; [Shuryak, Igor] Columbia Univ, Ctr Radiol Res, New York, NY 10032 USA</t>
  </si>
  <si>
    <t>Tuscia University; Yeshiva University; Albert Einstein College of Medicine; Columbia University</t>
  </si>
  <si>
    <t>Dadachova, E (corresponding author), Albert Einstein Coll Med, Dept Radiol, Bronx, NY 10467 USA.</t>
  </si>
  <si>
    <t>ekaterina.dada-chova@usask.ca</t>
  </si>
  <si>
    <t>Pacelli, Claudia/AAI-2677-2020; Selbmann, Laura/L-3056-2013; Dadachova, Ekaterina/I-7838-2013</t>
  </si>
  <si>
    <t>Pacelli, Claudia/0000-0001-5113-4293; Selbmann, Laura/0000-0002-8967-3329; ONOFRI, Silvano/0000-0001-8872-1440</t>
  </si>
  <si>
    <t>Defense Threat Reduction Agency (DTRA) [HDTRA1-15-1-0058]; ASI (Italian Space Agency); Italian National Antarctic Museum 'Felice Ippolito'</t>
  </si>
  <si>
    <t>Defense Threat Reduction Agency (DTRA)(United States Department of DefenseDefense Threat Reduction Agency); ASI (Italian Space Agency)(Agenzia Spaziale Italiana (ASI)); Italian National Antarctic Museum 'Felice Ippolito'</t>
  </si>
  <si>
    <t>E.D., R.B. and I.S. thank the Defense Threat Reduction Agency (DTRA) grant HDTRA1-15-1-0058 for supporting research. C.P., S.O. and L.S. acknowledge the ASI (Italian Space Agency) for funding BIOMEX-MCF, PNRA (Italian National Program for Antarctic Research) for supporting sample collection in Antarctica and the Italian National Antarctic Museum 'Felice Ippolito', for funding CCFEE (Culture Collection of Fungi From Extreme Environments).</t>
  </si>
  <si>
    <t>10.1111/1462-2920.13681</t>
  </si>
  <si>
    <t>WOS:000398855400020</t>
  </si>
  <si>
    <t>Le Bars, D; Drijfhout, S; de Vries, H</t>
  </si>
  <si>
    <t>Le Bars, Dewi; Drijfhout, Sybren; de Vries, Hylke</t>
  </si>
  <si>
    <t>A high-end sea level rise probabilistic projection including rapid Antarctic ice sheet mass loss</t>
  </si>
  <si>
    <t>sea level rise; antarctica; probabilistic projections; extreme pathways; high-end projections</t>
  </si>
  <si>
    <t>CLIMATE; GLACIER; SCENARIOS; RETREAT; BALANCE</t>
  </si>
  <si>
    <t>The potential for break-up of Antarctic ice shelves by hydrofracturing and following ice cliff instability might be important for future ice dynamics. One recent study suggests that the Antarctic ice sheet could lose a lot more mass during the 21st century than previously thought. This increased mass-loss is found to strongly depend on the emission scenario and thereby on global temperature change. We investigate the impact of this new information on high-end global sea level rise projections by developing a probabilistic process-based method. It is shown that uncertainties in the projections increase when including the temperature dependence of Antarctic mass loss and the uncertainty in the Coupled Model Intercomparison Project Phase 5 (CMIP5) model ensemble. Including these new uncertainties we provide probability density functions for the high-end distribution of total global mean sea level in 2100 conditional on emission scenario. These projections provide a probabilistic context to previous extreme sea level scenarios developed for adaptation purposes.</t>
  </si>
  <si>
    <t>[Le Bars, Dewi; Drijfhout, Sybren; de Vries, Hylke] Royal Netherlands Meteorol Inst KNMI, De Bilt, Netherlands; [Drijfhout, Sybren] Univ Utrecht, Inst Marine &amp; Atmospher Res, Utrecht, Netherlands; [Drijfhout, Sybren] Univ Southampton, Natl Oceanog Ctr Southampton, Southampton, Hants, England</t>
  </si>
  <si>
    <t>Royal Netherlands Meteorological Institute; Utrecht University; NERC National Oceanography Centre; University of Southampton</t>
  </si>
  <si>
    <t>Le Bars, D (corresponding author), Royal Netherlands Meteorol Inst KNMI, De Bilt, Netherlands.</t>
  </si>
  <si>
    <t>bars@knmi.nl</t>
  </si>
  <si>
    <t>Le Bars, Dewi/AAK-8631-2020</t>
  </si>
  <si>
    <t>Le Bars, Dewi/0000-0002-1175-4225; Drijfhout, Sybren/0000-0001-5325-7350</t>
  </si>
  <si>
    <t>IOP Publishing Ltd</t>
  </si>
  <si>
    <t>10.1088/1748-9326/aa6512</t>
  </si>
  <si>
    <t>EQ8YE</t>
  </si>
  <si>
    <t>WOS:000398370600002</t>
  </si>
  <si>
    <t>Edwards, CR; Onstott, TC; Miller, JM; Wiggins, JB; Wang, W; Lee, CK; Cary, SC; Pointing, SB; Lau, MCY</t>
  </si>
  <si>
    <t>Edwards, Collin R.; Onstott, Tullis C.; Miller, Jennifer M.; Wiggins, Jessica B.; Wang, Wei; Lee, Charles K.; Cary, S. Craig; Pointing, Stephen B.; Lau, Maggie C. Y.</t>
  </si>
  <si>
    <t>Draft Genome Sequence of Uncultured Upland Soil Cluster Gammaproteobacteria Gives Molecular Insights into High-Affinity Methanotrophy</t>
  </si>
  <si>
    <t>GENOME ANNOUNCEMENTS</t>
  </si>
  <si>
    <t>BACTERIA; DIVERSITY</t>
  </si>
  <si>
    <t>Aerated soils form the second largest sink for atmospheric CH4. A near-complete genome of uncultured upland soil cluster Gammaproteobacteria that oxidize CH4 at &lt;2.5 ppmv was obtained from incubated Antarctic mineral cryosols. This first genome of high-affinity methanotrophs can help resolve the mysteries about their phylogenetic affiliation and metabolic potential.</t>
  </si>
  <si>
    <t>[Edwards, Collin R.; Onstott, Tullis C.; Lau, Maggie C. Y.] Princeton Univ, Dept Geosci, Princeton, NJ 08544 USA; [Miller, Jennifer M.; Wiggins, Jessica B.; Wang, Wei] Princeton Univ, Lewis Sigler Inst Integrat Genom, Genom Core Facil, Princeton, NJ 08544 USA; [Lee, Charles K.; Cary, S. Craig] Univ Waikato, Sch Sci, Hamilton, New Zealand; [Lee, Charles K.; Cary, S. Craig] Univ Waikato, ICTAR, Hamilton, New Zealand; [Pointing, Stephen B.] Auckland Univ Technol, Inst Appl Ecol New Zealand, Sch Sci, Auckland, New Zealand</t>
  </si>
  <si>
    <t>Princeton University; Princeton University; University of Waikato; University of Waikato; Auckland University of Technology</t>
  </si>
  <si>
    <t>Lau, MCY (corresponding author), Princeton Univ, Dept Geosci, Princeton, NJ 08544 USA.</t>
  </si>
  <si>
    <t>maglau@princeton.edu</t>
  </si>
  <si>
    <t>Pointing, Stephen/JHT-2500-2023; lee, charles/AAW-6627-2021; Lee, Charles/AAC-9417-2019</t>
  </si>
  <si>
    <t>lee, charles/0000-0001-6906-4895; Lee, Charles/0000-0002-6562-4733; Onstott, Tullis/0000-0002-2898-3374; Lau Vetter, Maggie C.Y./0000-0003-2812-9749; Cary, Stephen/0000-0002-2876-2387</t>
  </si>
  <si>
    <t>New Zealand Ministry of Business, Innovation and Employment [UOWX1401]; New Zealand Antarctic Research Institute [NZARI2013-7]; Institute for Applied Ecology New Zealand; National Science Foundation [DEB-1442059]; Department of Geosciences, Princeton Environmental Institute; Council on Science and Technology (CST) of Princeton University; New Zealand Ministry of Business, Innovation &amp; Employment (MBIE) [UOWX1401] Funding Source: New Zealand Ministry of Business, Innovation &amp; Employment (MBIE)</t>
  </si>
  <si>
    <t>New Zealand Ministry of Business, Innovation and Employment(New Zealand Ministry of Business, Innovation and Employment (MBIE)); New Zealand Antarctic Research Institute; Institute for Applied Ecology New Zealand; National Science Foundation(National Science Foundation (NSF)); Department of Geosciences, Princeton Environmental Institute; Council on Science and Technology (CST) of Princeton University; New Zealand Ministry of Business, Innovation &amp; Employment (MBIE)(New Zealand Ministry of Business, Innovation and Employment (MBIE))</t>
  </si>
  <si>
    <t>Field expedition and logistics were funded by grants from the New Zealand Ministry of Business, Innovation and Employment (UOWX1401) and the New Zealand Antarctic Research Institute (NZARI2013-7) to S.C.C. and C.K.L. The Institute for Applied Ecology New Zealand (https://aenz.aut.ac.nz/) supported M.C.Y.L.'s travel to and from New Zealand. This research was supported by a National Science Foundation grant (DEB-1442059) to T.C.O. and grants from Department of Geosciences, Princeton Environmental Institute and Council on Science and Technology (CST) of Princeton University to C.R.E.</t>
  </si>
  <si>
    <t>AMER SOC MICROBIOLOGY</t>
  </si>
  <si>
    <t>1752 N ST NW, WASHINGTON, DC 20036-2904 USA</t>
  </si>
  <si>
    <t>2169-8287</t>
  </si>
  <si>
    <t>Genom. Ann.</t>
  </si>
  <si>
    <t>e00047-17</t>
  </si>
  <si>
    <t>10.1128/genomeA.00047-17</t>
  </si>
  <si>
    <t>VI1EL</t>
  </si>
  <si>
    <t>WOS:000460695300001</t>
  </si>
  <si>
    <t>Turner, J; Hosking, JS; Bracegirdle, TJ; Phillips, T; Marshall, GJ</t>
  </si>
  <si>
    <t>Turner, John; Hosking, J. Scott; Bracegirdle, Thomas J.; Phillips, Tony; Marshall, Gareth J.</t>
  </si>
  <si>
    <t>Variability and trends in the Southern Hemisphere high latitude, quasi-stationary planetary waves</t>
  </si>
  <si>
    <t>INTERNATIONAL JOURNAL OF CLIMATOLOGY</t>
  </si>
  <si>
    <t>Antarctica; teleconnections; Southern Ocean; atmospheric circulation</t>
  </si>
  <si>
    <t>ANTARCTIC SEA-ICE; REGIONAL CLIMATE VARIABILITY; ANNULAR MODE; EL-NINO; PACIFIC; ENSO; OSCILLATION; CIRCULATION; PENINSULA; PROPAGATION</t>
  </si>
  <si>
    <t>We investigate variability and trends of the Southern Hemisphere quasi-stationary planetary waves over 1979-2013 using the European Centre for Medium-range Weather Forecasts (ECMWF) Interim reanalyses. The effects of tropical and extra-tropical forcing factors on the phase and amplitude of the planetary waves are identified. The amplitudes of wave numbers 1-3 exhibit an annual cycle with a minimum in summer and maximum over the extended austral winter period. The phase of wave number 1 has a semi-annual cycle, moving east in austral spring/autumn and west in summer/winter as a result of differences in the phase of the semi-annual oscillation across the Pacific sector of the Southern Ocean. The phase of wave number 3 has an annual cycle, being more eastward (westward) in summer (winter). Year-to-year variability of the amplitude of wave number 1 is found to be strongly associated with the Amundsen Sea Low, which in turn is known to be strongly influenced by the El Nino-Southern Oscillation, with the consequence that the amplitude of wave number 1 is larger during the El Nino phase of the cycle. Regarding trends for the year as a whole, the amplitude of wave number 1 has decreased since 1979 (p &lt; 0.1), while the amplitudes of wave numbers 2 and 3 have increased. These changes are consistent with the warming trends in sea surface temperatures across much of the tropical oceans. However, the factors associated with longer-term trends are less clear than for year-to-year variability.</t>
  </si>
  <si>
    <t>[Turner, John; Hosking, J. Scott; Bracegirdle, Thomas J.; Phillips, Tony; Marshall, Gareth J.] British Antarctic Survey, Nat Environm Res Council, Madingley Rd, Cambridge CB3 0ET, England</t>
  </si>
  <si>
    <t>Turner, J (corresponding author), British Antarctic Survey, Nat Environm Res Council, Madingley Rd, Cambridge CB3 0ET, England.</t>
  </si>
  <si>
    <t>jtu@bas.ac.uk</t>
  </si>
  <si>
    <t>Bracegirdle, Tom/AAD-6060-2020; Hosking, Scott/D-3437-2013</t>
  </si>
  <si>
    <t>Hosking, Scott/0000-0002-3646-3504; Bracegirdle, Thomas/0000-0002-8868-4739; Turner, John/0000-0002-6111-5122</t>
  </si>
  <si>
    <t>UK Natural Environment Research Council [NE/K00445X/1]; NERC [NE/K00445X/1, bas0100032] Funding Source: UKRI; Natural Environment Research Council [NE/K00445X/1, bas0100032] Funding Source: researchfish</t>
  </si>
  <si>
    <t>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</si>
  <si>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work forms part of the British Antarctic Survey Polar Science for Planet Earth programme. It was supported by the UK Natural Environment Research Council under grant NE/K00445X/1. We are grateful to ECMWF for making their Interim reanalysis fields available. The fields used to compute the amplitudes and phases of the planetary waves are available from ECMWF (www.ecmwf.int).</t>
  </si>
  <si>
    <t>0899-8418</t>
  </si>
  <si>
    <t>1097-0088</t>
  </si>
  <si>
    <t>INT J CLIMATOL</t>
  </si>
  <si>
    <t>Int. J. Climatol.</t>
  </si>
  <si>
    <t>10.1002/joc.4848</t>
  </si>
  <si>
    <t>ER5RJ</t>
  </si>
  <si>
    <t>WOS:000398859700011</t>
  </si>
  <si>
    <t>See-Too, WS; Ee, R; Madhaiyan, M; Kwon, SW; Tan, JY; Lim, YL; Convey, P; Pearce, DA; Yin, WF; Chan, KG</t>
  </si>
  <si>
    <t>See-Too, Wah-Seng; Ee, Robson; Madhaiyan, Munusamy; Kwon, Soon-Wo; Tan, Jia Yi; Lim, Yan Lue; Convey, Peter; Pearce, David A.; Yin, Wai Fong; Chan, Kok-Gan</t>
  </si>
  <si>
    <t>Planococcus versutus sp nov., isolated from soil</t>
  </si>
  <si>
    <t>Planococcus versutus; quorum quenching; Antarctic soil</t>
  </si>
  <si>
    <t>GENOME SEQUENCE; PLANOMICROBIUM; PSYCHROPHILUS; ANTARCTICUS; SEDIMENT</t>
  </si>
  <si>
    <t>A taxonomic study was performed on a novel Gram-stain-positive, coccus-shaped, orange-pigmented motile bacterium, designated as strain L10.15(T). The organism was isolated from a soil sample collected in Lagoon Island (close to Adelaide Island, western Antarctic Peninsula) using a quorum-quenching enrichment medium. Growth occurred at 4-30 degrees C, pH 6-11 and at moderately high salinity (0-15 %, w/v, NaCl), with optimal growth at 26 degrees C, at pH 7-8 and with 6% (w/v) NaCl. 16S rRNA gene sequence analysis showed that strain L10.15(T) belonged to the genus Planococcus and was closely related to Planococcus halocryophilus Or1(T) (99.3% similarity), Planococcus donghaensis Or1(T) (99.0 %), Planococcus antarcticus DSM 14505(T) (98.3 %), Planococcus plakortidis AS/ASP6 (II)(T) (97.6 %), Planococcus maritimus TF-9(T) (97.5 %), Planococcus salinarum ISL-6(T) (97.5 %) and Planococcus kocurii NCIMB 629(T) (97.5 %). However, the average nucleotide identity-MUMmer analysis showed low genomic relatedness values of 71.1-81.7% to the type strains of these closely related species of the genus Planococcus. The principal fatty acids were anteiso-C-15:0, C-16:1 omega 7c and anteiso-C-17: 0,C- and the major menaquinones of strain L10.15(T) were MK-5 (48 %), MK-6 (6 %) and MK-7 (44 %). Polar lipid analysis revealed the presence of phosphatidylethanolamine, phosphatidylglycerol, diphosphatidylglycerol and aminophospholipid. The DNA G+C content was 39.4 mol%. The phenotypic and genotypic data indicate that strain L10.15 T represents a novel species of the genus Planococcus, for which the name Planococcus versutus sp. nov. is proposed. The type strain is L10.15(T) (= DSM 101994(T)=KACC 18918(T)).</t>
  </si>
  <si>
    <t>[See-Too, Wah-Seng; Ee, Robson; Tan, Jia Yi; Lim, Yan Lue; Yin, Wai Fong; Chan, Kok-Gan] Univ Malaya, Inst Biol Sci, Div Genet &amp; Mol Biol, Fac Sci, Kuala Lumpur, Malaysia; [See-Too, Wah-Seng; Convey, Peter; Pearce, David A.] Univ Malaya, Inst Postgrad Studies, NARC, Kuala Lumpur 50603, Malaysia; [Madhaiyan, Munusamy] Natl Univ Singapore, Temasek Lifesci Lab, 1 Res Link, Singapore 117604, Singapore; [Kwon, Soon-Wo] Natl Acad Agr Sci, Natl Agrobiodivers Ctr, Suwon 441707, South Korea; [Convey, Peter; Pearce, David A.] British Antarctic Survey, NERC, Madingley Rd, Cambridge CB3 0ET, England; [Pearce, David A.] Univ Northumbria, Fac Hlth &amp; Life Sci, Newcastle Upon Tyne NE1 8ST, Tyne &amp; Wear, England; [Chan, Kok-Gan] Univ Malaya, UM Omics Ctr, Kuala Lumpur, Malaysia</t>
  </si>
  <si>
    <t>Universiti Malaya; Universiti Malaya; National University of Singapore; UK Research &amp; Innovation (UKRI); Natural Environment Research Council (NERC); NERC British Antarctic Survey; Northumbria University; Universiti Malaya</t>
  </si>
  <si>
    <t>Chan, KG (corresponding author), Univ Malaya, Inst Biol Sci, Div Genet &amp; Mol Biol, Fac Sci, Kuala Lumpur, Malaysia.;Chan, KG (corresponding author), Univ Malaya, UM Omics Ctr, Kuala Lumpur, Malaysia.</t>
  </si>
  <si>
    <t>kokgan@um.edu.my</t>
  </si>
  <si>
    <t>Convey, Peter/AAV-5728-2020; Chan, Kok-Gan/B-8347-2010; Tan, Chloe/AEO-5027-2022; See-Too, Wah-Seng/O-9330-2019; Madhaiyan, Munusamy/O-5413-2018</t>
  </si>
  <si>
    <t>Convey, Peter/0000-0001-8497-9903; Chan, Kok-Gan/0000-0002-1883-1115; See-Too, Wah-Seng/0000-0003-0843-1895; Pearce, David/0000-0001-5292-4596; Madhaiyan, Munusamy/0000-0002-0274-8931</t>
  </si>
  <si>
    <t>University of Malaya High Impact Research Grants (UM-MOHE HIR Grant ) [UM.C/625/1/HIR/MOHE/CHAN/14/1, H-50001-A000027, UM.C/625/1/ HIR/MOHE/CHAN/01, A-000001-50001]; NERC; [PG263-2016A]; Natural Environment Research Council [bas0100036] Funding Source: researchfish; NERC [bas0100036] Funding Source: UKRI</t>
  </si>
  <si>
    <t>University of Malaya High Impact Research Grants (UM-MOHE HIR Grant ); NERC(UK Research &amp; Innovation (UKRI)Natural Environment Research Council (NERC)); ; Natural Environment Research Council(UK Research &amp; Innovation (UKRI)Natural Environment Research Council (NERC)); NERC(UK Research &amp; Innovation (UKRI)Natural Environment Research Council (NERC))</t>
  </si>
  <si>
    <t>This work was supported by the University of Malaya High Impact Research Grants (UM-MOHE HIR Grant UM.C/625/1/HIR/MOHE/CHAN/14/1, grant no. H-50001-A000027; UM-MOHE HIR Grant UM.C/625/1/ HIR/MOHE/CHAN/01, grant no. A-000001-50001) awarded to K-G.C. and the Postgraduate Research Fund (project no. PG263-2016A) awarded to W-S. S-T. P.C. is supported by NERC core funding to the British Antarctic Survey's 'Biodiversity, Evolution and Adaptation' Team.</t>
  </si>
  <si>
    <t>10.1099/ijsem.0.001721</t>
  </si>
  <si>
    <t>WOS:000401992800030</t>
  </si>
  <si>
    <t>Correia, AT; Campana, SE; Leis, JM; Able, KW; Rosenthal, H</t>
  </si>
  <si>
    <t>Correia, Alberto T.; Campana, Steven E.; Leis, Jeffrey M.; Able, Kenneth W.; Rosenthal, Harald</t>
  </si>
  <si>
    <t>Proceedings of the XVth European Congress of Ichthyology 2015 (Porto, Portugal) FOREWORD</t>
  </si>
  <si>
    <t>JOURNAL OF APPLIED ICHTHYOLOGY</t>
  </si>
  <si>
    <t>[Correia, Alberto T.] Ctr Interdisciplinar Invest Marinha &amp; Ambiental, Matosinhos, Portugal; [Campana, Steven E.] Univ Iceland, Life &amp; Environm Sci, Reykjavik, Iceland; [Leis, Jeffrey M.] Univ Tasmania, Inst Marine &amp; Antarctic Res, Hobart, Tas, Australia; [Leis, Jeffrey M.] Australian Museum Res Inst, Sydney, NSW, Australia; [Able, Kenneth W.] Rutgers Univ Marine Field Stn, Tuckerton, NJ USA; [Rosenthal, Harald] World Sturgeon Conservat Soc, Neu Wulmstorf, Germany</t>
  </si>
  <si>
    <t>Universidade do Porto; University of Iceland; University of Tasmania; Australian Museum; Rutgers University System; Rutgers University New Brunswick</t>
  </si>
  <si>
    <t>Correia, AT (corresponding author), Ctr Interdisciplinar Invest Marinha &amp; Ambiental, Matosinhos, Portugal.</t>
  </si>
  <si>
    <t>Leis, Jeffrey M/JCE-0397-2023; Campana, Steven/L-7918-2019; Correia, Alberto Teodorico/J-3665-2012; Leis, Jeffrey M/E-7502-2012; Quality, Aquaculture Seafood/AAD-7718-2019</t>
  </si>
  <si>
    <t>Leis, Jeffrey M/0000-0003-0603-3447; Campana, Steven/0000-0002-7453-3761; Correia, Alberto Teodorico/0000-0002-2831-025X; Leis, Jeffrey M/0000-0003-0603-3447;</t>
  </si>
  <si>
    <t>0175-8659</t>
  </si>
  <si>
    <t>1439-0426</t>
  </si>
  <si>
    <t>J APPL ICHTHYOL</t>
  </si>
  <si>
    <t>J. Appl. Ichthyol.</t>
  </si>
  <si>
    <t>10.1111/jai.13315</t>
  </si>
  <si>
    <t>EP6GL</t>
  </si>
  <si>
    <t>WOS:000397476300001</t>
  </si>
  <si>
    <t>Marambio, J; Mendez, F; Ocaranza, P; Rodriguez, JP; Rosenfeld, S; Ojeda, J; Murcia, S; Terrados, J; Bischof, K; Mansilla, A</t>
  </si>
  <si>
    <t>Marambio, J.; Mendez, F.; Ocaranza, P.; Rodriguez, J. P.; Rosenfeld, S.; Ojeda, J.; Murcia, S.; Terrados, J.; Bischof, K.; Mansilla, A.</t>
  </si>
  <si>
    <t>Seasonal variations of the photosynthetic activity and pigment concentrations in different reproductive phases of Gigartina skottsbergii (Rhodophyta, Gigartinales) in the Magellan region, sub-Antarctic Chile</t>
  </si>
  <si>
    <t>Rhodophyta; Ecophysiology; Phycobiliproteins; Sub-Antarctic; Magallanes</t>
  </si>
  <si>
    <t>PALMARIA-DECIPIENS PALMARIALES; SOUTHERN CHILE; GROWTH; LIGHT; ALGAE; RED; GRACILARIA; PHYTOPLANKTON; GAMETOPHYTES; MACROCYSTIS</t>
  </si>
  <si>
    <t>Seasonal environmental changes may significantly influence macroalgal diversity and biomass. Cryptogam species richness increases towards the poles, especially in sub-Antarctic environments. Yet, subpolar seaweed biodiversity and ecophysiology remain understudied even though it is essential for the management and sustainability of endemic species of significant economic interest (e.g., Gigartina skottsbergii). We evaluate the seasonality and ecophysiology of the different life phases of the rhodophyte G. skottsbergii by analyzing variation in fluorescence yield and photosynthetic pigment composition. There were significant seasonal differences in maximum relative electron transport rate (rETR(max)) between gametophyte and tetrasporophyte phase, and between reproductive and vegetative specimens. Photosynthetic efficiency (alpha) was not significantly different between reproductive states of G. skottsbergii. We found significant differences in mean concentrations of allophycocyanin (APC), phycocyanin (PC), and chlorophyll a (Chl a) between gametophyte and tetrasporophyte phases. Results obtained provide new insight into seasonal acclimation patterns of an ecologically important species, which can be used for the design of appropriate management and cultivation strategies of G. skottsbergii towards the restoration of natural populations in fragile, subpolar regions where some of the last, relatively undisturbed communities of G. skottsbergii still remain.</t>
  </si>
  <si>
    <t>[Marambio, J.; Mendez, F.; Ocaranza, P.; Rodriguez, J. P.; Rosenfeld, S.; Ojeda, J.; Murcia, S.; Mansilla, A.] Univ Magallanes, Lab Macroalgas Antarticas &amp; Subantarticas, Bulnes Ave 01855, Punta Arenas 6200000, Chile; [Marambio, J.; Mendez, F.; Rodriguez, J. P.; Rosenfeld, S.; Mansilla, A.] IEB, Palmeras 3425, Santiago 8320000, Nunoa, Chile; [Marambio, J.; Mendez, F.; Ocaranza, P.; Rodriguez, J. P.; Rosenfeld, S.] Univ Magallanes, Programa Magister Ciencias Menc Manejo &amp; Conserva, Punta Arenas 6200000, Chile; [Terrados, J.] Inst Mediterraneo Estudios Avanzados IMEDEA, Esporles, Mallorca, Spain; [Terrados, J.] CSIC UIB, Esporles, Mallorca, Spain; [Bischof, K.] Univ Bremen, Marine Bot, Fac Biol Chem, Leobener Str NW2, D-28359 Bremen, Germany</t>
  </si>
  <si>
    <t>Universidad de Magallanes; Universidad de Magallanes; Consejo Superior de Investigaciones Cientificas (CSIC); ATTITUS Educacao; Universitat de les Illes Balears; University of Barcelona; University of Bremen</t>
  </si>
  <si>
    <t>Mansilla, A (corresponding author), Univ Magallanes, Lab Macroalgas Antarticas &amp; Subantarticas, Bulnes Ave 01855, Punta Arenas 6200000, Chile.;Mansilla, A (corresponding author), IEB, Palmeras 3425, Santiago 8320000, Nunoa, Chile.</t>
  </si>
  <si>
    <t>andres.mansilla@umag.cl</t>
  </si>
  <si>
    <t>Provoste, Juan Pablo Rodríguez/W-2988-2019; Ojeda, Jaime/HHN-1455-2022; Terrados, Jorge/B-1062-2008</t>
  </si>
  <si>
    <t>Terrados, Jorge/0000-0002-0921-721X; ojeda, jaime/0000-0003-3863-9750; Bischof, Kai/0000-0002-4497-1920; Mansilla, Andres/0000-0003-3505-7018; Rosenfeld, Sebastian/0000-0002-4363-8018; marambio, johanna/0000-0003-1958-0351</t>
  </si>
  <si>
    <t>Chile's National Council for Research in Science and Technology-CONICYT; FONDECYT [1140940]; Millennium Scientific Initiative (ICM, Chile) [P05-002]; Basal Financing Program (Chile) [PFB-23]; Institute of Ecology and Biodiversity (ICM) [P05-002, PFB-23-2008, ICM P05-002]</t>
  </si>
  <si>
    <t>Chile's National Council for Research in Science and Technology-CONICYT; FONDECYT(Comision Nacional de Investigacion Cientifica y Tecnologica (CONICYT)CONICYT FONDECYT); Millennium Scientific Initiative (ICM, Chile); Basal Financing Program (Chile); Institute of Ecology and Biodiversity (ICM)</t>
  </si>
  <si>
    <t>This research was funded by Chile's National Council for Research in Science and Technology-CONICYT, FONDECYT grant 1140940 to A. Mansilla, the Millennium Scientific Initiative (grant P05-002 ICM, Chile), and the Basal Financing Program (grant PFB-23, Chile). Thank you for the graduate scholarships by the Institute of Ecology and Biodiversity granted to F. Mendez (ICM, P05-002), J.P. Rodriguez (ICM, P05-002), J. Marambio (PFB-23-2008), and S. Rosenfeld (ICM P05-002).</t>
  </si>
  <si>
    <t>10.1007/s10811-016-0913-5</t>
  </si>
  <si>
    <t>WOS:000399241500007</t>
  </si>
  <si>
    <t>Moreau, C; Saucède, T; Jossart, Q; Agüera, A; Brayard, A; Danis, B</t>
  </si>
  <si>
    <t>Moreau, Camille; Saucede, Thomas; Jossart, Quentin; Aguera, Antonio; Brayard, Arnaud; Danis, Bruno</t>
  </si>
  <si>
    <t>Reproductive strategy as a piece of the biogeographic puzzle: a case study using Antarctic sea stars (Echinodermata, Asteroidea)</t>
  </si>
  <si>
    <t>JOURNAL OF BIOGEOGRAPHY</t>
  </si>
  <si>
    <t>Antarctica; benthos; biogeographic barrier; Echinodermata; invertebrate; regionalization; reproductive mode; sea stars; Southern Ocean</t>
  </si>
  <si>
    <t>MOLECULAR PHYLOGENY; SOUTHERN; WATER; EVOLUTIONARY; BIODIVERSITY; ASSEMBLAGES; PATTERNS; REGISTER; BATHYAL; FAUNA</t>
  </si>
  <si>
    <t>Aim To describe and analyse asteroid biogeographic patterns in the Southern Ocean (SO) and test whether reproductive strategy (brooder versus broadcaster) can explain distribution patterns at the scale of the entire class. We hypothesize that brooding and broadcasting species display different biogeographic patterns. Location Southern Ocean, south of 45 degrees S. Methods Over 14,000 asteroid occurrences are analysed using bootstrapped spanning network (BSN), non-metrical multidimensional scaling (nMDS) and clustering to uncover the spatial structure of faunal similarities among 25 bioregions. Results Main biogeographic patterns are congruent with previous works based on other taxa and highlight the isolation of New Zealand, the high richness in the Scotia Arc area particularly of brooding species, an East/West Antarctic differentiation, and the faunal affinities between South America and sub-Antarctic Islands. Asteroids show lower endemism levels than previously reported with 29% of species occurring in Antarctica only. In particular, asteroids from Tierra del Fuego showed affinities with those of West Antarctica at the species level, suggesting a recent mixing of assemblages. Biogeographic patterns are highly linked to reproductive strategy. Patterns also differ according to the taxonomic level, revealing the underlying role of historical factors. Main conclusions Patterns of sea star biogeography are consistent with results obtained for other marine groups and are strongly linked to reproductive strategy.</t>
  </si>
  <si>
    <t>[Moreau, Camille; Jossart, Quentin; Aguera, Antonio; Danis, Bruno] ULB, Marine Biol Lab, CP160-15,50 Ave FD Roosevelt, B-1050 Brussels, Belgium; [Moreau, Camille; Saucede, Thomas; Brayard, Arnaud] UBFC, UMR CNRS Biogeosci 6282, F-21000 Dijon, France</t>
  </si>
  <si>
    <t>Universite Libre de Bruxelles; Universite de Bourgogne</t>
  </si>
  <si>
    <t>Moreau, C (corresponding author), ULB, Marine Biol Lab, CP160-15,50 Ave FD Roosevelt, B-1050 Brussels, Belgium.</t>
  </si>
  <si>
    <t>mr.moreau.camille@gmail.com</t>
  </si>
  <si>
    <t>Agüera, Antonio/O-5498-2017; Danis, Bruno/AAS-8444-2021; Brayard, Arnaud/E-4711-2011; Brayard, Arnaud/AAH-3075-2020</t>
  </si>
  <si>
    <t>Agüera, Antonio/0000-0003-0076-1849; Danis, Bruno/0000-0002-9037-7623; Brayard, Arnaud/0000-0003-1304-6553; Brayard, Arnaud/0000-0003-1304-6553; Jossart, Quentin/0000-0002-2280-243X; Moreau, Camille/0000-0002-0981-7442</t>
  </si>
  <si>
    <t>Fonds pour la formation a la Recherche dans l'Industrie et l'Agriculture (FRIA); Belgian Science Policy Office (BELSPO) [BR/132/A1/vERSO]</t>
  </si>
  <si>
    <t>Fonds pour la formation a la Recherche dans l'Industrie et l'Agriculture (FRIA)(Fonds de la Recherche Scientifique - FNRS); Belgian Science Policy Office (BELSPO)(Belgian Federal Science Policy Office)</t>
  </si>
  <si>
    <t>The authors thank Dr. Gilles Escarguel (Lyon) for his help with the BSN procedure as well as Rachel Downey and Dr. David Barnes for helpful comments on an early manuscript. Marc Eleaume, Christopher Mah, Vladimir Laptikhovsky and Anna Jazdzewska for their data and identification contributions. Prof. Richard Ladle for the help he offered in the last steps of the submission process. The work was supported by a Fonds pour la formation a la Recherche dans l'Industrie et l'Agriculture (FRIA) grants to C. Moreau. This is contribution no. 13 to the vERSO project (www.versoproject.be), funded by the Belgian Science Policy Office (BELSPO, contract no BR/132/A1/vERSO) and a contribution to team BioME of the Biogeosciences laboratory.</t>
  </si>
  <si>
    <t>0305-0270</t>
  </si>
  <si>
    <t>1365-2699</t>
  </si>
  <si>
    <t>J BIOGEOGR</t>
  </si>
  <si>
    <t>J. Biogeogr.</t>
  </si>
  <si>
    <t>10.1111/jbi.12965</t>
  </si>
  <si>
    <t>Ecology; Geography, Physical</t>
  </si>
  <si>
    <t>ER1RQ</t>
  </si>
  <si>
    <t>WOS:000398571000012</t>
  </si>
  <si>
    <t>González-Wevar, CA; Hüne, M; Segovia, NI; Nakano, T; Spencer, HG; Chown, SL; Saucède, T; Johnstone, G; Mansilla, A; Poulin, E</t>
  </si>
  <si>
    <t>Gonzalez-Wevar, Claudio A.; Hune, Mathias; Segovia, Nicolas I.; Nakano, Tomoyuki; Spencer, Hamish G.; Chown, Steven L.; Saucede, Thomas; Johnstone, Glenn; Mansilla, Andres; Poulin, Elie</t>
  </si>
  <si>
    <t>Following the Antarctic Circumpolar Current: patterns and processes in the biogeography of the limpet Nacella (Mollusca: Patellogastropoda) across the Southern Ocean</t>
  </si>
  <si>
    <t>Antarctic Circumpolar Current; biogeography; lineage-through-time plots; long-distance dispersal; Nacella; Southern Ocean</t>
  </si>
  <si>
    <t>LONG-DISTANCE DISPERSAL; GENETIC-STRUCTURE; CLIMATE-CHANGE; MITOCHONDRIAL LINEAGES; MOLECULAR SYSTEMATICS; POLAR FRONT; DIVERSIFICATION; DNA; DIVERGENCE; SPECIATION</t>
  </si>
  <si>
    <t>Aim We use an integrative biogeographical approach to further understand the evolution of an important Southern Ocean marine benthic element, the limpet genus Nacella (Mollusca: Patellogastropoda). Location Southern Ocean. Methods We used multi-locus time-calibrated phylogeny of Nacella at the scale of the whole Southern Ocean to elucidate the underlying processes involved in the origin and diversification of the genus. Results Divergence-time estimates suggest that soon after its origin during the mid-Miocene (c. 12.5Ma), Nacella separated into two main lineages currently distributed in (1) South America and (2) Antarctica and the sub-Antarctic islands. We identified two pulses of diversification, during the late Miocene (8 to 5.5Ma) and the Pleistocene (&lt; 1 Ma). Main conclusions Major periods of climatic and oceanographical change strongly affected the biogeography of Nacella and demonstrate both the long- and short-term influence of the Antarctic Circumpolar Current across the Southern Ocean. Our analyses support the validity of all currently recognized Nacella species and reveal a new South-American lineage. This work constitutes the most detailed molecular-based study of an ecologically important, near-shore invertebrate Southern Ocean group and in so doing contributes to the improved understanding of the underlying patterns and processes in the origin and diversification of marine benthic fauna across this globally important region.</t>
  </si>
  <si>
    <t>[Gonzalez-Wevar, Claudio A.; Mansilla, Andres] Univ Magallanes, Bulnes 01890, Punta Arenas, Chile; [Gonzalez-Wevar, Claudio A.; Hune, Mathias; Segovia, Nicolas I.; Poulin, Elie] Univ Chile, IEB, Dept Ciencias Ecol, Santiago 3425, Chile; [Nakano, Tomoyuki] Kyoto Univ, Seto Marine Biol Lab, Field Sci Educ &amp; Res Ctr, Wakayama 6492211, Japan; [Spencer, Hamish G.] Univ Otago, Allan Wilson Ctr, Dept Zool, Dunedin 9054, New Zealand; [Chown, Steven L.] Monash Univ, Sch Biol Sci, Melbourne, Vic 3800, Australia; [Saucede, Thomas] Univ Bourgogne, Biogeosci, UMR CNRS 6282, F-21000 Dijon, France; [Johnstone, Glenn] Australian Antarctic Div, Kingston, Tas 7050, Australia</t>
  </si>
  <si>
    <t>Universidad de Magallanes; Universidad de Chile; Kyoto University; University of Otago; Monash University; Centre National de la Recherche Scientifique (CNRS); CNRS - Institute of Ecology &amp; Environment (INEE); Universite de Bourgogne; Australian Antarctic Division</t>
  </si>
  <si>
    <t>González-Wevar, CA (corresponding author), Univ Magallanes, Fac Ciencias, Bulnes, Punta Arenas, Chile.</t>
  </si>
  <si>
    <t>claudio.gonzalez@umag.cl</t>
  </si>
  <si>
    <t>Spencer, Hamish G/B-9637-2008; Chown, Steven/ABD-7646-2021; González-Wevar, Claudio Alejandro/AAD-6513-2021; Hüne, Mathias/ABE-6000-2020; Poulin, Elie/C-2654-2012; Chown, Steven/H-3347-2011</t>
  </si>
  <si>
    <t>Spencer, Hamish G/0000-0001-7531-597X; Poulin, Elie/0000-0001-7736-0969; Nakano, Tomoyuki/0009-0008-0109-1289; Mansilla, Andres/0000-0003-3505-7018; Chown, Steven/0000-0001-6069-5105</t>
  </si>
  <si>
    <t>Fondecyt Initiation Project [11140087]; ICM [P05-002]; (Instituto de Ecologia y Biodiversidad IEB, Universidad de Chile) [PFB 023]; Regular Fondecyt Project [1151336]; Australian Antarctic Science Project [4307]; IPEV program [1044]; South African National Antarctic Program; [INACH 02-02]; [INACH 13-05]; [ECOSC06B02]</t>
  </si>
  <si>
    <t>Fondecyt Initiation Project(Comision Nacional de Investigacion Cientifica y Tecnologica (CONICYT)CONICYT FONDECYT); ICM; (Instituto de Ecologia y Biodiversidad IEB, Universidad de Chile); Regular Fondecyt Project; Australian Antarctic Science Project; IPEV program; South African National Antarctic Program; ; ;</t>
  </si>
  <si>
    <t>This work was supported by the following projects and institutions: Fondecyt Initiation Project 11140087 to C.A.G-W; Projects P05-002 ICM and PFB 023 (Instituto de Ecologia y Biodiversidad IEB, Universidad de Chile) to C.A.G-W and E.P. INACH 02-02, INACH 13-05, ECOSC06B02, and Regular Fondecyt Project 1151336 to E.P. The Allan Wilson Centre supported H.G.S. S.L.C. was supported by the Australian Antarctic Science Project 4307. We are grateful to Philippe Bouchet (Museum National d'Histoire Naturelle, France) for advice on nomenclature. At the same time, we are indebted to many collectors who provided specimens from around the Southern Ocean: Ceridwen Fraser, Yves Frenot, Paul Brickle, Charlene Janion, Kate Willis and Rebecca Cumming. Field access facilities at Kerguelen Island were supported by IPEV program 1044 Proteker to E.P, C.A.G-W., J-P. F. and T. S. Access facilities at Marion Island were supported by the South African National Antarctic Program. We mostly appreciate the editorial assistance of Dr. Jon Waters and Peter Linder for their comments and suggestions. Three anonymous reviewers helped us significantly to improve the article. This article contributes to the SCAR 'State of Antarctic Ecosystem' (AntEco) programme.</t>
  </si>
  <si>
    <t>10.1111/jbi.12908</t>
  </si>
  <si>
    <t>WOS:000398571000013</t>
  </si>
  <si>
    <t>Lehnebach, CA; Winkworth, RC; Becker, M; Lockhart, PJ; Hennion, F</t>
  </si>
  <si>
    <t>Lehnebach, Carlos A.; Winkworth, Richard C.; Becker, Matthias; Lockhart, Peter J.; Hennion, Francoise</t>
  </si>
  <si>
    <t>Around the pole: evolution of sub-Antarctic Ranunculus</t>
  </si>
  <si>
    <t>dispersal; divergence time estimates; ecomorphology; historical biogeography; phylogenetic biogeography; Ranunculus; sub-Antarctic islands</t>
  </si>
  <si>
    <t>NEW-ZEALAND ALPINE; SOUTHERN-HEMISPHERE; PHYLOGENETIC-RELATIONSHIPS; TRANSOCEANIC DISPERSAL; BIOGEOGRAPHY; ISLANDS; PLANT; KERGUELEN; SEQUENCES; MAXIMUM</t>
  </si>
  <si>
    <t>Aim Despite an improved understanding of Southern Hemisphere plant biogeography, the origins and evolution of sub-Antarctic floras remain poorly studied. Here, we investigate the historical biogeography of sub-Antarctic representatives of the genus Ranunculus. We aimed to establish when and from where the sub-Antarctic ranunculi originated as well as to examine the extent to which ecomorphological traits explain contemporary biogeographical patterns. Location Southern temperate and sub-Antarctic zones. Methods We first estimated a dated phylogeny for Ranunculus using combined chloroplast and nuclear data for 53 accessions; divergence times were inferred based on three temporal calibrations. We then used non-parametric multidimensional scaling to evaluate the ecomorphological diversity of 67 austral ranunculi representing a combination of sub-Antarctic species and those restricted to lower latitude landmasses. Results Phylogenetic analyses indicated that several Ranunculus lineages have colonized the sub-Antarctic islands. Divergence time estimates suggest recent arrival from source areas in Australia, New Zealand or South America. Species exhibiting two distinct ecomorphological trait combinations occur in both sub-Antarctic and lower latitude habitats; the proportions of each combination differed significantly between these areas. Main conclusions Ranunculus has colonized the sub-Antarctic on several occasions, most often arriving from the lower latitude landmasses prior to the Last Glacial Maximum. Taken together our analyses suggest that chance effects are likely to have influenced species arrival. However, following arrival trait-environment interactions appear to have been important for the subsequent establishment and persistence of ranunculi in sub-Antarctic habitats.</t>
  </si>
  <si>
    <t>[Lehnebach, Carlos A.] Museum New Zealand, 55 Cable St,POB 467, Wellington, New Zealand; [Winkworth, Richard C.] Unitec Inst Technol, Dept Nat Sci, Auckland 1025, New Zealand; [Winkworth, Richard C.; Lockhart, Peter J.] Massey Univ, Inst Fundamental Sci, POB 11222, Palmerston North, New Zealand; [Becker, Matthias] IGZ Leibniz Inst Vegetable &amp; Ornamental Crops, D-14979 Grossbeeren, Germany; [Hennion, Francoise] Univ Rennes 1, CNRS, UMR ECOBIO 6553, F-35042 Rennes, France</t>
  </si>
  <si>
    <t>Unitec NZ; Massey University; Leibniz Institut fur Gemuse- und Zierpflanzenbau (IGZ); Universite de Rennes; Centre National de la Recherche Scientifique (CNRS); CNRS - Institute of Ecology &amp; Environment (INEE)</t>
  </si>
  <si>
    <t>Lehnebach, CA (corresponding author), Museum New Zealand, 55 Cable St,POB 467, Wellington, New Zealand.</t>
  </si>
  <si>
    <t>carlosl@tepapa.govt.nz</t>
  </si>
  <si>
    <t>Hennion, Francoise/P-3356-2014; Lockhart, Peter J/E-6624-2011</t>
  </si>
  <si>
    <t>Winkworth, Richard/0000-0001-5394-3094; Lockhart, Peter/0000-0002-1862-5688; Hennion, Francoise/0000-0001-5355-5614</t>
  </si>
  <si>
    <t>The Museum of New Zealand Te Papa Tongarewa; Massey University Research Fund; The Centre National de la Recherche Scientifique (CNRS); Universite de Rennes 1; Institut Polar Francais (IPEV)</t>
  </si>
  <si>
    <t>The Museum of New Zealand Te Papa Tongarewa; Massey University Research Fund; The Centre National de la Recherche Scientifique (CNRS)(Centre National de la Recherche Scientifique (CNRS)); Universite de Rennes 1; Institut Polar Francais (IPEV)</t>
  </si>
  <si>
    <t>We thank J. Frericks, P. McLenachan and P. Ritchie as well as the staff members at the P and WELT herbaria for their support. The Museum of New Zealand Te Papa Tongarewa and Massey University Research Fund financially supported this research. The Centre National de la Recherche Scientifique (CNRS) (PICS programme 'AntarctBiodiv' led by F.H.) and the Universite de Rennes 1 also provided support. Work on the Iles Kerguelen and Archipel Crozet was supported by the Institut Polar Francais (IPEV) (Programmes 136 led by M. Lebouvier and 1116 by F.H.). This research is linked to the CNRS Zone-Atelier Antarctique and the Scientific Committee on Antarctic Research (SCAR) programmes AntEco and AnT-ERA.</t>
  </si>
  <si>
    <t>10.1111/jbi.12952</t>
  </si>
  <si>
    <t>WOS:000398571000014</t>
  </si>
  <si>
    <t>Lu, H; Scaife, AA; Marshall, GJ; Turner, J; Gray, LJ</t>
  </si>
  <si>
    <t>Lu, Hua; Scaife, Adam A.; Marshall, Gareth J.; Turner, John; Gray, Lesley J.</t>
  </si>
  <si>
    <t>Downward Wave Reflection as a Mechanism for the Stratosphere-Troposphere Response to the 11-Yr Solar Cycle</t>
  </si>
  <si>
    <t>INTERANNUAL VARIABILITY; UV-RADIATION; MODEL; INDEX; QBO</t>
  </si>
  <si>
    <t>The effects of solar activity on the stratospheric waveguides and downward reflection of planetary waves during NH early to midwinter are examined. Under high solar (HS) conditions, enhanced westerly winds in the subtropical upper stratosphere and the associated changes in the zonal wind curvature led to an altered waveguide geometry across the winter period in the upper stratosphere. In particular, the condition for barotropic instability was more frequently met at 1 hPa near the polar-night jet centered at about 55 degrees N. In early winter, the corresponding change in wave forcing was characterized by a vertical dipole pattern of the Eliassen-Palm (E-P) flux divergent anomalies in the high-latitude upper stratosphere accompanied by poleward E-P flux anomalies. These wave forcing anomalies corresponded with negative vertical shear of zonal mean winds and the formation of a vertical reflecting surface. Enhanced downward E-P flux anomalies appeared below the negative shear zone; they coincided with more frequent occurrence of negative daily heat fluxes and were associated with eastward acceleration and downward group velocity. These downward-reflected wave anomalies had a detectable effect on the vertical structure of planetary waves during November-January. The associated changes in tropospheric geopotential height contributed to a more positive phase of the North Atlantic Oscillation in January and February. These results suggest that downward reflection may act as a `` top down'' pathway by which the effects of solar ultraviolet (UV) radiation in the upper stratosphere can be transmitted to the troposphere.</t>
  </si>
  <si>
    <t>[Lu, Hua; Marshall, Gareth J.; Turner, John] British Antarctic Survey, Cambridge, England; [Scaife, Adam A.] Met Off Hadley Ctr, Exeter, Devon, England; [Gray, Lesley J.] Univ Oxford, Clarendon Lab, Dept Atmospher Phys, NCAS Climate, Oxford, England</t>
  </si>
  <si>
    <t>UK Research &amp; Innovation (UKRI); Natural Environment Research Council (NERC); NERC British Antarctic Survey; Met Office - UK; Hadley Centre; University of Oxford</t>
  </si>
  <si>
    <t>Lu, H (corresponding author), British Antarctic Survey, Cambridge, England.</t>
  </si>
  <si>
    <t>hlu@bas.ac.uk; adam.scaife@metoffice.gov.uk; gjma@bas.ac.uk; jtu@bas.ac.uk; gray@atm.ox.ac.uk</t>
  </si>
  <si>
    <t>Gray, Lesley J/D-3610-2009; Lu, Hua/GXA-0276-2022</t>
  </si>
  <si>
    <t>Lu, Hua/0000-0001-9485-5082; Gray, Lesley/0000-0002-7803-9277</t>
  </si>
  <si>
    <t>Natural Environment Research Council; North Atlantic Climate System Integrated Study [NE/N0180228]; Joint DECC/Defra Met Office Hadley Centre Climate Programme [GA01101]; European Union; NERC [bas0100032, NE/N018095/1, NE/N010965/1, bas0100031, NE/H020462/1, NE/N018028/1, NE/N006089/1] Funding Source: UKRI; Natural Environment Research Council [ncas10009, NE/N018001/1, NE/N006089/1, NE/H020462/1, NE/N018028/1, bas0100031, bas0100032, NE/N018095/1, NE/N010965/1] Funding Source: researchfish</t>
  </si>
  <si>
    <t>Natural Environment Research Council(UK Research &amp; Innovation (UKRI)Natural Environment Research Council (NERC)); North Atlantic Climate System Integrated Study; Joint DECC/Defra Met Office Hadley Centre Climate Programme; European Union(European Union (EU));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</si>
  <si>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and the National Centre for Atmospheric Science, both of which are funded by the Natural Environment Research Council. HL and LJG were also supported by the North Atlantic Climate System Integrated Study (NE/N0180228). AAS was supported by the Joint DECC/Defra Met Office Hadley Centre Climate Programme (GA01101) and the European Union Framework 7 SPECS project. The paper has benefited from the constructive suggestions of three anonymous reviewers. We acknowledge use of ECMWF interim re-analysis datasets (http://apps.ecmwf.int/datasets/data/interim-full-daily). We thank Tony Philips for help with acquiring and managing the ERA-Interim data.</t>
  </si>
  <si>
    <t>10.1175/JCLI-D-16-0400.1</t>
  </si>
  <si>
    <t>Green Submitted, hybrid, Green Accepted</t>
  </si>
  <si>
    <t>WOS:000399678400007</t>
  </si>
  <si>
    <t>Pallarés, S; Botella-Cruz, M; Arribas, P; Millán, A; Velasco, J</t>
  </si>
  <si>
    <t>Pallares, Susana; Botella-Cruz, Maria; Arribas, Paula; Millan, Andres; Velasco, Josefa</t>
  </si>
  <si>
    <t>Aquatic insects in a multistress environment: cross-tolerance to salinity and desiccation</t>
  </si>
  <si>
    <t>JOURNAL OF EXPERIMENTAL BIOLOGY</t>
  </si>
  <si>
    <t>Inland waters; Beetles; Drought; Osmotic stress; Homeostasis; Water balance</t>
  </si>
  <si>
    <t>WATER BEETLES COLEOPTERA; DROSOPHILA-MELANOGASTER; PHYSIOLOGICAL-RESPONSES; TENEBRIONID BEETLE; MULTIPLE STRESSORS; PLASTIC RESPONSES; ANTARCTIC MIDGE; RECTAL COMPLEX; HEAT-SHOCK; OSMOREGULATION</t>
  </si>
  <si>
    <t>Exposing organisms to a particular stressor may enhance tolerance to a subsequent stress, when protective mechanisms against the two stressors are shared. Such cross-tolerance is a common adaptive response in dynamic multivariate environments and often indicates potential co-evolution of stress traits. Many aquatic insects in inland saline waters from Mediterranean-climate regions are sequentially challenged with salinity and desiccation stress. Thus, cross-tolerance to these physiologically similar stressors could have been positively selected in insects of these regions. We used adults of the saline water beetles Enochrus jesusarribasi (Hydrophilidae) and Nebrioporus baeticus (Dytiscidae) to test cross-tolerance responses to desiccation and salinity. In independent laboratory experiments, we evaluated the effects of (i) salinity stress on the subsequent resistance to desiccation and (ii) desiccation stress (rapid and slow dehydration) on the subsequent tolerance to salinity. Survival, water loss and haemolymph osmolality were measured. Exposure to stressful salinity improved water control under subsequent desiccation stress in both species, with a clear cross-tolerance (enhanced performance) in N. baeticus. In contrast, general negative effects on performance were found under the inverse stress sequence. The rapid and slow dehydration produced different water loss and haemolymph osmolality dynamics that were reflected in different survival patterns. Our finding of cross-tolerance to salinity and desiccation in ecologically similar species from distant lineages, together with parallel responses between salinity and thermal stress previously found in several aquatic taxa, highlights the central role of adaption to salinity and co-occurring stressors in arid inland waters, having important implications for the species' persistence under climate change.</t>
  </si>
  <si>
    <t>[Pallares, Susana; Botella-Cruz, Maria; Millan, Andres; Velasco, Josefa] Univ Murcia, Dept Ecol &amp; Hydrol, E-30100 Murcia, Spain; [Arribas, Paula] Nat Hist Museum, Dept Life Sci, London SW7 5BD, England; [Arribas, Paula] Imperial Coll London, Dept Life Sci, London SW7 2AZ, England; [Arribas, Paula] CSIC, IPNA, Island Ecol &amp; Evolut Res Grp, San Cristobal la Laguna 38206, Spain</t>
  </si>
  <si>
    <t>University of Murcia; Natural History Museum London; Imperial College London; Consejo Superior de Investigaciones Cientificas (CSIC); CSIC - Instituto de Productos Naturales y Agrobiologia (IPNA)</t>
  </si>
  <si>
    <t>Pallarés, S (corresponding author), Univ Murcia, Dept Ecol &amp; Hydrol, E-30100 Murcia, Spain.</t>
  </si>
  <si>
    <t>susana.pallares@um.es</t>
  </si>
  <si>
    <t>Millan, Andres/D-3655-2009; Arribas, Paula/ABG-9998-2020; Pallarés, Susana/AAI-2417-2019; Velasco, Josefa/K-3806-2017</t>
  </si>
  <si>
    <t>Millan, Andres/0000-0003-0036-363X; Arribas, Paula/0000-0002-0358-8271; Pallarés, Susana/0000-0001-8677-7475; Botella-Cruz, Maria/0000-0002-9804-4479; Velasco, Josefa/0000-0002-7457-0781</t>
  </si>
  <si>
    <t>I+D+i project [Ministerio de Economi'a y Competitividad] [CGL2013-48950-C2-2-P]; FEDER (Fonds Europeen de Developpement Economique et Regional); Universidad de Murcia; Royal Society UK; Ministerio de Economia y Competitividad (Juan de la Cierva Formacion Program)</t>
  </si>
  <si>
    <t>I+D+i project [Ministerio de Economi'a y Competitividad]; FEDER (Fonds Europeen de Developpement Economique et Regional)(Marie Curie ActionsEuropean Union (EU)); Universidad de Murcia; Royal Society UK(Royal Society); Ministerio de Economia y Competitividad (Juan de la Cierva Formacion Program)</t>
  </si>
  <si>
    <t>This research was funded by the I+D+i project CGL2013-48950-C2-2-P [Ministerio de Economi'a y Competitividad cofinanced with FEDER (Fonds Europeen de Developpement Economique et Regional) funds], a PhD grant from Universidad de Murcia to S.P. and two post-doctoral grants from the Royal Society UK (Newton International Program) and from Ministerio de Economi'a y Competitividad (Juan de la Cierva Formacion Program) to P.A.</t>
  </si>
  <si>
    <t>COMPANY BIOLOGISTS LTD</t>
  </si>
  <si>
    <t>BIDDER BUILDING, STATION RD, HISTON, CAMBRIDGE CB24 9LF, ENGLAND</t>
  </si>
  <si>
    <t>0022-0949</t>
  </si>
  <si>
    <t>1477-9145</t>
  </si>
  <si>
    <t>J EXP BIOL</t>
  </si>
  <si>
    <t>J. Exp. Biol.</t>
  </si>
  <si>
    <t>10.1242/jeb.152108</t>
  </si>
  <si>
    <t>EP8IW</t>
  </si>
  <si>
    <t>WOS:000397620100022</t>
  </si>
  <si>
    <t>Dewi, FR; Stanley, R; Powell, SM; Burke, CM</t>
  </si>
  <si>
    <t>Dewi, Fera R.; Stanley, Roger; Powell, Shane M.; Burke, Christopher M.</t>
  </si>
  <si>
    <t>Application of electrolysed oxidising water as a sanitiser to extend the shelf-life of seafood products: a review</t>
  </si>
  <si>
    <t>JOURNAL OF FOOD SCIENCE AND TECHNOLOGY-MYSORE</t>
  </si>
  <si>
    <t>Electrolysed oxidising water; Shelf-life; Seafood products</t>
  </si>
  <si>
    <t>LISTERIA-MONOCYTOGENES CONTAMINATION; ESCHERICHIA-COLI O157H7; SALMON SALMO-SALAR; MODIFIED ATMOSPHERE; ATLANTIC SALMON; MICROBIAL-GROWTH; FOOD-INDUSTRY; RAW FISH; QUALITY; ICE</t>
  </si>
  <si>
    <t>Electrolysed oxidising water (E.O. water) is produced by electrolysis of sodium chloride to yield primarily chlorine based oxidising products. At neutral pH this results in hypochlorous acid in the un-protonated form which has the greatest oxidising potential and ability to penetrate microbial cell walls to disrupt the cell membranes. E.O. water has been shown to be an effective method to reduce microbial contamination on food processing surfaces. The efficacy of E.O. water against pathogenic bacteria such as Listeria monocytogenes, Escherichia coli and Vibrio parahaemolyticus has also been extensively confirmed in growth studies of bacteria in culture where the sanitising agent can have direct contact with the bacteria. However it can only lower, but not eliminate, bacteria on processed seafoods. More research is required to understand and optimise the impacts of E.O. pre-treatment sanitation processes on subsequent microbial growth, shelf life, sensory and safety outcomes for packaged seafood products.</t>
  </si>
  <si>
    <t>[Dewi, Fera R.] Univ Tasmania, Sch Land &amp; Food, Newnham Dr,Locked Bag 1351, Launceston, Tas 7250, Australia; [Stanley, Roger; Powell, Shane M.] Univ Tasmania, Tasmanian Inst Agr, Churchill Ave, Hobart, Tas 7005, Australia; [Burke, Christopher M.] Univ Tasmania, Inst Marine &amp; Antarctic Studies, Old Sch Rd,Private Bag 1370, Launceston, Tas 7250, Australia</t>
  </si>
  <si>
    <t>University of Tasmania; University of Tasmania; University of Tasmania</t>
  </si>
  <si>
    <t>Dewi, FR (corresponding author), Univ Tasmania, Sch Land &amp; Food, Newnham Dr,Locked Bag 1351, Launceston, Tas 7250, Australia.</t>
  </si>
  <si>
    <t>Fera.Dewi@utas.edu.au</t>
  </si>
  <si>
    <t>Powell, Shane M/C-2391-2014; Dewi, Fera Roswita/AAZ-7542-2021; Stanley, Roger/A-9226-2011</t>
  </si>
  <si>
    <t>Dewi, Fera Roswita/0000-0001-5013-1736; Powell, Shane/0000-0001-5082-1630</t>
  </si>
  <si>
    <t>SPRINGER INDIA</t>
  </si>
  <si>
    <t>7TH FLOOR, VIJAYA BUILDING, 17, BARAKHAMBA ROAD, NEW DELHI, 110 001, INDIA</t>
  </si>
  <si>
    <t>0022-1155</t>
  </si>
  <si>
    <t>0975-8402</t>
  </si>
  <si>
    <t>J FOOD SCI TECH MYS</t>
  </si>
  <si>
    <t>J. Food Sci. Technol.-Mysore</t>
  </si>
  <si>
    <t>10.1007/s13197-017-2577-9</t>
  </si>
  <si>
    <t>EV0QO</t>
  </si>
  <si>
    <t>WOS:000401448300031</t>
  </si>
  <si>
    <t>Rackow, T; Wesche, C; Timmermann, R; Hellmer, HH; Juricke, S; Jung, T</t>
  </si>
  <si>
    <t>Rackow, Thomas; Wesche, Christine; Timmermann, Ralph; Hellmer, Hartmut H.; Juricke, Stephan; Jung, Thomas</t>
  </si>
  <si>
    <t>A simulation of small to giant Antarctic iceberg evolution: Differential impact on climatology estimates</t>
  </si>
  <si>
    <t>iceberg drift; iceberg melting; giant icebergs; melt climatology; Southern Ocean; FESOM-IB</t>
  </si>
  <si>
    <t>MULTIRESOLUTION GLOBAL CLIMATE; ICE-OCEAN MODEL; INTERACTIVE ICEBERGS; DRIFT; CIRCULATION; MELT; FORMULATION; FRONTS; FLUX</t>
  </si>
  <si>
    <t>We present a simulation of Antarctic iceberg drift and melting that includes small, medium-sized, and giant tabular icebergs with a realistic size distribution. For the first time, an iceberg model is initialized with a set of nearly 7000 observed iceberg positions and sizes around Antarctica. The study highlights the necessity to account for larger and giant icebergs in order to obtain accurate melt climatologies. We simulate drift and lateral melt using iceberg-draft averaged ocean currents, temperature, and salinity. A new basal melting scheme, originally applied in ice shelf melting studies, uses in situ temperature, salinity, and relative velocities at an iceberg's bottom. Climatology estimates of Antarctic iceberg melting based on simulations of small (2.2 km), small-to-medium-sized (10 km), and small-to-giant icebergs (including icebergs &gt;10 km) exhibit differential characteristics: successive inclusion of larger icebergs leads to a reduced seasonality of the iceberg meltwater flux and a shift of the mass input to the area north of 58 degrees S, while less meltwater is released into the coastal areas. This suggests that estimates of meltwater input solely based on the simulation of small icebergs introduce a systematic meridional bias; they underestimate the northward mass transport and are, thus, closer to the rather crude treatment of iceberg melting as coastal runoff in models without an interactive iceberg model. Future ocean simulations will benefit from the improved meridional distribution of iceberg melt, especially in climate change scenarios where the impact of iceberg melt is likely to increase due to increased calving from the Antarctic ice sheet. Plain Language Summary Antarctic icebergs are large blocks of frozen fresh water that melt around the Antarctic continent while moving under the influence of winds, sea ice, and ocean currents. Small icebergs (2.2km) are mainly driven by winds and ocean currents, whereas giant icebergs (&gt; 10 km) tend to surf' the tilted sea surface and are less sensitive to changes in the wind. The relative importance between melting at the iceberg's base and mass loss at the side walls is also different for small and large icebergs.We present a computer simulation of Antarctic iceberg movement and melting that includes not only small icebergs, but at the same time also larger icebergs with side lengths of 10 km or more. The study highlights the necessity to account for larger icebergs in order to obtain an accurate depiction of the spatial distribution of iceberg meltwater, which, e.g., stabilizes and fertilizes the upper water column and thus supports phytoplankton growth. Future climate change simulations will benefit from the improved distribution, where the impact of iceberg melting is likely to increase due to increased calving from the Antarctic ice sheet.</t>
  </si>
  <si>
    <t>[Rackow, Thomas; Wesche, Christine; Timmermann, Ralph; Hellmer, Hartmut H.; Jung, Thomas] Helmholtz Ctr Polar &amp; Marine Res, Alfred Wegener Inst, Bremerhaven, Germany; [Juricke, Stephan] Univ Oxford, Atmospher Ocean &amp; Planetary Phys, Oxford, England; [Jung, Thomas] Univ Bremen, Inst Environm Phys, Bremen, Germany</t>
  </si>
  <si>
    <t>Helmholtz Association; Alfred Wegener Institute, Helmholtz Centre for Polar &amp; Marine Research; University of Oxford; University of Bremen</t>
  </si>
  <si>
    <t>Rackow, T (corresponding author), Helmholtz Ctr Polar &amp; Marine Res, Alfred Wegener Inst, Bremerhaven, Germany.</t>
  </si>
  <si>
    <t>thomas.rackow@awi.de</t>
  </si>
  <si>
    <t>Rackow, Thomas/AAP-2735-2020; Jung, Thomas/J-5239-2012</t>
  </si>
  <si>
    <t>Rackow, Thomas/0000-0002-5468-575X; Jung, Thomas/0000-0002-2651-1293; Hellmer, Hartmut/0000-0002-9357-9853; Juricke, Stephan/0000-0003-4614-2509</t>
  </si>
  <si>
    <t>10.1002/2016JC012513</t>
  </si>
  <si>
    <t>Green Accepted, hybrid, Green Published, Green Submitted</t>
  </si>
  <si>
    <t>WOS:000402139900030</t>
  </si>
  <si>
    <t>Reidy, JA; Fear, RC; Whiter, DK; Lanchester, BS; Kavanagh, AJ; Paxton, LJ; Zhang, Y; Lester, M</t>
  </si>
  <si>
    <t>Reidy, J. A.; Fear, R. C.; Whiter, D. K.; Lanchester, B. S.; Kavanagh, A. J.; Paxton, L. J.; Zhang, Y.; Lester, M.</t>
  </si>
  <si>
    <t>Multi-instrument observation of simultaneous polar cap auroras on open and closed magnetic field lines</t>
  </si>
  <si>
    <t>SUN-ALIGNED ARCS; ELECTRIC-FIELDS; TRANSPOLAR ARC; SMALL-SCALE; NORTHWARD; CONVECTION; DAYSIDE; ENERGY; FLUX; SUPERDARN</t>
  </si>
  <si>
    <t>This paper presents observations of polar cap auroral features on 19 January 2008, evaluated using multiple instruments with near-simultaneous observations in both hemispheres. Analysis of the features indicates that there are at least two formation mechanisms/types of polar cap aurora occurring simultaneously on different magnetic field topologies (one on open and the other on closed magnetospheric field lines). Two high-latitude structures were observed on opposing sides of the northern hemisphere polar cap in the same time interval. The structure on the duskside was formed on closed field lines that protruded into the polar cap and was generated by the precipitation of electrons with energies varying between 2 and 11 keV consistent with an identified mechanism for the formation of transpolar arcs. However, the structure did not extend fully across to the dayside of the auroral oval but rather stayed at similar to 80 degrees magnetic latitude for a minimum duration of 40 min. Thus, this structure is an example of a failed transpolar arc. The structure on the dawnside of the polar cap was associated with low-energy electron precipitation (less than 1 keV) and no associated ion signatures, which is consistent with it being a common low-intensity arc formed by accelerated polar rain on open field lines. The two separate types of polar cap auroras formed during the same interval, demonstrating the complexity of the solar wind-magnetosphere coupling during the interval.</t>
  </si>
  <si>
    <t>[Reidy, J. A.; Fear, R. C.; Whiter, D. K.; Lanchester, B. S.] Univ Southampton, Dept Phys &amp; Astron, Southampton, Hants, England; [Reidy, J. A.; Kavanagh, A. J.] CNR, British Antarctic Survey, Cambridge, England; [Kavanagh, A. J.] Sci &amp; Technol Facil Council, Rutherford Appleton Lab, Didcot, Oxon, England; [Paxton, L. J.; Zhang, Y.] Johns Hopkins Univ, Appl Phys Lab, Laurel, MD USA; [Lester, M.] Univ Leicester, Dept Phys &amp; Astron, Leicester, Leics, England</t>
  </si>
  <si>
    <t>University of Southampton; UK Research &amp; Innovation (UKRI); Natural Environment Research Council (NERC); NERC British Antarctic Survey; UK Research &amp; Innovation (UKRI); Science &amp; Technology Facilities Council (STFC); STFC Rutherford Appleton Laboratory; Johns Hopkins University; Johns Hopkins University Applied Physics Laboratory; University of Leicester</t>
  </si>
  <si>
    <t>Reidy, JA (corresponding author), Univ Southampton, Dept Phys &amp; Astron, Southampton, Hants, England.;Reidy, JA (corresponding author), CNR, British Antarctic Survey, Cambridge, England.</t>
  </si>
  <si>
    <t>jr10g11@soton.ac.uk</t>
  </si>
  <si>
    <t>Whiter, Daniel/P-8601-2019; Lester, Mark/C-9657-2016; Paxton, Larry/D-1934-2015</t>
  </si>
  <si>
    <t>Fear, Robert/0000-0003-0589-7147; Reidy, Jade/0000-0002-7939-991X; Whiter, Daniel/0000-0001-7130-232X; Paxton, Larry/0000-0002-2597-347X</t>
  </si>
  <si>
    <t>Natural Environmental Research Council (NERC) studentship [NE/L002531/1]; United Kingdom's Science and Technology Facilities Council (STFC) Ernest Rutherford Fellowship [ST/K004298/2]; NERC [NE/N004051/1, NE/K011766/1]; China (CRIRP); Finland (SA); Japan (NIPR); Norway (NFR); Sweden (VR); United Kingdom (NERC); PPARC of the United Kingdom; NERC of the United Kingdom; STFC of the United Kingdom; Swedish Research Council; Japan (STEL); NERC [eiscat01001, bas0100031, NE/N004051/1, NE/H024433/1, NE/K011766/1] Funding Source: UKRI; STFC [ST/K004298/2, ST/N000749/1] Funding Source: UKRI; Natural Environment Research Council [eiscat01001, NE/H024433/1, bas0100031, 1667341, NE/K011766/1, NE/N004051/1] Funding Source: researchfish; Science and Technology Facilities Council [ST/K004298/2, ST/N000749/1] Funding Source: researchfish</t>
  </si>
  <si>
    <t>Natural Environmental Research Council (NERC) studentship; United Kingdom's Science and Technology Facilities Council (STFC) Ernest Rutherford Fellowship; NERC(UK Research &amp; Innovation (UKRI)Natural Environment Research Council (NERC)); China (CRIRP); Finland (SA); Japan (NIPR); Norway (NFR)(Research Council of Norway); Sweden (VR)(Swedish Research Council); United Kingdom (NERC)(UK Research &amp; Innovation (UKRI)Natural Environment Research Council (NERC)); PPARC of the United Kingdom; NERC of the United Kingdom; STFC of the United Kingdom(UK Research &amp; Innovation (UKRI)Science &amp; Technology Facilities Council (STFC)); Swedish Research Council(Swedish Research Council); Japan (STEL);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</si>
  <si>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This work was supported by the Natural Environmental Research Council (NERC) studentship NE/L002531/1. R.C.F was supported by the United Kingdom's Science and Technology Facilities Council (STFC) Ernest Rutherford FellowshipST/K004298/2. D.K.W and B.S.L are supported by NERC grant NE/N004051/1. M.L. is supported by NERC grant NE/K011766/1. Cluster data were obtained from the Cluster Science Archive http://www.cosmos.esa.int/web/csa/access. The DMSP particle detectors were designed by D. Hardy of Air Force Research Laboratory, and data were obtained from the Johns Hopkins University Applied Physics Laboratory. The IMAGE magnetometer data are collected as a joint European collaboration. FMI serves as the PI-institute in the collaboration. Svalbard magnetometer data are provided by the University of Tromso. EISCAT is an international association supported by research organizations in China (CRIRP), Finland (SA), Japan (NIPR and STEL), Norway (NFR), Sweden (VR), and the United Kingdom (NERC). ASK has been funded by PPARC, NERC, and STFC of the United Kingdom and the Swedish Research Council. For the data used in the research, we thank the EISCAT and ASK campaign teams for running the instruments during several winter campaigns. Requests for data used in this paper can be directed to Jade Reidy (jr10g11@soton.ac.uk) or http://ask1.esr.eiscat.no/contact.html. The authors acknowledge the use of SuperDARN data. SuperDARN is a collection of radars funded by national scientific funding agencies of Australia, Canada, China, France, Japan, South Africa, United Kingdom, and the United States of America. Data were obtained from the British Antarctic Survey SuperDARN data hub, and we are grateful to Paul Breen for his assistance. We thank Adrian Grocott, Jonny Rae, Clare Watt and Noora Partamies for useful discussions during this study.</t>
  </si>
  <si>
    <t>10.1002/2016JA023718</t>
  </si>
  <si>
    <t>WOS:000401340800034</t>
  </si>
  <si>
    <t>Cutignano, A; Seetharamsingh, B; D'Angelo, D; Nuzzo, G; Khairnar, PV; Fusco, A; Reddy, DS; Fontana, A</t>
  </si>
  <si>
    <t>Cutignano, Adele; Seetharamsingh, B.; D'Angelo, Daniela; Nuzzo, Genoveffa; Khairnar, Pankaj V.; Fusco, Alfredo; Reddy, D. Srinivasa; Fontana, Angelo</t>
  </si>
  <si>
    <t>Identification and Synthesis of Mycalol Analogues with Improved Potency against Anaplastic Thyroid Carcinonia Cell Lines</t>
  </si>
  <si>
    <t>NATURAL-PRODUCTS; CANCER; DRUGS; HMGA</t>
  </si>
  <si>
    <t>The marine metabolite mycalol (1) has a specific inhibitory activity on cells of anaplastic thyroid carcinoma (ATC), a very aggressive and rare cancer that does not have effective conventional therapy. In this study, we describe six new related analogues (2-7) that differ in the length of the terminal alkyl residue and the presence of acetate or 3S-hydroxybutyrate (3S)-3HB as a substituent at C-19. Despite the structural' analogies, some of the new members were significantly more-cytotokic than 1 on cell lines,derivecl from human ATC. Structures inclusive of the 2'R,3R,4S,7R,8S,19R absolute configuration were asigned to 2-7 on the basis of detailed spectroscopic analysis, synthesis of different isomers, and application of ECD and Mosher's methods. This work led to the identification of mycal61-578 (3) as the most potent analogue, with an IC50 of 2.3 mu M on FRO cells:</t>
  </si>
  <si>
    <t>[Cutignano, Adele; Nuzzo, Genoveffa; Fontana, Angelo] CNR, Ist Chim Biomol, Bioorgan Chem Unit, Via Campi Flegrei 34, I-80078 Naples, Italy; [Seetharamsingh, B.; Khairnar, Pankaj V.; Reddy, D. Srinivasa] CSIR, Div Organ Chem, Natl Chem Lab, Dr Homi Bhabha Rd, Pune 411008, Maharashtra, India; [D'Angelo, Daniela; Fusco, Alfredo] CNR, Ist Endocrinol &amp; Oncol Sperimentale, Via Pansini 5, I-80131 Naples, Italy; [D'Angelo, Daniela; Fusco, Alfredo] Univ Napoli Federico II, Dipartimento Med Mol &amp; Biotecnol Med, Via Pansini 5, I-80131 Naples, Italy</t>
  </si>
  <si>
    <t>Consiglio Nazionale delle Ricerche (CNR); Istituto di Chimica Biomolecolare (ICB-CNR); Council of Scientific &amp; Industrial Research (CSIR) - India; CSIR - National Chemical Laboratory (NCL); Consiglio Nazionale delle Ricerche (CNR); Istituto per Endocrinologia e Oncologia Gaetano Salvatore (IEOS-CNR); University of Naples Federico II</t>
  </si>
  <si>
    <t>Fontana, A (corresponding author), CNR, Ist Chim Biomol, Bioorgan Chem Unit, Via Campi Flegrei 34, I-80078 Naples, Italy.;Reddy, DS (corresponding author), CSIR, Div Organ Chem, Natl Chem Lab, Dr Homi Bhabha Rd, Pune 411008, Maharashtra, India.</t>
  </si>
  <si>
    <t>ds.reddy@ncl.res.in; afontana@icb.cnr.it</t>
  </si>
  <si>
    <t>D'Angelo, Daniela/GVT-9143-2022; Reddy, Srinivasa/F-3604-2012; Fontana, Angelo/C-3354-2012; Cutignano, Adele/C-3343-2012; Khairnar, Pankaj/ABC-2511-2021; Fontana, Angelo/AAO-2741-2021</t>
  </si>
  <si>
    <t>Cutignano, Adele/0000-0003-3035-9252; Khairnar, Pankaj/0000-0001-8352-3314; Fontana, Angelo/0000-0002-5453-461X; Reddy, D. Srinivasa/0000-0003-3270-315X</t>
  </si>
  <si>
    <t>CNR Department of Chemical Science and Material Technology; CSIR, New Delhi through the XII Five Year Plan [CSC0108: ORIGIN, BSC0124: NCL-IGIB]; CSIR</t>
  </si>
  <si>
    <t>CNR Department of Chemical Science and Material Technology; CSIR, New Delhi through the XII Five Year Plan; CSIR(Council of Scientific &amp; Industrial Research (CSIR) - India)</t>
  </si>
  <si>
    <t>Funding was provided by the CNR Department of Chemical Science and Material Technology. A.C. acknowledges the logistic personnel of the National Antarctic Research Program (PNRA) for support in sponge collection during the Italian expedition 2005-2006. A.F. is grateful to the APQ Project (Intervento RT02, no. 737769) Marine natural products as new pharmaceutical entities against rare tumors for the scientific support, and to Prof. S. Matsunaga and Prof. K. Takada (Tokyo University) for recording FAB MS spectra of the natural mycalols. D.S.R. acknowledges the CSIR, New Delhi for the support through the XII Five Year Plan (CSC0108: ORIGIN and BSC0124: NCL-IGIB). B.S. thanks CSIR for the award of a fellowship. Mrs. D. Melck of the NMR service of ICB and Dr. Rajamohanan of the NMR unit at CSIR-NCL are also gratefully acknowledge for the technical support.</t>
  </si>
  <si>
    <t>10.1021/acs.jnatprod.7b00043</t>
  </si>
  <si>
    <t>ET8HD</t>
  </si>
  <si>
    <t>WOS:000400538800043</t>
  </si>
  <si>
    <t>Cusack, JM; Garabato, ACN; Smeed, DA; Girton, JB</t>
  </si>
  <si>
    <t>Cusack, Jesse M.; Garabato, Alberto C. Naveira; Smeed, David A.; Girton, James B.</t>
  </si>
  <si>
    <t>Observation of a Large Lee Wave in the Drake Passage</t>
  </si>
  <si>
    <t>ANTARCTIC CIRCUMPOLAR CURRENT; VERTICAL WATER VELOCITIES; SMALL-SCALE TOPOGRAPHY; INTERNAL WAVES; TURBULENT DISSIPATION; KINETIC-ENERGY; BREAKING; SHEAR; CIRCULATION; GENERATION</t>
  </si>
  <si>
    <t>Lee waves are thought to play a prominent role in Southern Ocean dynamics, facilitating a transfer of energy from the jets of the Antarctic Circumpolar Current to microscale, turbulent motions important in water mass transformations. Two EM-APEX profiling floats deployed in the Drake Passage during the Diapycnal and Isopycnal Mixing Experiment (DIMES) independently measured a 120 +/- 20-m vertical amplitude lee wave over the Shackleton Fracture Zone. A model for steady EM-APEX motion is developed to calculate absolute vertical water velocity, augmenting the horizontal velocity measurements made by the floats. The wave exhibits fluctuations in all three velocity components of over 15 cm s(-1) and an intrinsic frequency close to the local buoyancy frequency. The wave is observed to transport energy and horizontal momentum vertically at respective peak rates of 1.3 +/- 0.2 W m(-2) and 8 +/- 1 N m(-2). The rate of turbulent kinetic energy dissipation is estimated using both Thorpe scales and a method that isolates high-frequency vertical kinetic energy and is found to be enhanced within the wave to values of order 10(-7) W kg(-1). The observed vertical flux of energy is significantly larger than expected from idealized numerical simulations and also larger than observed depth-integrated dissipation rates. These results provide the first unambiguous observation of a lee wave in the Southern Ocean with simultaneous measurements of its energetics and dynamics.</t>
  </si>
  <si>
    <t>[Cusack, Jesse M.; Garabato, Alberto C. Naveira] Univ Southampton, Southampton, Hants, England; [Cusack, Jesse M.; Garabato, Alberto C. Naveira; Smeed, David A.] Natl Oceanog Ctr, Southampton, Hants, England; [Girton, James B.] Univ Washington, Appl Phys Lab, Seattle, WA 98105 USA</t>
  </si>
  <si>
    <t>University of Southampton; NERC National Oceanography Centre; University of Washington; University of Washington Seattle</t>
  </si>
  <si>
    <t>Cusack, JM (corresponding author), Univ Southampton, Southampton, Hants, England.;Cusack, JM (corresponding author), Natl Oceanog Ctr, Southampton, Hants, England.</t>
  </si>
  <si>
    <t>jesse.cusack@noc.soton.ac.uk</t>
  </si>
  <si>
    <t>Garabato, Alberto Naveira/AAQ-1114-2020; Smeed, David/B-4726-2012</t>
  </si>
  <si>
    <t>Garabato, Alberto Naveira/0000-0001-6071-605X; Smeed, David/0000-0003-1740-1778; Cusack, Jesse/0000-0003-2065-4397</t>
  </si>
  <si>
    <t>U.K. Natural Environment Research Council (NERC) [NE/E007058/1]; U.S. National Science Foundation (NSF); NERC Ph.D. scholarship; Philip Leverhulme Prize; Royal Society; Wolfson Foundation; NSF [OCE-0623177, OCE-1129564]; NERC [NE/E007058/1, NE/E006663/1, NE/E005985/1, NE/E006000/1, NE/E005667/1] Funding Source: UKRI; Natural Environment Research Council [NE/E005985/1, NE/E005667/1, NE/E006663/1, noc010012, NE/E007058/1, 1364124, NE/E006000/1] Funding Source: researchfish</t>
  </si>
  <si>
    <t>U.K. Natural Environment Research Council (NERC)(UK Research &amp; Innovation (UKRI)Natural Environment Research Council (NERC)); U.S. National Science Foundation (NSF)(National Science Foundation (NSF)); NERC Ph.D. scholarship; Philip Leverhulme Prize(Leverhulme Trust); Royal Society(Royal Society); Wolfson Foundation; NSF(National Science Foundation (NSF)); NERC(UK Research &amp; Innovation (UKRI)Natural Environment Research Council (NERC)); Natural Environment Research Council(UK Research &amp; Innovation (UKRI)Natural Environment Research Council (NERC))</t>
  </si>
  <si>
    <t>The DIMES experiment was funded by the U.K. Natural Environment Research Council (NERC) Grant NE/E007058/1 (awarded to Alberto Naveira Garabato and David Smeed) and the U.S. National Science Foundation (NSF). JC acknowledges the support of an NERC Ph.D. scholarship. ACNG acknowledges the support of a Philip Leverhulme Prize, the Royal Society, and the Wolfson Foundation. JG acknowledges the support of NSF Grants OCE-0623177 and OCE-1129564. We thank three anonymous reviewers for their insightful comments and suggestions that helped to improve the paper.</t>
  </si>
  <si>
    <t>10.1175/JPO-D-16-0153.1</t>
  </si>
  <si>
    <t>EP7RK</t>
  </si>
  <si>
    <t>WOS:000397574700004</t>
  </si>
  <si>
    <t>Biddle, LC; Heywood, KJ; Kaiser, J; Jenkins, A</t>
  </si>
  <si>
    <t>Biddle, Louise C.; Heywood, Karen J.; Kaiser, Jan; Jenkins, Adrian</t>
  </si>
  <si>
    <t>Glacial Meltwater Identification in the Amundsen Sea</t>
  </si>
  <si>
    <t>CIRCUMPOLAR DEEP-WATER; CONTINENTAL-SHELF; OCEAN; ICE; VARIABILITY; SENSITIVITY; COLLAPSE</t>
  </si>
  <si>
    <t>Pine Island Ice Shelf, in the Amundsen Sea, is losing mass because of warm ocean waters melting the ice from below. Tracing meltwater pathways from ice shelves is important for identifying the regions most affected by the increased input of this water type. Here, optimum multiparameter analysis is used to deduce glacial meltwater fractions from water mass characteristics (temperature, salinity, and dissolved oxygen concentrations), collected during a ship-based campaign in the eastern Amundsen Sea in February-March 2014. Using a one-dimensional ocean model, processes such as variability in the characteristics of the source water masses on shelf and biological productivity/respiration are shown to affect the calculated apparent meltwater fractions. These processes can result in a false meltwater signature, creating misleading apparent glacial meltwater pathways. An alternative glacial meltwater calculation is suggested, using a pseudo-Circumpolar Deep Water endpoint and using an artificial increase in uncertainty of the dissolved oxygen measurements. The pseudo-Circumpolar Deep Water characteristics are affected by the under ice shelf bathymetry. The glacial meltwater fractions reveal a pathway for 2014 meltwater leading to the west of Pine Island Ice Shelf, along the coastline.</t>
  </si>
  <si>
    <t>[Biddle, Louise C.; Heywood, Karen J.; Kaiser, Jan] Univ East Anglia, Sch Environm Sci, Ctr Ocean &amp; Atmospher Sci, Norwich, Norfolk, England; [Jenkins, Adrian] British Antarctic Survey, Cambridge, England</t>
  </si>
  <si>
    <t>University of East Anglia; UK Research &amp; Innovation (UKRI); Natural Environment Research Council (NERC); NERC British Antarctic Survey</t>
  </si>
  <si>
    <t>Biddle, LC (corresponding author), Univ East Anglia, Sch Environm Sci, Ctr Ocean &amp; Atmospher Sci, Norwich, Norfolk, England.</t>
  </si>
  <si>
    <t>louise.biddle@uea.ac.uk</t>
  </si>
  <si>
    <t>Kaiser, Jan/D-3327-2009; Heywood, Karen J/L-1757-2016; Jenkins, Adrian/IUN-2406-2023</t>
  </si>
  <si>
    <t>Kaiser, Jan/0000-0002-1553-4043; Biddle, Louise/0000-0002-4785-1959; Jenkins, Adrian/0000-0002-9117-0616</t>
  </si>
  <si>
    <t>UK Natural Environment Research Council's iSTAR Programme; NERC [NE/J005703/1, NE/J005746/1, 1210192]; NERC [bas0100033, NE/J005703/1, NE/J005746/1] Funding Source: UKRI; Natural Environment Research Council [1210192, NE/J005703/1, bas0100033] Funding Source: researchfish</t>
  </si>
  <si>
    <t>UK Natural Environment Research Council's iSTAR Programme; 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</si>
  <si>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supported by funding from the UK Natural Environment Research Council's iSTAR Programme and NERC Grants NE/J005703/1 (L.C.B., K.J.H., J.K.) and NE/J005746/1 (A.J.). L.C.B. was supported by a PhD grant (1210192) from NERC and also thanks the feedback from Mark Brandon and David Stevens. All observational data are available from BODC, and L.C.B. can be contacted for model scripts.</t>
  </si>
  <si>
    <t>10.1175/JPO-D-16-0221.1</t>
  </si>
  <si>
    <t>hybrid, Green Submitted, Green Accepted</t>
  </si>
  <si>
    <t>WOS:000423768300009</t>
  </si>
  <si>
    <t>Fransner, O; Noormets, R; Flink, AE; Hogan, KA; O'Regan, M; Jakobsson, M</t>
  </si>
  <si>
    <t>Fransner, O.; Noormets, R.; Flink, A. E.; Hogan, K. A.; O'Regan, M.; Jakobsson, M.</t>
  </si>
  <si>
    <t>Glacial landforms and their implications for glacier dynamics in Rijpfjorden and Duvefjorden, northern Nordaustlandet, Svalbard</t>
  </si>
  <si>
    <t>JOURNAL OF QUATERNARY SCIENCE</t>
  </si>
  <si>
    <t>Late Weichselian; glacial landforms; deglaciation; C-14 ages; Nordaustlandet</t>
  </si>
  <si>
    <t>WEICHSELIAN ICE-SHEET; BARENTS SEA MARGIN; SUBMARINE LANDFORMS; CONTINENTAL-MARGIN; EASTERN SVALBARD; YERMAK PLATEAU; NE ATLANTIC; EVOLUTION; PALEOCEANOGRAPHY; MAXIMUM</t>
  </si>
  <si>
    <t>Observations of subglacial landforms yielding the configuration and dynamics of former ice-flows have for the first time been made in Rijpfjorden and Duvefjorden, Nordaustlandet, Svalbard, using sub-bottom acoustic, swath-bathymetric data and sediment cores. Five acoustic-stratigraphic units were distinguished suggesting the presence of a complete glacial-postglacial succession in the central fjord basins. C-14 ages from the sediments indicate that the inner Rijpfjorden and central Duvefjorden were deglaciated before ca. 10.6 cal ka BP and 11.0 cal ka BP, respectively. Maximum sediment thickness in Rijpfjorden and Duvefjorden is 26 m, resulting in sediment accumulation rates of ca. 66 cm ka(-1). The landform record suggests that the ice streaming in both fjords was topographically controlled. The considerably deeper basin and higher elongation ratios of the crag-and-tails in Duvefjorden are linked to the faulted bedrock and possibly to somewhat larger ice stream and/or more focused ice-flow compared to that in Rijpfjorden. De Geer moraines suggest slower retreat of a grounded ice margin from shallow areas of Rijpfjorden. In deeper areas of the fjords, the glaciers were probably floating, resulting in the lack of ice-marginal transverse landforms. The ice margin retreat from these areas was probably relatively rapid and dominated by calving. Copyright (C) 2017 John Wiley &amp; Sons, Ltd.</t>
  </si>
  <si>
    <t>[Fransner, O.; Noormets, R.; Flink, A. E.] Univ Ctr Svalbard, Dept Arctic Geol, N-9171 Longyearbyen, Norway; [Hogan, K. A.] British Antarctic Survey, Cambridge CB3 0ET, England; [O'Regan, M.; Jakobsson, M.] Stockholm Univ, Dept Geol Sci, S-10691 Stockholm, Sweden</t>
  </si>
  <si>
    <t>Fransner, O (corresponding author), Univ Ctr Svalbard, Dept Arctic Geol, N-9171 Longyearbyen, Norway.</t>
  </si>
  <si>
    <t>oscarjacob.fransner@unis.no</t>
  </si>
  <si>
    <t>Jakobsson, Martin/JAN-6828-2023; O'Regan, Matt/P-6277-2019; Jakobsson, Martin/F-6214-2010</t>
  </si>
  <si>
    <t>O'Regan, Matt/0000-0002-6046-1488; Jakobsson, Martin/0000-0002-9033-3559; Noormets, Riko/0000-0002-2832-386X</t>
  </si>
  <si>
    <t>People's Programme (Marie Curie Actions) of the European Union's Seventh Framework Programme FP7 under REA [317217]; NERC [bas0100030] Funding Source: UKRI; Natural Environment Research Council [bas0100030] Funding Source: researchfish</t>
  </si>
  <si>
    <t>People's Programme (Marie Curie Actions) of the European Union's Seventh Framework Programme FP7 under REA; NERC(UK Research &amp; Innovation (UKRI)Natural Environment Research Council (NERC)); Natural Environment Research Council(UK Research &amp; Innovation (UKRI)Natural Environment Research Council (NERC))</t>
  </si>
  <si>
    <t>This research received funding from the People's Programme (Marie Curie Actions) of the European Union's Seventh Framework Programme FP7/2007-2013/under REA grant agreement no. 317217. The research is a contribution to the GLANAM (GLAciated North Atlantic Margins) Initial Training Network.</t>
  </si>
  <si>
    <t>0267-8179</t>
  </si>
  <si>
    <t>1099-1417</t>
  </si>
  <si>
    <t>J QUATERNARY SCI</t>
  </si>
  <si>
    <t>J. Quat. Sci.</t>
  </si>
  <si>
    <t>10.1002/jqs.2938</t>
  </si>
  <si>
    <t>EU6UX</t>
  </si>
  <si>
    <t>WOS:000401171700007</t>
  </si>
  <si>
    <t>Herrero, M; Thornton, PK; Power, B; Bogard, JR; Remans, R; Fritz, S; Gerber, JS; Nelson, G; See, L; Waha, K; Watson, RA; West, PC; Samberg, LH; van de Steeg, J; Stephenson, E; van Wijk, M; Havlík, P</t>
  </si>
  <si>
    <t>Herrero, Mario; Thornton, Philip K.; Power, Brendan; Bogard, Jessica R.; Remans, Roseline; Fritz, Steffen; Gerber, James S.; Nelson, Gerald; See, Linda; Waha, Katharina; Watson, Reg A.; West, Paul C.; Samberg, Leah H.; van de Steeg, Jeannette; Stephenson, Eloise; van Wijk, Mark; Havlik, Petr</t>
  </si>
  <si>
    <t>Farming and the geography of nutrient production for human use: a transdisciplinary analysis</t>
  </si>
  <si>
    <t>LANCET PLANETARY HEALTH</t>
  </si>
  <si>
    <t>DIVERSITY</t>
  </si>
  <si>
    <t>Background Information about the global structure of agriculture and nutrient production and its diversity is essential to improve present understanding of national food production patterns, agricultural livelihoods, and food chains, and their linkages to land use and their associated ecosystems services. Here we provide a plausible breakdown of global agricultural and nutrient production by farm size, and also study the associations between farm size, agricultural diversity, and nutrient production. This analysis is crucial to design interventions that might be appropriately targeted to promote healthy diets and ecosystems in the face of population growth, urbanisation, and climate change. Methods We used existing spatially-explicit global datasets to estimate the production levels of 41 major crops, seven livestock, and 14 aquaculture and fish products. From overall production estimates, we estimated the production of vitamin A, vitamin B-12, folate, iron, zinc, calcium, calories, and protein. We also estimated the relative contribution of farms of different sizes to the production of different agricultural commodities and associated nutrients, as well as how the diversity of food production based on the number of different products grown per geographic pixel and distribution of products within this pixel (Shannon diversity index [H]) changes with different farm sizes. Findings Globally, small and medium farms (&lt;= 50 ha) produce 51-77% of nearly all commodities and nutrients examined here. However, important regional differences exist. Large farms (&gt;50 ha) dominate production in North America, South America, and Australia and New Zealand. In these regions, large farms contribute between 75% and 100% of all cereal, livestock, and fruit production, and the pattern is similar for other commodity groups. By contrast, small farms (&lt;= 20 ha) produce more than 75% of most food commodities in Sub-Saharan Africa, Southeast Asia, South Asia, and China. In Europe, West Asia and North Africa, and Central America, medium-size farms (20-50 ha) also contribute substantially to the production of most food commodities. Very small farms (&lt;= 2 ha) are important and have local significance in Sub-Saharan Africa, Southeast Asia, and South Asia, where they contribute to about 30% of most food commodities. The majority of vegetables (81%), roots and tubers (72%), pulses (67%), fruits (66%), fish and livestock products (60%), and cereals (56%) are produced in diverse landscapes (H&gt;1.5). Similarly, the majority of global micronutrients (53-81%) and protein (57%) are also produced in more diverse agricultural landscapes (H&gt;1.5). By contrast, the majority of sugar (73%) and oil crops (57%) are produced in less diverse ones (H &lt;= 1.5), which also account for the majority of global calorie production (56%). The diversity of agricultural and nutrient production diminishes as farm size increases. However, areas of the world with higher agricultural diversity produce more nutrients, irrespective of farm size. Interpretation Our results show that farm size and diversity of agricultural production vary substantially across regions and are key structural determinants of food and nutrient production that need to be considered in plans to meet social, economic, and environmental targets. At the global level, both small and large farms have key roles in food and nutrition security. Efforts to maintain production diversity as farm sizes increase seem to be necessary to maintain the production of diverse nutrients and viable, multifunctional, sustainable landscapes. Copyright (C) The Author(s). Published by Elsevier Ltd. This is an Open Access article under the CC BY license.</t>
  </si>
  <si>
    <t>[Herrero, Mario; Thornton, Philip K.; Power, Brendan; Bogard, Jessica R.; Waha, Katharina; Stephenson, Eloise] Commonwealth Sci &amp; Ind Res Org, St Lucia, Qld 4067, Australia; [Thornton, Philip K.] Agr &amp; Food Secur, CGIAR Res Program Climate Change, Nairobi, Kenya; [Bogard, Jessica R.] Univ Queensland, Sch Publ Hlth, Herston, Qld, Australia; [Remans, Roseline] Biovers Int, Heverlee, Belgium; [Remans, Roseline] Univ Ghent, Fac Biosci Engn, Ghent, Belgium; [Fritz, Steffen; See, Linda; Havlik, Petr] Int Inst Appl Syst Anal, Laxenburg, Austria; [Gerber, James S.; West, Paul C.; Samberg, Leah H.] Univ Minnesota, Inst Environm, St Paul, MN USA; [Nelson, Gerald] Univ Illinois, Urbana, IL 61801 USA; [Watson, Reg A.] Univ Tasmania, Inst Marine &amp; Antarctic Studies, Taroona, Tas, Australia; [van de Steeg, Jeannette] HAS Univ Appl Sci, Int Food &amp; Agribusiness, Shertogenbosch, Netherlands; [Stephenson, Eloise] Griffith Univ, Griffith Sch Environm, Brisbane, Qld, Australia; [van Wijk, Mark] Int Livestock Res Inst, Nairobi, Kenya</t>
  </si>
  <si>
    <t>Commonwealth Scientific &amp; Industrial Research Organisation (CSIRO); CGIAR; University of Queensland; Alliance; Bioversity International; Ghent University; International Institute for Applied Systems Analysis (IIASA); University of Minnesota System; University of Minnesota Twin Cities; University of Illinois System; University of Illinois Urbana-Champaign; University of Tasmania; Griffith University; CGIAR; International Livestock Research Institute (ILRI)</t>
  </si>
  <si>
    <t>Herrero, M (corresponding author), Commonwealth Sci &amp; Ind Res Org, St Lucia, Qld 4067, Australia.</t>
  </si>
  <si>
    <t>mario.herrero@csiro.au</t>
  </si>
  <si>
    <t>Watson, Reg A/F-4850-2012; West, Paul C./J-1665-2015; Samberg, Leah/AAW-5804-2020; Waha, Katharina/G-5808-2017; Bogard, Jessica/A-7161-2018; Herrero, Mario/A-6678-2015</t>
  </si>
  <si>
    <t>Watson, Reg A/0000-0001-7201-8865; West, Paul C./0000-0001-9024-1657; Waha, Katharina/0000-0002-8631-8639; Bogard, Jessica/0000-0001-5503-5284; Gerber, James/0000-0002-6890-0481; , Steffen/0000-0003-0420-8549; Havlik, Petr/0000-0001-5551-5085; Herrero, Mario/0000-0002-7741-5090; Thornton, Philip/0000-0002-1854-0182</t>
  </si>
  <si>
    <t>Commonwealth Scientific and Industrial Research Organisation; Bill &amp; Melinda Gates Foundation; CGIAR Research Program on Climate Change, Agriculture and Food Security - CGIAR Fund Council; CGIAR Research Program on Agriculture for Nutrition and Health - CGIAR Fund Council; Daniel and Nina Carasso Foundation; European Union; International Fund for Agricultural Development; Australian Research Council; National Science Foundation; Gordon and Betty Moore Foundation; Joint Programming Initiative on Agriculture, Food Security and Climate Change-Belmont Forum; ICER; Directorate For Geosciences [1540195] Funding Source: National Science Foundation; NERC [NE/M021327/1] Funding Source: UKRI</t>
  </si>
  <si>
    <t>Commonwealth Scientific and Industrial Research Organisation(Commonwealth Scientific &amp; Industrial Research Organisation (CSIRO)); Bill &amp; Melinda Gates Foundation(Bill &amp; Melinda Gates FoundationBill &amp; Melinda Gates Foundation Grand Challenges Explorations InitiativeCGIAR); CGIAR Research Program on Climate Change, Agriculture and Food Security - CGIAR Fund Council(CGIAR); CGIAR Research Program on Agriculture for Nutrition and Health - CGIAR Fund Council(CGIAR); Daniel and Nina Carasso Foundation; European Union(European Union (EU)); International Fund for Agricultural Development; Australian Research Council(Australian Research Council); National Science Foundation(National Science Foundation (NSF)); Gordon and Betty Moore Foundation(Gordon and Betty Moore Foundation); Joint Programming Initiative on Agriculture, Food Security and Climate Change-Belmont Forum; ICER; Directorate For Geosciences(National Science Foundation (NSF)NSF - Directorate for Geosciences (GEO)); NERC(UK Research &amp; Innovation (UKRI)Natural Environment Research Council (NERC))</t>
  </si>
  <si>
    <t>Commonwealth Scientific and Industrial Research Organisation, Bill &amp; Melinda Gates Foundation, CGIAR Research Programs on Climate Change, Agriculture and Food Security and on Agriculture for Nutrition and Health funded by the CGIAR Fund Council, Daniel and Nina Carasso Foundation, European Union, International Fund for Agricultural Development, Australian Research Council, National Science Foundation, Gordon and Betty Moore Foundation, and Joint Programming Initiative on Agriculture, Food Security and Climate Change-Belmont Forum.</t>
  </si>
  <si>
    <t>2542-5196</t>
  </si>
  <si>
    <t>LANCET PLANET HEALTH</t>
  </si>
  <si>
    <t>Lancet Planet. Health</t>
  </si>
  <si>
    <t>E33</t>
  </si>
  <si>
    <t>E42</t>
  </si>
  <si>
    <t>10.1016/s2542-5196(17)30007-4</t>
  </si>
  <si>
    <t>Environmental Sciences; Public, Environmental &amp; Occupational Health</t>
  </si>
  <si>
    <t>Environmental Sciences &amp; Ecology; Public, Environmental &amp; Occupational Health</t>
  </si>
  <si>
    <t>VJ0NX</t>
  </si>
  <si>
    <t>Green Accepted, Green Published, gold</t>
  </si>
  <si>
    <t>WOS:000525845000012</t>
  </si>
  <si>
    <t>McMinn, A; Müller, MN; Martin, A; Ugalde, SC; Lee, S; Castrisios, K; Ryan, KG</t>
  </si>
  <si>
    <t>McMinn, Andrew; Mueller, Marius N.; Martin, Andrew; Ugalde, Sarah C.; Lee, Shihong; Castrisios, Katerina; Ryan, Ken G.</t>
  </si>
  <si>
    <t>Effects of CO2 concentration on a late summer surface sea ice community</t>
  </si>
  <si>
    <t>Sea ice algae; CO2; pH; Summer; Brine; Antarctica</t>
  </si>
  <si>
    <t>ANTARCTIC PACK-ICE; MCMURDO-SOUND; PHYTOPLANKTON GROWTH; OCEAN ACIDIFICATION; CARBON ACQUISITION; WEDDELL SEA; BLOOM; DIATOM; MICROALGAE; RESPONSES</t>
  </si>
  <si>
    <t>Annual fast ice at Scott Base (Antarctica) in late summer contained a high biomass surface community of mixed phytoflagellates, dominated by the dinoflagellate, Polarella glacialis. At this time of the year, ice temperatures rise close to melting point and salinities drop to less than 20. At the same time, pH levels can rise above 9 and nutrients can become limiting. In January 2014, the sea ice microbial community from the top 30 cm of the ice was exposed to a gradient of pH and CO2 (5 treatments) that ranged from 8.87 to 7.12 and 5-215 mu mol CO2 kg(-1), respectively, and incubated in situ. While growth rates were reduced at the highest and lowest pH, the differences were not significant. Likewise, there were no significant differences in maximum quantum yield of PSII (F-v/F-m) or relative maximum electron transfer rates (rETR(max)) among treatments. In a parallel experiment, a CO2 gradient of 26-230 mu mol CO2 kg(-1) (5 treatments) was tested, keeping pH constant. In this experiment, growth rates increased by approximately 40% with increasing CO2, although differences among treatments were not significant.. As in the previous experiment, there was no significant response in F-v/F-m or rETR(max). A synchronous grazing dilution experiment found grazing rates to be inconclusive These results suggest that the summer sea ice brine communities were not limited by in situ CO2 concentrations and were not adversely affected by pH values down to 7.1.</t>
  </si>
  <si>
    <t>[McMinn, Andrew; Mueller, Marius N.; Martin, Andrew; Ugalde, Sarah C.; Lee, Shihong; Castrisios, Katerina] Univ Tasmania, Inst Marine &amp; Antarct Studies, Private Bag 129, Hobart, Tas 7001, Australia; [Mueller, Marius N.] Univ Sao Paulo IO USP, Oceanog Inst, Praca Oceanografico 191, BR-05508120 Sao Paulo, SP, Brazil; [Ryan, Ken G.] Victoria Univ Wellington, Sch Biol Sci, Wellington, New Zealand</t>
  </si>
  <si>
    <t>University of Tasmania; Victoria University Wellington</t>
  </si>
  <si>
    <t>McMinn, A (corresponding author), Univ Tasmania, Inst Marine &amp; Antarct Studies, Private Bag 129, Hobart, Tas 7001, Australia.</t>
  </si>
  <si>
    <t>Andrew.mcminn@utas.edu.au</t>
  </si>
  <si>
    <t>McMinn, Andrew/A-9910-2008; Muller, Marius N./N-9338-2014</t>
  </si>
  <si>
    <t>Ryan, Ken/0000-0001-7075-0112; Muller, Marius N./0000-0003-4765-3933</t>
  </si>
  <si>
    <t>Australian Antarctic Science Grants [AAS 4319]; Victoria University of Wellington Grant [100241]</t>
  </si>
  <si>
    <t>Australian Antarctic Science Grants; Victoria University of Wellington Grant</t>
  </si>
  <si>
    <t>For this study was provided from Australian Antarctic Science Grants (AAS 4319, McMinn) and Victoria University of Wellington Grant 100241 (Ryan).</t>
  </si>
  <si>
    <t>10.1007/s00227-017-3102-4</t>
  </si>
  <si>
    <t>ER1UF</t>
  </si>
  <si>
    <t>WOS:000398579400026</t>
  </si>
  <si>
    <t>Petersen, ED; de Araujo, J; Krüger, L; Seixas, MM; Ometto, T; Thomazelli, LM; Walker, D; Durigon, EL; Petry, MV</t>
  </si>
  <si>
    <t>Petersen, Elisa de Souza; de Araujo, Jansen; Kruger, Lucas; Seixas, Marina M.; Ometto, Tatiana; Thomazelli, Luciano M.; Walker, David; Durigon, Edison Luiz; Petry, Maria Virginia</t>
  </si>
  <si>
    <t>First detection of avian influenza virus (H4N7) in Giant Petrel monitored by geolocators in the Antarctic region</t>
  </si>
  <si>
    <t>A VIRUS; MIGRATION; WATERFOWL; SALINITY; TAIWAN; PH</t>
  </si>
  <si>
    <t>This study presents the results of the virologic analysis and year-round movements of a Southern Giant Petrel that tested positive for avian influenza virus. Data were collected in two areas of Antarctica, where 299 Southern Giant Petrel adults and chicks were sampled. One-step real-time RT-PCR detected the presence of the avian influenza A virus in only one individual of the total Southern Giant Petrel sampled. The H4N7 subtype detected was compared to other H4N7 virus sequences and results suggest that segments of E96/H4N7 were closely related to avian influenza viruses of Anseriformes and Charadriiformes from North America. The geolocator that reported the year-round movements of the infected Southern Giant Petrel was retrieved. It was observed that this infected individual visited areas close to the Antarctic Peninsula during summer/spring and migrated to northern areas near South America and the Falkland Islands during the non-breeding season. Our results point out the first evidence of avian influenza virus H4N7 in Giant Petrels. Furthermore, the genetic similarity of the sequenced virus provides evidence of viral connections between North America and the Antarctic Peninsula. The migratory routes of several species in which avian influenza virus has been detected are coincident with the non-breeding area frequented by this single Southern Giant Petrel. Thus, movements of Southern Giant Petrel should be monitored to enable the determination of potential points of contact with other coastal seabird species along with the assessment of the dispersal routes of viruses.</t>
  </si>
  <si>
    <t>[Petersen, Elisa de Souza; Petry, Maria Virginia] Univ Vale Rio dos Sinos, Lab Ornitol &amp; Anim Marinhos, Sao Leopoldo, RS, Brazil; [de Araujo, Jansen; Seixas, Marina M.; Ometto, Tatiana; Thomazelli, Luciano M.; Durigon, Edison Luiz] Univ Sao Paulo, Inst Biomed Sci, Dept Microbiol, Clin &amp; Mol Virol Lab BSL3, Sao Paulo, Brazil; [Kruger, Lucas] Univ Coimbra, MARE Marine &amp; Environm Sci Ctr, Dept Ciencias Vida, Fac Ciencias &amp; Tecnol, Coimbra, Portugal; [Walker, David] St Jude Childrens Res Hosp, Dept Infect Dis, 332 N Lauderdale St, Memphis, TN 38105 USA; [Petersen, Elisa de Souza; Petry, Maria Virginia] Inst Nacl Ciencia &amp; Tecnol Antart Pesquisas Ambie, Rio De Janeiro, Brazil</t>
  </si>
  <si>
    <t>Universidade do Vale do Rio dos Sinos (Unisinos); Universidade de Sao Paulo; Universidade de Coimbra; St Jude Children's Research Hospital</t>
  </si>
  <si>
    <t>Petersen, ED (corresponding author), Univ Vale Rio dos Sinos, Lab Ornitol &amp; Anim Marinhos, Sao Leopoldo, RS, Brazil.;Petersen, ED (corresponding author), Inst Nacl Ciencia &amp; Tecnol Antart Pesquisas Ambie, Rio De Janeiro, Brazil.</t>
  </si>
  <si>
    <t>elisapetersen@gmail.com</t>
  </si>
  <si>
    <t>Petry, Maria Virginia/AAG-5333-2021; Thomazelli, Luciano/Q-6119-2017; Krüger, Lucas/O-8912-2015; petry, maria/K-8410-2013</t>
  </si>
  <si>
    <t>Thomazelli, Luciano/0000-0002-9157-6122; Krüger, Lucas/0000-0003-4637-5302; Araujo, Jansen/0000-0002-7250-3024; petry, maria/0000-0002-7870-7394</t>
  </si>
  <si>
    <t>National Institute of Science and Technology Antarctic Environmental Research (INCT-APA) from National Council for Research and Development (CNPq) [574018/2008-5]; Carlos Chagas Research Support Foundation of the State of Rio de Janeiro (FAPERJ) [E-16/170.023/2008]; CNPQ [553238/20094]; Brazilian Ministry of Science, Technology and Innovation (MCTI); Brazilian Ministry of Environment; Brazilian Antarctic Program; Secretariat of the Interministerial Commission for Sea Resources (SECIRM); University of Vale do Rio dos Sinos; Laboratory BSL3+ of Microbiology of University of Sao Paulo; American Lebanese Syrian Associated Charities (ALSAC); Research Foundation (FAPESP) [2011/13821-7]</t>
  </si>
  <si>
    <t>National Institute of Science and Technology Antarctic Environmental Research (INCT-APA) from National Council for Research and Development (CNPq)(Conselho Nacional de Desenvolvimento Cientifico e Tecnologico (CNPQ)); Carlos Chagas Research Support Foundation of the State of Rio de Janeiro (FAPERJ)(Fundacao Carlos Chagas Filho de Amparo a Pesquisa do Estado do Rio De Janeiro (FAPERJ)); CNPQ(Conselho Nacional de Desenvolvimento Cientifico e Tecnologico (CNPQ)); Brazilian Ministry of Science, Technology and Innovation (MCTI); Brazilian Ministry of Environment; Brazilian Antarctic Program; Secretariat of the Interministerial Commission for Sea Resources (SECIRM); University of Vale do Rio dos Sinos; Laboratory BSL3+ of Microbiology of University of Sao Paulo; American Lebanese Syrian Associated Charities (ALSAC)(American Lebanese Syrian Associated Charities (ALSAC)); Research Foundation (FAPESP)</t>
  </si>
  <si>
    <t>This research has been supported by the National Institute of Science and Technology Antarctic Environmental Research (INCT-APA) that received technical and financial support from the National Council for Research and Development (CNPq process: No 574018/2008-5) and Carlos Chagas Research Support Foundation of the State of Rio de Janeiro (FAPERJ No E-16/170.023/2008), along with a CNPQ Ph.D. Grant (process: No 553238/20094). The authors also acknowledge the support from the Brazilian Ministries of Science, Technology and Innovation (MCTI), of Environment (MMA), the Brazilian Antarctic Program, the Secretariat of the Interministerial Commission for Sea Resources (SECIRM), the University of Vale do Rio dos Sinos, Laboratory BSL3+ of Microbiology of University of Sao Paulo, the American Lebanese Syrian Associated Charities (ALSAC), and Research Foundation (FAPESP 2011/13821-7). We would also like to thank all partners who worked in the field, specially at the sample collection.</t>
  </si>
  <si>
    <t>10.1007/s00227-017-3086-0</t>
  </si>
  <si>
    <t>WOS:000398579400001</t>
  </si>
  <si>
    <t>Brown, CS; Newton, AMW; Huuse, M; Buckley, F</t>
  </si>
  <si>
    <t>Brown, Christopher S.; Newton, Andrew M. W.; Huuse, Mads; Buckley, Francis</t>
  </si>
  <si>
    <t>Iceberg scours, pits, and pockmarks in the North Falkland Basin</t>
  </si>
  <si>
    <t>Icebergs; Scours; Antarctic Peninsula; North Falkland Basin; Pits; Pockmarks</t>
  </si>
  <si>
    <t>ANTARCTIC CIRCUMPOLAR CURRENT; LAST GLACIAL MAXIMUM; SEA LION FIELD; ICE-SHEET; CONTINENTAL-SHELF; SOUTH-GEORGIA; LABRADOR-SHELF; ATLANTIC; FLOOR; ISLANDS</t>
  </si>
  <si>
    <t>Glaciation in the Southern Hemisphere is limited by the availability of land from which to seed ice sheets. The extents of the Antarctic, Patagonian, and New Zealand Ice Sheets at the Last Glacial Maximum (LGM) are relatively well known, although the rates and styles of their retreat after the LGM are poorly constrained, particularly in Antarctica. Offshore records of glaciation are relatively sparse in the Southern Hemisphere despite the potential ocean-climate insights that can be gained from records of glaciation that are preserved offshore. In this study, we document the occurrence of iceberg scours and accompanying pits within the North Falkland Basin (c. 50 S) and discuss their origin. The cross-sectional shapes of scours are u- to v-shaped and occur in present-day water depths of 280 to 460 m. Individual scours are up to 38 km long, 1 km wide, and up to-10 m deep. The scours are observed as erosional linear to curvilinear depressions, showing only one point of contact between the iceberg and seafloor, often with raised berms, composed of excavated material, identified either side of the main depression. Undulating width of scours is interpreted as an effect of rotation of the iceberg keel during scour excavation. The elongate morphology of the scours differentiates them from asymmetrical pits, interpreted to represent iceberg impact pits, and symmetrical pockmarks, interpreted to form due to fluid expulsion. In cross-section the differentiation is highly interpretative, but the 3D bathymetric expression is unequivocal. The sinusoidal character of the scours suggests the interaction between local tidal currents and the East Falkland/ Malvinas Currents in the North Falkland Basin at the time of formation. Offshore and onshore landscape analysis is used to determine potential sources of icebergs and suggests that they were most likely sourced from the Antarctic Peninsula. These results inform our understanding of Southern Hemisphere ocean-climate interactions during the last glacial cycle and suggest that the East Falklands/Malvinas Current, a key current in the Southern Hemisphere bringing cold, low-salinity Antarctic-derived waters into the South Atlantic, was in operation during the last glacial cycle. The accumulation of icebergs west of the Falkland Islands would also result in further cooling from fresh, meltwater perturbations, enhancing the development of a potential ice-bridge along the Argentinian coast. (C) 2017 Published by Elsevier B.V.</t>
  </si>
  <si>
    <t>[Brown, Christopher S.; Newton, Andrew M. W.; Huuse, Mads] Univ Manchester, Sch Earth &amp; Environm Sci, Manchester M13 9PL, Lancs, England; [Newton, Andrew M. W.; Huuse, Mads] Univ Manchester, Cryosphere Res Manchester, Manchester M13 9PL, Lancs, England; [Buckley, Francis] Lloyds Register Survey &amp; Geoengn Ltd, London, England; [Brown, Christopher S.] Univ Birmingham, Dept Civil Engn, Birmingham B15 2TT, W Midlands, England</t>
  </si>
  <si>
    <t>University of Manchester; University of Manchester; University of Birmingham</t>
  </si>
  <si>
    <t>Brown, CS (corresponding author), Univ Birmingham, Dept Civil Engn, Birmingham B15 2TT, W Midlands, England.</t>
  </si>
  <si>
    <t>CSB600@student.bham.ac.uk</t>
  </si>
  <si>
    <t>Huuse, Mads/0000-0002-1766-4343; Newton, Andrew/0000-0002-0089-525X; Brown, Christopher S/0000-0002-4422-6031</t>
  </si>
  <si>
    <t>Natural Environment Research Council (NERC) [NE/M00998X/1, NE/K500859/1]; Cheshire East Council; Cairn Energy; NERC [NE/M00998X/1] Funding Source: UKRI; Natural Environment Research Council [1365913] Funding Source: researchfish</t>
  </si>
  <si>
    <t>Natural Environment Research Council (NERC)(UK Research &amp; Innovation (UKRI)Natural Environment Research Council (NERC)); Cheshire East Council; Cairn Energy; NERC(UK Research &amp; Innovation (UKRI)Natural Environment Research Council (NERC)); Natural Environment Research Council(UK Research &amp; Innovation (UKRI)Natural Environment Research Council (NERC))</t>
  </si>
  <si>
    <t>We would like to thank Premier Oil, Rockhopper Exploration, LR Senergy and the British Geological Survey for provision of data and permission to publish. We would also like to show appreciation to Schlumberger for Petrel software, CorelDraw and ESRI for providing software that allowed detailed image editing and data analysis. This project was originally undertaken as part of an MSc thesis at the University of Manchester. C.S. Brown would like to thank Natural Environment Research Council (NERC grant reference number NE/M00998X/1) and Cheshire East Council for funding his research. A.M.W. Newton would also like to thank the Natural Environment Research Council (NERC grant reference number: NE/K500859/1) and Cairn Energy for funding his research. Finally, we are very grateful to the editor and two reviewers for detailed comments that helped to improve the manuscript.</t>
  </si>
  <si>
    <t>10.1016/j.margeo.2017.03.001</t>
  </si>
  <si>
    <t>hybrid, Green Submitted, Green Accepted, Green Published</t>
  </si>
  <si>
    <t>WOS:000403512800011</t>
  </si>
  <si>
    <t>Hocking, DP; Ladds, MA; Slip, DJ; Fitzgerald, EMG; Evans, AR</t>
  </si>
  <si>
    <t>Hocking, David P.; Ladds, Monique A.; Slip, David J.; Fitzgerald, Erich M. G.; Evans, Alistair R.</t>
  </si>
  <si>
    <t>Chew, shake, and tear: Prey processing in Australian sea lions (Neophoca cinerea)</t>
  </si>
  <si>
    <t>Carnivora; chewing; feeding morphology; oral processing; Otariidae; Pinnipedia; prey processing</t>
  </si>
  <si>
    <t>ANTARCTIC FUR SEALS; PHOCA-VITULINA; EVOLUTION; CARNIVORA; MASTICATION; PREDATION; PINNIPEDIMORPHA; KINEMATICS; MORPHOLOGY; BEHAVIORS</t>
  </si>
  <si>
    <t>Pinnipeds generally target relatively small prey that can be swallowed whole, yet often include larger prey in their diet. To eat large prey, they must first process it into pieces small enough to swallow. In this study we explored the range of prey-processing behaviors used by Australian sea lions (Neophoca cinerea) when presented with large prey during captive feeding trials. The most common methods were chewing using the teeth, shaking prey at the surface, and tearing prey held between the teeth and forelimbs. Although pinnipeds do not masticate their food, we found that sea lions used chewing to create weak points in large prey to aid further processing and to prepare secured pieces of prey for swallowing. Shake feeding matches the processing behaviors observed in fur seals, but use of forelimbs for hold and tear feeding has not been previously reported for other otariids. When performing this processing method, prey was torn by being stretched between the teeth and forelimbs, where it was secured by being squeezed between the palms of their flippers. These results show that Australian sea lions use a broad repertoire of behaviors for prey processing, which matches the wide range of prey species in their diet.</t>
  </si>
  <si>
    <t>[Hocking, David P.; Evans, Alistair R.] Monash Univ, Sch Biol Sci, Melbourne, Vic 3800, Australia; [Hocking, David P.; Fitzgerald, Erich M. G.; Evans, Alistair R.] Museum Victoria, Geosci, Melbourne, Vic 3001, Australia; [Ladds, Monique A.] Macquarie Univ, Dept Biol Sci, Sydney, NSW 2109, Australia; [Ladds, Monique A.; Slip, David J.] Taronga Conservat Soc Australia, Mosman, NSW 2088, Australia</t>
  </si>
  <si>
    <t>Monash University; Museum Victoria; Macquarie University; Taronga Conservation Society Australia</t>
  </si>
  <si>
    <t>Hocking, DP (corresponding author), Monash Univ, Sch Biol Sci, Melbourne, Vic 3800, Australia.;Hocking, DP (corresponding author), Museum Victoria, Geosci, Melbourne, Vic 3001, Australia.</t>
  </si>
  <si>
    <t>david@dphocking.com</t>
  </si>
  <si>
    <t>Evans, Alistair/D-4239-2011; Hocking, David Philip/A-2666-2017</t>
  </si>
  <si>
    <t>Evans, Alistair/0000-0002-4078-4693; Hocking, David Philip/0000-0001-6848-1208; Slip, David/0000-0002-9010-7236</t>
  </si>
  <si>
    <t>Monash University; Holsworth Wildlife Research Endowment; Australian Research Council</t>
  </si>
  <si>
    <t>Monash University(Monash University); Holsworth Wildlife Research Endowment; Australian Research Council(Australian Research Council)</t>
  </si>
  <si>
    <t>We would like to thank the keepers and staff at Underwater World SEA LIFE Mooloolaba, Taronga Conservation Society Australia, and Dolphin Marine Magic for providing us with access to the animals in their care and for their assistance in carrying out this research. Karen Roberts, Katie Date, and Bentley Bird for access to the Museum Victoria Mammalogy Collection. DPH would like to acknowledge the support of Monash University and the Holsworth Wildlife Research Endowment. ARE and MAL would like to acknowledge the support of the Australian Research Council. This work was carried out with the approval of the Taronga Conservation Society Animal Care and Ethics Committee (4c/10/13), Macquarie University Animal Care and Ethics Committee (ARA-2012_064), and Monash University Animal Care and Ethics Committee (FW/BSCI/2013/38).</t>
  </si>
  <si>
    <t>10.1111/mms.12384</t>
  </si>
  <si>
    <t>WOS:000399640700007</t>
  </si>
  <si>
    <t>Beltrán, M; Tavella, G; Casaux, R</t>
  </si>
  <si>
    <t>Beltran, Marianela; Tavella, Gabriela; Casaux, Ricardo</t>
  </si>
  <si>
    <t>DIET OF POST-BREEDING ANTARCTIC SHAGS PHALACROCORAX BRANSFIELDENSIS AT COCKBURN ISLAND, ANTARCTIC PENINSULA</t>
  </si>
  <si>
    <t>MARINE ORNITHOLOGY</t>
  </si>
  <si>
    <t>Antarctic Shag; post-breeding diet; Antarctica; demersal fish; regurgitated casts</t>
  </si>
  <si>
    <t>DANCO COAST; ATRICEPS</t>
  </si>
  <si>
    <t>The diet of post-breeding Antarctic shags (Phalacrocorax bransfieldensis) was investigated at Cockburn Island, in the Antarctic Peninsula, through the analysis of pellets collected in February 2015. Demersal-benthic fish were the most frequent and important prey, followed by invertebrates. Among the fish. nototheniids were most abundant in the diet in terms of numbers, whereas channichthyids. Chionodraco rastrospinosus in particular. represented most of the mass. The information provided here differs from that reported for post-breeding individuals belonging to other shag species and for post-breeding Antarctic shags. This article discusses our results and the differences with previous studies, in terms of prey availability among localities.</t>
  </si>
  <si>
    <t>[Beltran, Marianela] Consejo Nacl Invest Cient &amp; Tecn, Ctr Estudio Sistemas Marinos CESIMAR CENPAT, Bv Brown 2915, RA-9120 Puerto Madryn, Chubut, Argentina; [Tavella, Gabriela] Secretaria Turismo &amp; Areas Protegidas, Sarmiento 635, RA-9200 Esquel, Chubut, Argentina; [Casaux, Ricardo] CONICET UNPSJB, CIEMEP, Roca 780, RA-9200 Esquel, Chubra, Argentina; [Casaux, Ricardo] Inst Antartico Argentino, 25 Mayo 1143, RA-1650 Gen San Martin, Buenos Aires, Argentina</t>
  </si>
  <si>
    <t>Consejo Nacional de Investigaciones Cientificas y Tecnicas (CONICET); Centro Nacional Patagonico (CENPAT); Instituto Antartico Argentino</t>
  </si>
  <si>
    <t>Beltrán, M (corresponding author), Consejo Nacl Invest Cient &amp; Tecn, Ctr Estudio Sistemas Marinos CESIMAR CENPAT, Bv Brown 2915, RA-9120 Puerto Madryn, Chubut, Argentina.</t>
  </si>
  <si>
    <t>mbeltran@cenpat-conicet.gob.ar</t>
  </si>
  <si>
    <t>AFRICAN SEABIRD GROUP</t>
  </si>
  <si>
    <t>RHODES GIFT</t>
  </si>
  <si>
    <t>P. O. BOX 34113, RHODES GIFT, SOUTH AFRICA</t>
  </si>
  <si>
    <t>1018-3337</t>
  </si>
  <si>
    <t>2074-1235</t>
  </si>
  <si>
    <t>MAR ORNITHOL</t>
  </si>
  <si>
    <t>Mar. Ornithol.</t>
  </si>
  <si>
    <t>Marine &amp; Freshwater Biology; Ornithology</t>
  </si>
  <si>
    <t>VH8PE</t>
  </si>
  <si>
    <t>WOS:000456310400003</t>
  </si>
  <si>
    <t>Shaughnessy, PD</t>
  </si>
  <si>
    <t>Shaughnessy, Peter D.</t>
  </si>
  <si>
    <t>A TWO-EGG CLUTCH OR POLYGYNY? TWO WHITE-PHASE CHICKS IN THE NEST OF A SOUTHERN GIANT PETREL MACRONECTES GIGANTEUS AT MACQUARIE ISLAND</t>
  </si>
  <si>
    <t>sub-Antarctic; color phase dimorphism; population genetics; allele frequencies</t>
  </si>
  <si>
    <t>Females of the order Procellariiformes most often produce single-egg clutches. At Macquarie Island (54 degrees S, 159 degrees E) in 1959 during a field study of Southern Giant Petrels Macrynectes giganteus, four or five nests (0.14-0.18% of all nests) contained two eggs or two chicks (Warham 1962). This species occurs in two plumage forms, a dark phase and a white phase. Inheritance of these forms is controlled by a single autosomal gene with two alleles, with white phase dominant to dark phase. At Macquarie Island in 1959, one nest contained two whitephase chicks brooded by a white-phase adult, which Warham (1962) believed resulted from a two-egg clutch rather than from polygyny. Analyses using probabilities based on the inheritance pattern of plumage phases in Southern Giant Petrels and the frequency of white-phase birds at Macquarie Island in 1959 indicate that it was almost seven times more likely that the two white-phase chicks in the nest brooded by a white-phase adult resulted from a clutch of two eggs rather than from polygyny.</t>
  </si>
  <si>
    <t>[Shaughnessy, Peter D.] South Australian Museum, North Terrace, Adelaide, SA 5000, Australia</t>
  </si>
  <si>
    <t>South Australian Museum</t>
  </si>
  <si>
    <t>Shaughnessy, PD (corresponding author), South Australian Museum, North Terrace, Adelaide, SA 5000, Australia.</t>
  </si>
  <si>
    <t>peter.shaughnessy@samuseum.sa.gov.au</t>
  </si>
  <si>
    <t>Shaughnessy, Peter/AAG-6689-2021</t>
  </si>
  <si>
    <t>WOS:000456310400007</t>
  </si>
  <si>
    <t>Zdanowski, MK; Bogdanowicz, A; Gawor, J; Gromadka, R; Wolicka, D; Grzesiak, J</t>
  </si>
  <si>
    <t>Zdanowski, Marek K.; Bogdanowicz, Albert; Gawor, Jan; Gromadka, Robert; Wolicka, Dorota; Grzesiak, Jakub</t>
  </si>
  <si>
    <t>Enrichment of Cryoconite Hole Anaerobes: Implications for the Subglacial Microbiome</t>
  </si>
  <si>
    <t>MICROBIAL ECOLOGY</t>
  </si>
  <si>
    <t>Bacteria; Glacier; Psychrophiles; Firmicutes; Methanogenesis</t>
  </si>
  <si>
    <t>SP NOV.; GEN. NOV.; BACTERIUM; LAKE; ANTARCTICA; SEDIMENTS; GLACIERS; WATERS; OXYGEN; SOIL</t>
  </si>
  <si>
    <t>Glaciers have recently been recognized as ecosystems comprised of several distinct habitats: a sunlit and oxygenated glacial surface, glacial ice, and a dark, mostly anoxic glacial bed. Surface meltwaters annually flood the subglacial sediments by means of drainage channels. Glacial surfaces host aquatic microhabitats called cryoconite holes, regarded as hot spots of microbial abundance and activity, largely contributing to the meltwaters' bacterial diversity. This study presents an investigation of cryoconite hole anaerobes and discusses their possible impact on subglacial microbial communities, combining 16S rRNA gene fragment amplicon sequencing and the traditional enrichment culture technique. Cryoconite hole sediment harbored bacteria belonging mainly to the Proteobacteria (21%), Bacteroidetes (16%), Actinobacteria (14%), and Planctomycetes (6%) phyla. An 8-week incubation of those sediments in Postgate C medium for sulfate reducers in airtight bottles, emulating subglacial conditions, eliminated a great majority of dominant taxa, leading to enrichment of the Firmicutes (62%), Proteobacteria (14%), and Bacteroidetes (13%), which consisted of anaerobic genera like Clostridium, Psychrosinus, Paludibacter, and Acetobacterium. Enrichment of Pseudomonas spp. also occurred, suggesting it played a role as a dominant oxygen scavenger, providing a possible scenario for anaerobic niche establishment in subglacial habitats. To our knowledge, this is the first paper to provide insight into the diversity of the anaerobic part of the cryoconite hole microbial community and its potential to contribute to matter turnover in anoxic, subglacial sites.</t>
  </si>
  <si>
    <t>[Zdanowski, Marek K.; Grzesiak, Jakub] Polish Acad Sci, Inst Biochem &amp; Biophys, Dept Antarctic Biol, Pawinskiego 5a, PL-02106 Warsaw, Poland; [Bogdanowicz, Albert; Gawor, Jan; Gromadka, Robert] Polish Acad Sci, Inst Biochem &amp; Biophys, Lab DNA Sequencing &amp; Oligonucleotide Synth, Pawinskiego 5a, PL-02106 Warsaw, Poland; [Wolicka, Dorota] Warsaw Univ, Inst Geochem Mineral &amp; Petrol, Fac Geol, Warsaw, Poland</t>
  </si>
  <si>
    <t>Polish Academy of Sciences; Institute of Biochemistry &amp; Biophysics - Polish Academy of Sciences; Polish Academy of Sciences; Institute of Biochemistry &amp; Biophysics - Polish Academy of Sciences; University of Warsaw</t>
  </si>
  <si>
    <t>Grzesiak, J (corresponding author), Polish Acad Sci, Inst Biochem &amp; Biophys, Dept Antarctic Biol, Pawinskiego 5a, PL-02106 Warsaw, Poland.</t>
  </si>
  <si>
    <t>jgrzesiak@arctowski.pl</t>
  </si>
  <si>
    <t>Grzesiak, Jakub/ABD-5209-2020; Bogdanowicz, Albert/Q-2906-2016</t>
  </si>
  <si>
    <t>Gawor, Jan/0000-0003-3800-2557; Bogdanowicz, Albert/0000-0001-5878-7131; Gromadka, Robert/0000-0002-9941-6692; Grzesiak, Jakub/0000-0001-5972-2356</t>
  </si>
  <si>
    <t>National Science Center, Poland [N304 106940]</t>
  </si>
  <si>
    <t>National Science Center, Poland(National Science Centre, Poland)</t>
  </si>
  <si>
    <t>We dedicate this paper to the memory of Dr DorotaWolicka, our wonderful colleague, who initiated the Antarctic anaerobe investigations within our research group. This work was supported by the National Science Center, Poland (grant no. N304 106940).</t>
  </si>
  <si>
    <t>0095-3628</t>
  </si>
  <si>
    <t>1432-184X</t>
  </si>
  <si>
    <t>MICROB ECOL</t>
  </si>
  <si>
    <t>Microb. Ecol.</t>
  </si>
  <si>
    <t>10.1007/s00248-016-0886-6</t>
  </si>
  <si>
    <t>Ecology; Marine &amp; Freshwater Biology; Microbiology</t>
  </si>
  <si>
    <t>Environmental Sciences &amp; Ecology; Marine &amp; Freshwater Biology; Microbiology</t>
  </si>
  <si>
    <t>EQ2ZG</t>
  </si>
  <si>
    <t>Green Published, Green Submitted, hybrid</t>
  </si>
  <si>
    <t>WOS:000397940000003</t>
  </si>
  <si>
    <t>Patel, LK; Sharma, P; Laluraj, CM; Thamban, M; Singh, A; Ravindra, R</t>
  </si>
  <si>
    <t>Patel, Lavkush Kumar; Sharma, Parmanand; Laluraj, C. M.; Thamban, Meloth; Singh, Ajit; Ravindra, Rasik</t>
  </si>
  <si>
    <t>A geospatial analysis of Samudra Tapu and Gepang Gath glacial lakes in the Chandra Basin, Western Himalaya</t>
  </si>
  <si>
    <t>NATURAL HAZARDS</t>
  </si>
  <si>
    <t>Geospatial techniques; Proglacial lakes; Glacial lake outburst floods; Chandra Basin; Himalaya</t>
  </si>
  <si>
    <t>ASTER GDEM; HAZARDS; OUTBURSTS; REGION; FLOODS</t>
  </si>
  <si>
    <t>Geospatial studies carried out in two major proglacial lakes of Samudra Tapu and Gepang Gath (Chandra Basin, Western Himalaya) showed substantial expansion in their area and volume over the last four decades (1971-2014). The linear and areal expansions for the lakes Samudra Tapu and Gepang Gath were 1889, 1509 m and 1, 0.6 km(2), respectively. The results show that increased melting of the feeder glaciers over this period is major contributor to expand the volumes approximately 20 times of both the lakes Samudra Tapu and Gepang Gath. This expansion of lakes volume of Samudra Tapu and Gepang Gath from 3.4 x 10(6) to 67.7 x 10(6) and 1.5 x 10(6) to 27.5 x 10(6) m(3), respectively, is quite significance in terms of hazards generated from glacial lake outburst floods (GLOF). This kind of climate change induced increase in the rate of glacial melting is a cause of concern, as the Himalaya Mountains may turn out to be vulnerable to natural hazards like GLOF.</t>
  </si>
  <si>
    <t>[Patel, Lavkush Kumar; Sharma, Parmanand; Laluraj, C. M.; Thamban, Meloth; Singh, Ajit] Minist Earth Sci, ESSO Natl Ctr Antarctic &amp; Ocean Res, Vasco Da Gama 403804, Goa, India; [Ravindra, Rasik] Minist Earth Sci Govt India, Earth Syst Sci Org, Lodhi Rd, New Delhi 11003, India</t>
  </si>
  <si>
    <t>Patel, LK (corresponding author), Minist Earth Sci, ESSO Natl Ctr Antarctic &amp; Ocean Res, Vasco Da Gama 403804, Goa, India.</t>
  </si>
  <si>
    <t>lavkushpatel@ncaor.gov.in; pnsharma@ncaor.gov.in; lalucm@ncaor.gov.in; meloth@ncaor.gov.in; ajitsingh@ncaor.gov.in; rasikravindra@gmail.com</t>
  </si>
  <si>
    <t>Patel, Lavkush/AGQ-2159-2022</t>
  </si>
  <si>
    <t>Thamban, Meloth/0000-0003-3379-8189; Sharma, Parmanand/0000-0002-7398-0308; patel, Lavkush Kumar/0000-0002-8131-9587</t>
  </si>
  <si>
    <t>0921-030X</t>
  </si>
  <si>
    <t>1573-0840</t>
  </si>
  <si>
    <t>NAT HAZARDS</t>
  </si>
  <si>
    <t>Nat. Hazards</t>
  </si>
  <si>
    <t>10.1007/s11069-017-2743-4</t>
  </si>
  <si>
    <t>Geosciences, Multidisciplinary; Meteorology &amp; Atmospheric Sciences; Water Resources</t>
  </si>
  <si>
    <t>Geology; Meteorology &amp; Atmospheric Sciences; Water Resources</t>
  </si>
  <si>
    <t>ER0ZY</t>
  </si>
  <si>
    <t>WOS:000398519700014</t>
  </si>
  <si>
    <t>Galbraith, ED; Eggleston, S</t>
  </si>
  <si>
    <t>Galbraith, E. D.; Eggleston, S.</t>
  </si>
  <si>
    <t>A lower limit to atmospheric CO2 concentrations over the past 800,000 years</t>
  </si>
  <si>
    <t>REDUCED NITROGEN-FIXATION; ANTARCTIC SEA-ICE; MARINE NITROGEN; GLACIAL CYCLES; OCEAN; CLIMATE; EVOLUTION; PHOTOSYNTHESIS; CONSTRAINTS; TEMPERATURE</t>
  </si>
  <si>
    <t>Global temperatures and atmospheric CO2 concentrations varied widely over the glacial cycles of the past 800,000 years. But despite this variability, Antarctic ice cores have shown that CO2 concentrations were very similar during all the coldest points of these cycles. Remarkably, the recurring minimum CO2 concentrations (190 +/- 7 ppm) fall on the lower bound of any known in Earth history. Here we show that although the volume of terrestrial ice sheets was normally distributed over the past 800,000 years, as might be expected from the approximately normal distribution of the orbital forcing that drove the glacial cycles, Antarctic temperatures have a strong cold mode, whereas CO2 concentrations have both a cold mode and a central mode. Although multiple explanations are possible, the recurring CO2 minima and pronounced cold modes are consistent with a strong negative feedback to decreasing CO2 that resisted further cooling on timescales shorter than 10,000 years. We suggest that one possible negative feedback is CO2-limitation of photosynthesis, either directly or via CO2-limitation of N-2 fixation, which could have inhibited further lowering of CO2 by reducing carbon storage.</t>
  </si>
  <si>
    <t>[Galbraith, E. D.] ICREA, Pg Lluis Co 23, Barcelona 08010, Spain; [Galbraith, E. D.; Eggleston, S.] Univ Autonoma Barcelona, ICTA, E-08193 Barcelona, Spain; [Galbraith, E. D.; Eggleston, S.] Univ Autonoma Barcelona, Dept Math, E-08193 Barcelona, Spain; [Galbraith, E. D.] McGill Univ, Dept Earth &amp; Planetary Sci, Montreal, PQ H3A 2A7, Canada</t>
  </si>
  <si>
    <t>ICREA; Autonomous University of Barcelona; Autonomous University of Barcelona; McGill University</t>
  </si>
  <si>
    <t>Galbraith, ED (corresponding author), ICREA, Pg Lluis Co 23, Barcelona 08010, Spain.;Galbraith, ED (corresponding author), Univ Autonoma Barcelona, ICTA, E-08193 Barcelona, Spain.;Galbraith, ED (corresponding author), Univ Autonoma Barcelona, Dept Math, E-08193 Barcelona, Spain.;Galbraith, ED (corresponding author), McGill Univ, Dept Earth &amp; Planetary Sci, Montreal, PQ H3A 2A7, Canada.</t>
  </si>
  <si>
    <t>eric.galbraith@icrea.cat</t>
  </si>
  <si>
    <t>Galbraith, Eric/F-9469-2014</t>
  </si>
  <si>
    <t>Galbraith, Eric/0000-0003-4476-4232</t>
  </si>
  <si>
    <t>Spanish Ministry of Economy and Competitiveness through the Maria de Maeztu Programme for Centres of Excellence in RD [MDM-2015-0552]; Swiss National Science Foundation through an Early Postdoc.Mobility grant; ICREA Funding Source: Custom</t>
  </si>
  <si>
    <t>Spanish Ministry of Economy and Competitiveness through the Maria de Maeztu Programme for Centres of Excellence in RD; Swiss National Science Foundation through an Early Postdoc.Mobility grant; ICREA(ICREA)</t>
  </si>
  <si>
    <t>We thank S. Jaccard, D. Hutchins and members of the CIFAR Earth System Evolution Program for helpful discussions. E. Wolff, C. Pelejero, E. Calvo and S. Hall provided constructive comments on the manuscript. Financial support was provided by the Spanish Ministry of Economy and Competitiveness through the Maria de Maeztu Programme for Centres of Excellence in R&amp;D (MDM-2015-0552), and the Swiss National Science Foundation through an Early Postdoc.Mobility grant.</t>
  </si>
  <si>
    <t>75 VARICK ST, 9TH FLR, NEW YORK, NY 10013-1917 USA</t>
  </si>
  <si>
    <t>10.1038/NGEO2914</t>
  </si>
  <si>
    <t>EQ5ZY</t>
  </si>
  <si>
    <t>WOS:000398162800018</t>
  </si>
  <si>
    <t>Mak, J; Marshall, DP; Maddison, JR; Bachman, SD</t>
  </si>
  <si>
    <t>Mak, J.; Marshall, D. P.; Maddison, J. R.; Bachman, S. D.</t>
  </si>
  <si>
    <t>Emergent eddy saturation from an energy constrained eddy parameterisation</t>
  </si>
  <si>
    <t>Geostrophic turbulence; Mesoscale eddy parameterisation; Gent-McWilliams; Eddy saturation</t>
  </si>
  <si>
    <t>SOUTHERN-OCEAN; TRACER TRANSPORTS; CIRCULATION; EDDIES; MODEL; WINDS</t>
  </si>
  <si>
    <t>The large-scale features of the global ocean circulation and the sensitivity of these features with respect to forcing changes are critically dependent upon the influence of the mesoscale eddy field. One such feature, observed in numerical simulations whereby the mesoscale eddy field is at least partially resolved, is the phenomenon of eddy saturation, where the time-mean circumpolar transport of the Antarctic Circumpolar Current displays relative insensitivity to wind forcing changes. Coarse-resolution models employing the Gent McWilliams parameterisation with a constant Gent McWilliams eddy transfer coefficient seem unable to reproduce this phenomenon. In this article, an idealised model for a wind-forced, zonally symmetric flow in a channel is used to investigate the sensitivity of the circumpolar transport to changes in wind forcing under different eddy closures. It is shown that, when coupled to a simple parameterised eddy energy budget, the Gent McWilliams eddy transfer coefficient of the form described in Marshall et al. (2012) [A framework for parameterizing eddy potential voracity fluxes, J. Phys. Oceanogr., vol. 42, 539-557], which includes a linear eddy energy dependence, produces eddy saturation as an emergent property. (C) 2017 The Authors. Published by Elsevier Ltd.</t>
  </si>
  <si>
    <t>[Mak, J.; Maddison, J. R.] Univ Edinburgh, Sch Math, Edinburgh EH9 3FD, Midlothian, Scotland; [Mak, J.; Maddison, J. R.] Univ Edinburgh, Maxwell Inst Math Sci, Edinburgh EH9 3FD, Midlothian, Scotland; [Marshall, D. P.] Univ Oxford, Dept Phys, Oxford OX1 3PU, England; [Bachman, S. D.] Ctr Math Sci, DAMPT, Wilberforce Rd, Cambridge CB3 0WA, England</t>
  </si>
  <si>
    <t>University of Edinburgh; University of Edinburgh; Heriot Watt University; University of Oxford; University of Cambridge</t>
  </si>
  <si>
    <t>Mak, J (corresponding author), Univ Edinburgh, Sch Math, Edinburgh EH9 3FD, Midlothian, Scotland.;Mak, J (corresponding author), Univ Edinburgh, Maxwell Inst Math Sci, Edinburgh EH9 3FD, Midlothian, Scotland.</t>
  </si>
  <si>
    <t>julian.c.l.mak@googlemail.com</t>
  </si>
  <si>
    <t>Marshall, David Philip/B-6767-2009</t>
  </si>
  <si>
    <t>Marshall, David Philip/0000-0002-5199-6579; Bachman, Scott/0000-0002-6479-4300; Mak, Julian/0000-0001-5862-6469</t>
  </si>
  <si>
    <t>UK Natural Environment Research Council [NEIL005166/1]; NERC [NE/L005166/1] Funding Source: UKRI; Natural Environment Research Council [NE/L005166/1] Funding Source: researchfish</t>
  </si>
  <si>
    <t>This work was funded by the UK Natural Environment Research Council grant NEIL005166/1. The data used for generating the plots in this article is available through the Edinburgh DataShare service at http://dx.doi.org/10.7488/ds/1715. The authors thank Jonas Nycander for discussions relating to relation (22), Malte Jansen and Maarten Ambaum for useful discussions, and Stephen Griffies and the two referees for their comments that clarified the scientific and presentational aspect of the article.</t>
  </si>
  <si>
    <t>10.1016/j.ocemod.2017.02.007</t>
  </si>
  <si>
    <t>ES1AH</t>
  </si>
  <si>
    <t>WOS:000399259800009</t>
  </si>
  <si>
    <t>Kurahashi-Nakamura, T; Paul, A; Losch, M</t>
  </si>
  <si>
    <t>Kurahashi-Nakamura, Takasumi; Paul, Andre; Losch, Martin</t>
  </si>
  <si>
    <t>Dynamical reconstruction of the global ocean state during the Last Glacial Maximum</t>
  </si>
  <si>
    <t>Last Glacial Maximum; ocean circulation; AMOC; proxy records; ocean general circulation model; data assimilation</t>
  </si>
  <si>
    <t>GENERAL-CIRCULATION MODEL; ANTARCTIC SEA-ICE; NORTH-ATLANTIC; DEEP-WATER; OVERTURNING CIRCULATION; ATMOSPHERIC CO2; DECADAL CHANGES; TEMPERATURE; DELTA-C-13; PACIFIC</t>
  </si>
  <si>
    <t>The global ocean state for the modern age and for the Last Glacial Maximum (LGM) was dynamically reconstructed with a sophisticated data assimilation technique. A substantial amount of data including global seawater temperature, salinity (only for the modern estimate), and the isotopic composition of oxygen and carbon (only in the Atlantic for the LGM) were integrated into an ocean general circulation model with the help of the adjoint method, thereby the model was optimized to reconstruct plausible continuous fields of tracers, overturning circulation and water mass distribution. The adjoint-based LGM state estimation of this study represents the state of the art in terms of the length of forward model runs, the number of observations assimilated, and the model domain. Compared to the modern state, the reconstructed continuous sea-surface temperature field for the LGM shows a global-mean cooling of 2.2K, and the reconstructed LGM ocean has a more vigorous Atlantic meridional overturning circulation, shallower North Atlantic Deep Water (NADW) equivalent, stronger stratification, and more saline deep water.</t>
  </si>
  <si>
    <t>[Kurahashi-Nakamura, Takasumi; Paul, Andre; Losch, Martin] Univ Bremen, MARUM Ctr Marine Environm Sci, Bremen, Germany; [Kurahashi-Nakamura, Takasumi; Paul, Andre] Univ Bremen, Fac Geosci, Bremen, Germany; [Losch, Martin] Alfred Wegener Inst Polar &amp; Marine Res, Bremerhaven, Germany</t>
  </si>
  <si>
    <t>University of Bremen; University of Bremen; Helmholtz Association; Alfred Wegener Institute, Helmholtz Centre for Polar &amp; Marine Research</t>
  </si>
  <si>
    <t>Kurahashi-Nakamura, T (corresponding author), Univ Bremen, MARUM Ctr Marine Environm Sci, Bremen, Germany.;Kurahashi-Nakamura, T (corresponding author), Univ Bremen, Fac Geosci, Bremen, Germany.</t>
  </si>
  <si>
    <t>tkurahashi@marum.de</t>
  </si>
  <si>
    <t>Losch, Martin/S-5896-2016</t>
  </si>
  <si>
    <t>Losch, Martin/0000-0002-3824-5244</t>
  </si>
  <si>
    <t>DFG-Research Center/Center of Excellence MARUM - The Ocean in the Earth System [FKZ: EXC 309]; project PalMod within the framework of Research for Sustainable Development (FONA) by the German Federal Ministry for Education and Research (BMBF) [FKZ: 01LP1505D]</t>
  </si>
  <si>
    <t>DFG-Research Center/Center of Excellence MARUM - The Ocean in the Earth System(German Research Foundation (DFG)); project PalMod within the framework of Research for Sustainable Development (FONA) by the German Federal Ministry for Education and Research (BMBF)(Federal Ministry of Education &amp; Research (BMBF))</t>
  </si>
  <si>
    <t>The authors would like to thank Andreas Schmittner and Karen Kohfeld for their insightful comments and suggestions. All data for this paper are properly cited and referred to in the reference list. This research was funded by the DFG-Research Center/Center of Excellence MARUM - The Ocean in the Earth System (www.marum.de; FKZ: EXC 309) as well as the project PalMod (www.palmod.de; FKZ: 01LP1505D) within the framework of Research for Sustainable Development (FONA, http://fona.de) by the German Federal Ministry for Education and Research (BMBF). The adjoint model was generated using TAF [Giering and Kaminski, 1998].</t>
  </si>
  <si>
    <t>10.1002/2016PA003001</t>
  </si>
  <si>
    <t>EU6KI</t>
  </si>
  <si>
    <t>WOS:000401142500001</t>
  </si>
  <si>
    <t>Hauptvogel, DW; Pekar, SF; Pincay, V</t>
  </si>
  <si>
    <t>Hauptvogel, D. W.; Pekar, S. F.; Pincay, V.</t>
  </si>
  <si>
    <t>Evidence for a heavily glaciated Antarctica during the late Oligocene warming (27.8-24.5Ma): Stable isotope records from ODP Site 690</t>
  </si>
  <si>
    <t>Antarctica; late Oligocene; stable isotopes</t>
  </si>
  <si>
    <t>BENTHIC FORAMINIFERAL ISOTOPES; ABYSSAL CIRCULATION CHANGES; GLOBAL CARBON-CYCLE; MARIE-BYRD-LAND; ICE-SHEET; SOUTHERN-OCEAN; MCMURDO SOUND; LATE EOCENE; ROSS SEA; KERGUELEN PLATEAU</t>
  </si>
  <si>
    <t>High O-18 values (&gt; 3.0) from a 9kyr resolution benthic foraminiferal stable isotope record from the Ocean Drilling Program hole 690B located on the Maud Rise, Antarctica, indicate a heavily glaciated Antarctic continent during late Oligocene (27.8-24.5Ma). Values ranging 2.5-3.0 during interglacial periods and 3.0-3.6 during glacial intervals are consistent with an ice sheet near or larger than modern size. In addition, this record does not exhibit the long-term late Oligocene warming trend seen in records from low-latitude drill sites. Oxygen isotope values from 26.0 to 24.5Ma are comparable (ranging between 2.5 and 3.3) to values that preceded the O-18 event Oi2b at 26.7Ma, indicating no significant glacial collapse occurred during the late Oligocene. A gradient between ocean basins during the Oligocene has already been linked to the development of a modern, multilayered ocean and worked to bathe the low latitude to midlatitude, deep-sea records with a warmer water mass. We suggest that this masked the significant Antarctic glaciation in low-latitude paleoceanographic records. Additionally, we propose a resolution for conflicting lines of evidence from some Antarctic proximal records suggesting significant glaciation and others suggesting reduced glaciation during the late Oligocene by allowing a modern-sized ice sheet to grow on an Antarctic continent as more land surface area existed above sea level during this time. This could allow at least some portions of the Antarctic coastline to remain ice-free during glacial minima while still maintaining modern or near-modern ice volume.</t>
  </si>
  <si>
    <t>[Hauptvogel, D. W.; Pekar, S. F.; Pincay, V.] CUNY Queens Coll, Sch Earth &amp; Environm Sci, Flushing, NY 11367 USA; [Hauptvogel, D. W.] CUNY, Grad Ctr, Earth &amp; Environm Sci, New York, NY 10017 USA; [Hauptvogel, D. W.] Univ Houston, Dept Earth &amp; Atmospher Sci, Houston, TX 77004 USA</t>
  </si>
  <si>
    <t>City University of New York (CUNY) System; Queens College NY (CUNY); City University of New York (CUNY) System; University of Houston System; University of Houston</t>
  </si>
  <si>
    <t>Hauptvogel, DW (corresponding author), CUNY Queens Coll, Sch Earth &amp; Environm Sci, Flushing, NY 11367 USA.;Hauptvogel, DW (corresponding author), CUNY, Grad Ctr, Earth &amp; Environm Sci, New York, NY 10017 USA.;Hauptvogel, DW (corresponding author), Univ Houston, Dept Earth &amp; Atmospher Sci, Houston, TX 77004 USA.</t>
  </si>
  <si>
    <t>dwhauptvogel@uh.edu</t>
  </si>
  <si>
    <t>Hauptvogel, Daniel/0000-0001-7742-9719</t>
  </si>
  <si>
    <t>US National Science Foundation (NSF); NSF [1130533]; Division Of Ocean Sciences; Directorate For Geosciences [1130533] Funding Source: National Science Foundation</t>
  </si>
  <si>
    <t>US National Science Foundation (NSF)(National Science Foundation (NSF)); NSF(National Science Foundation (NSF)); Division Of Ocean Sciences; Directorate For Geosciences(National Science Foundation (NSF)NSF - Directorate for Geosciences (GEO))</t>
  </si>
  <si>
    <t>This research used samples and data provided by the Integrated Ocean Drilling Program (IODP). The IODP is sponsored by the US National Science Foundation (NSF) and participating countries under the management of Joint Oceanographic Institutions. Support for this study was provided by NSF award 1130533 to S.F. Pekar. Supporting data are included as two tables in the supporting information; any additional data may be obtained from D.W. Hauptvogel (e-mail: dwhauptvogel@uh.edu). We would like to thank Heiko Palike, Mimi Katz, and an anonymous reviewer for their comments and suggestions that greatly improved this manuscript.</t>
  </si>
  <si>
    <t>10.1002/2016PA002972</t>
  </si>
  <si>
    <t>WOS:000401142500004</t>
  </si>
  <si>
    <t>Karlov, DS; Marie, D; Sumbatyan, DA; Chuvochina, MS; Kulichevskaya, IS; Alekhina, IA; Bulat, SA</t>
  </si>
  <si>
    <t>Karlov, Denis S.; Marie, Dominique; Sumbatyan, Danil A.; Chuvochina, Maria S.; Kulichevskaya, Irina S.; Alekhina, Irina A.; Bulat, Sergey A.</t>
  </si>
  <si>
    <t>Microbial communities within the water column of freshwater Lake Radok, East Antarctica: predominant 16S rDNA phylotypes and bacterial cultures</t>
  </si>
  <si>
    <t>Antarctica; Freshwater lakes; Lake Radok; 16S rRNA; Microbial community</t>
  </si>
  <si>
    <t>NANNOCHLOROPSIS-LIMNETICA EUSTIGMATOPHYCEAE; CANDIDATUS PLANKTOPHILA LIMNETICA; BACTERIOPLANKTON COMMUNITY; SUBGLACIAL LAKE; AMERY OASIS; DIVERSITY; ECOLOGY; VOSTOK; DNA; BIODIVERSITY</t>
  </si>
  <si>
    <t>Antarctic lake ecosystems provide a rare opportunity to study the evolution and adaptation of microorganisms to extreme conditions, as well as to discover new species useful for biotechnological applications. Four water samples were collected from various layers of the water column of freshwater Lake Radok in East Antarctica. Two regions (v3-v5 and v4-v8) of the 16S rRNA gene were amplified by PCR and sequenced. Twenty dominant phylotypes were detected representing five bacterial phyla (Actinobacteria, alpha, beta and delta Proteobacteria, Bacteroidetes, Planctomycetes, OD1) and two eukaryotic divisions (stramenopiles and green algae). Of these, 16 phylotypes demonstrated &lt;= 98 % identity to the nearest taxa in GenBank and were therefore classified as new unknown species. Seven phylotypes demonstrated &lt;= 90 % identity and thus remained unidentified. Actinobacteria was the most abundant phylum with 157 clones (41 % of the total number) representing 5 phylotypes. A species complex (3 clades from acI-A subgroup) of Candidatus Planktophila limnetica was prevalent in all layers. Representatives of the OD1 phylum and delta-proteobacteria were discovered by sequencing of the v3-v5 region of 16S rRNA, while Planctomycetes, beta-proteobacteria and mtDNA of stramenopiles were discovered by sequencing of the v4-v8 region. This highlights the necessity of sequencing at least two 16S rRNA gene regions to gain more data on microbial community characterization. In general, despite the uniformity in the physical and chemical properties in the water column, a prominent stratification of microbial groups was observed, at the levels of both divisions and phylotypes.</t>
  </si>
  <si>
    <t>[Karlov, Denis S.; Sumbatyan, Danil A.; Bulat, Sergey A.] Petersburg Nucl Phys Inst, Natl Res Ctr Kurchatov Inst BP Konstantinov, Gatchina, Russia; [Marie, Dominique] Stn Biol Roscoff, Pl Georges Teissier, Roscoff, France; [Chuvochina, Maria S.] Univ Queensland, Sch Chem &amp; Mol Biosci, Brisbane, Qld, Australia; [Kulichevskaya, Irina S.] Russian Acad Sci, SN Winogradsky Inst Microbiol, Moscow, Russia; [Alekhina, Irina A.] Arctic &amp; Antarctic Res Inst, St Petersburg, Russia; [Bulat, Sergey A.] Ural Fed Univ, Inst Phys &amp; Technol, Ekaterinburg, Russia</t>
  </si>
  <si>
    <t>National Research Centre - Kurchatov Institute; Petersburg Nuclear Physics Institute; Sorbonne Universite; University of Queensland; Research Center of Biotechnology RAS; Russian Academy of Sciences; Arctic &amp; Antarctic Research Institute; Ural Federal University</t>
  </si>
  <si>
    <t>Karlov, DS; Bulat, SA (corresponding author), Petersburg Nucl Phys Inst, Natl Res Ctr Kurchatov Inst BP Konstantinov, Gatchina, Russia.;Bulat, SA (corresponding author), Ural Fed Univ, Inst Phys &amp; Technol, Ekaterinburg, Russia.</t>
  </si>
  <si>
    <t>makondo07@gmail.com; bulat@omrb.pnpi.spb.ru</t>
  </si>
  <si>
    <t>Chuvochina, Maria/CAJ-3178-2022; Karlov, Denis/ABI-2208-2020; Irina, Kulichevskaya/K-3026-2018; Alekhina, Irina/L-2163-2016</t>
  </si>
  <si>
    <t>Chuvochina, Maria/0000-0002-3977-6012; Irina, Kulichevskaya/0000-0002-8598-156X; Bulat, Sergey/0000-0002-2574-882X; Alekhina, Irina/0000-0001-9820-8675</t>
  </si>
  <si>
    <t>Russian Foundation for Basic Research (RFBR) [07-04-00646]; Act 211 Government of the Russian Federation [02. A03.21.0006]</t>
  </si>
  <si>
    <t>Russian Foundation for Basic Research (RFBR)(Russian Foundation for Basic Research (RFBR)); Act 211 Government of the Russian Federation</t>
  </si>
  <si>
    <t>We would like to thank the team of the 50th Russian Antarctic Expedition and personally V.L. Kuznetsov, M.P. Andreev and A. I. Kutsuruba for lake water sampling and for transportation of frozen samples (on RV 'Fedorov') to Bremerhaven; LGGE (Grenoble, France) for delivery of the samples from Bremerhaven to Grenoble; and Olga Neveykina and especially Ian Probert for English language editing. We are also very grateful for the time and energy the reviewers extended to help us improve the paper. The research was partially supported by the Russian Foundation for Basic Research (RFBR), Research Project No. 07-04-00646, as well as the Act 211 Government of the Russian Federation, Agreement No. 02. A03.21.0006.</t>
  </si>
  <si>
    <t>10.1007/s00300-016-2008-9</t>
  </si>
  <si>
    <t>WOS:000398176500008</t>
  </si>
  <si>
    <t>Zgrundo, A; Wojtasik, B; Convey, P; Majewska, R</t>
  </si>
  <si>
    <t>Zgrundo, Aleksandra; Wojtasik, Barbara; Convey, Peter; Majewska, Roksana</t>
  </si>
  <si>
    <t>Diatom communities in the High Arctic aquatic habitats of northern Spitsbergen (Svalbard)</t>
  </si>
  <si>
    <t>Diatom absence; Diatom assemblages; Frustule dissolution; Lakes; Sediment analysis; Polar</t>
  </si>
  <si>
    <t>ULTRAVIOLET-B RADIATION; FRANZ JOSEF LAND; BIOGENIC SILICA; FRESH-WATER; OCEANOGRAPHIC CONDITIONS; ENVIRONMENTAL-CHANGE; DISSOLUTION RATES; BENTHIC DIATOMS; CLIMATE-CHANGE; SP-NOV</t>
  </si>
  <si>
    <t>As High Arctic environments are particularly sensitive to global and regional climate changes, a growing number of studies have focused on that region. It has been shown that living and fossil diatoms can be successfully used to track environmental changes in polar habitats. Nevertheless, the diatom flora of many Arctic areas remains unknown. The present study set out to examine the diatom flora in the rarely visited and near-pristine zone of northern Spitsbergen. Examination by light and scanning electron microscopy of 25 sediment samples, collected in fjords, tidal plains and lakes, indicated significant differences between the diatom assemblages identified in lakes located within different fjord watersheds. Altogether, 96 diatom taxa (46 genera) were found. The most abundant species (Achnanthidium minutissimum, Staurosirella pinnata and Nitzschia alpina) occurred in at least eight of the 11 investigated lakes. Assemblages from the Woodfjorden region were characterized by the presence of Cavinula pseudoscutiformis and Encyonema reichardtii, along with Navicula spp., which coincided with relatively low conductivity (34-58.7 mu S cm(-1)) and near-neutral pH (7.2-7.5). Diatom assemblages found in the Wijdefjorden area were typically characterized by Denticula kuetzingii and Nitzschia inconspicua, with these lakes generally having higher water conductivity (&gt; 184 mu S cm(-1)) and pH (7.5-8.1) conditions. Conductivity, biogenic silica concentration and water temperature were indicated as significant predictors of diatom community species composition and structure. No diatom frustules were found in fjord and tidal plain sediments. The effects of selected environmental factors on diatom assemblage formation are discussed.</t>
  </si>
  <si>
    <t>[Zgrundo, Aleksandra] Univ Gdansk, Fac Oceanog &amp; Geog, Al Pilsudskiego 46, PL-81378 Gdynia, Poland; [Wojtasik, Barbara] Univ Gdansk, Fac Biol, Ul Wita Stwosza 59, PL-80308 Gdansk, Poland; [Convey, Peter] British Antarctic Survey, NERC, High Cross, Cambridge CB3 0ET, England; [Majewska, Roksana] Magna Graecia Univ Catanzaro, Dept Expt &amp; Clin Med, BioNEM Lab, I-88100 Catanzaro, Italy; [Majewska, Roksana] North West Univ, Sch Biol Sci, Fac Nat Sci, ZA-2520 Potchefstroom, South Africa</t>
  </si>
  <si>
    <t>Fahrenheit Universities; University of Gdansk; Fahrenheit Universities; University of Gdansk; UK Research &amp; Innovation (UKRI); Natural Environment Research Council (NERC); NERC British Antarctic Survey; Magna Graecia University of Catanzaro; North West University - South Africa</t>
  </si>
  <si>
    <t>Majewska, R (corresponding author), Magna Graecia Univ Catanzaro, Dept Expt &amp; Clin Med, BioNEM Lab, I-88100 Catanzaro, Italy.;Majewska, R (corresponding author), North West Univ, Sch Biol Sci, Fac Nat Sci, ZA-2520 Potchefstroom, South Africa.</t>
  </si>
  <si>
    <t>roksana.majewska@unina2.it</t>
  </si>
  <si>
    <t>Convey, Peter/AAV-5728-2020; Zgrundo, Aleksandra/GZA-9027-2022; Majewska, Roksana/P-1280-2015</t>
  </si>
  <si>
    <t>Convey, Peter/0000-0001-8497-9903; Majewska, Roksana/0000-0003-2681-4304; Zgrundo, Aleksandra/0000-0001-7700-5510</t>
  </si>
  <si>
    <t>University of Gdansk; NERC; NERC [bas0100036] Funding Source: UKRI; Natural Environment Research Council [bas0100036] Funding Source: researchfish</t>
  </si>
  <si>
    <t>University of Gdansk; NERC(UK Research &amp; Innovation (UKRI)Natural Environment Research Council (NERC)); NERC(UK Research &amp; Innovation (UKRI)Natural Environment Research Council (NERC)); Natural Environment Research Council(UK Research &amp; Innovation (UKRI)Natural Environment Research Council (NERC))</t>
  </si>
  <si>
    <t>We thank Kamil Nowinski (University of Gdansk, Gdansk, Poland) for assistance in sample collection, Dorota Burska and Jaromir Jedrzejowski (University of Gdansk, Gdansk, Poland) for conducting chemical analysis of sediments, Antonietta Ianniello, Francesca Spataro and Stefano Dalla Torre (Consiglio Nazionale Delle Ricerche, Montelibretti, Italy) for assistance in diatom material preparation and SEM procedures, and Bart Van de Vijver and Eveline Pinseel (Botanic Garden Meise, Meise, Belgium) for help with taxonomic identification of several diatom species. We acknowledge financial support from the University of Gdansk. PC is supported by NERC core funding to the British Antarctic Survey's Biodiversity, Evolution and Adaptation'' Team.</t>
  </si>
  <si>
    <t>10.1007/s00300-016-2014-y</t>
  </si>
  <si>
    <t>WOS:000398176500012</t>
  </si>
  <si>
    <t>Negrete, P; Sallaberry, M; Barceló, G; Maldonado, K; Perona, F; McGill, RAR; Quillfeldt, P; Sabat, P</t>
  </si>
  <si>
    <t>Negrete, Pablo; Sallaberry, Michel; Barcelo, Gonzalo; Maldonado, Karin; Perona, Franco; McGill, Rona A. R.; Quillfeldt, Petra; Sabat, Pablo</t>
  </si>
  <si>
    <t>Temporal variation in isotopic composition of Pygoscelis penguins at Ardley Island, Antarctic: Are foraging habits impacted by environmental change?</t>
  </si>
  <si>
    <t>Antarctic Peninsula; Bayesian-based mixed models; Feeding habits; Stable isotope; Penguins; Pygoscelis</t>
  </si>
  <si>
    <t>KING-GEORGE-ISLAND; SOUTH SHETLAND ISLANDS; STABLE-ISOTOPES; CHINSTRAP PENGUINS; TROPHIC RELATIONSHIPS; REPRODUCTIVE SUCCESS; ECOLOGICAL RESPONSES; WINTER DISTRIBUTION; EUPHAUSIA-SUPERBA; STOMACH CONTENT</t>
  </si>
  <si>
    <t>Several studies have suggested that penguins are undergoing a major restructuring of their feeding habits and distribution after drastic climatic changes in the Antarctic Peninsula region. With the objective of estimating potential medium-term and inter-annual variations in trophic niche, we measured delta N-15 and delta C-13 in feather samples of pygoscelid penguins from museum specimens (1982-1984) and in blood and feather samples from 2009/10-2011 collected from animals on Ardley Island. Current penguin feathers had lower delta C-13 and delta N-15 values and were more similar to Antarctic krill values, than feathers in 1982-1984 and blood from 2009/10-2011. Moreover, delta C-13 and delta N-15 values from museum feathers and modern samples occupied a larger isotopic space in Gentoo Penguins (Pygoscelis papua), compared to Ad,lie Penguins (Pygoscelis adeliae) and Chinstrap Penguins (Pygoscelis antarctica). Our results from feathers samples indicated that penguins have decreased their consumption of fish and other prey of higher trophic levels in the early interbreeding period (EIBP), while increasing the amount of euphausiids (Antarctic krill Euphausia superba) taken. The isotopic values of the species suggest that foraging sites varied significantly over time and seasonally. We suggest that environmental changes may have modified the feeding habits of pygoscelid penguins, resulting in changed foraging behaviour in the EIBP, and altering the secondary prey consumption. Prey choice in breeding pygoscelid species is probably limited by the foraging range around the breeding colony and competitive exclusion between congeners.</t>
  </si>
  <si>
    <t>[Negrete, Pablo; Sallaberry, Michel; Barcelo, Gonzalo; Maldonado, Karin; Perona, Franco; Sabat, Pablo] Univ Chile, Fac Ciencias, Dept Ciencias Ecol, Casilla 653, Santiago, Chile; [Quillfeldt, Petra] Justus Liebig Univ Giessen, Dept Anim Ecol &amp; Biodivers, Heinrich Buff Ring 38, D-35392 Giessen, Germany; [McGill, Rona A. R.] Scottish Univ Environm Res Ctr, Glasgow G75 0QF, Lanark, Scotland; [Sabat, Pablo] Pontificia Univ Catolica Chile, Fac Ciencias Biol, Dept Ecol, Ctr Appl Ecol &amp; Sustainabil CAPES, Santiago, Chile</t>
  </si>
  <si>
    <t>Universidad de Chile; Justus Liebig University Giessen; Scottish Universities Research &amp; Reactor Center; Pontificia Universidad Catolica de Chile</t>
  </si>
  <si>
    <t>Sabat, P (corresponding author), Univ Chile, Fac Ciencias, Dept Ciencias Ecol, Casilla 653, Santiago, Chile.;Sabat, P (corresponding author), Pontificia Univ Catolica Chile, Fac Ciencias Biol, Dept Ecol, Ctr Appl Ecol &amp; Sustainabil CAPES, Santiago, Chile.</t>
  </si>
  <si>
    <t>psabat@uchile.cl</t>
  </si>
  <si>
    <t>Barceló, Gonzalo/GSE-3653-2022; Barceló, Gonzalo/AGG-4971-2022; McGill, Rona/JAC-6969-2023; McGill, Rona/F-1793-2010; Quillfeldt, Petra/A-9549-2009</t>
  </si>
  <si>
    <t>Barceló, Gonzalo/0000-0002-9391-9571; Barceló, Gonzalo/0000-0002-9391-9571; McGill, Rona/0000-0003-0400-7288; Quillfeldt, Petra/0000-0002-4450-8688; Maldonado, Karin/0000-0001-8946-7560</t>
  </si>
  <si>
    <t>FONDECYT grant [1120276]; DFG, Germany; Natural Environment Research Council [lsmsf010002] Funding Source: researchfish; NERC [lsmsf010002] Funding Source: UKRI</t>
  </si>
  <si>
    <t>FONDECYT grant(Comision Nacional de Investigacion Cientifica y Tecnologica (CONICYT)CONICYT FONDECYT); DFG, Germany(German Research Foundation (DFG)); Natural Environment Research Council(UK Research &amp; Innovation (UKRI)Natural Environment Research Council (NERC)); NERC(UK Research &amp; Innovation (UKRI)Natural Environment Research Council (NERC))</t>
  </si>
  <si>
    <t>We are very grateful to the following organizations and persons: Instituto Antartico Chileno, Museo Nacional de Historia Natural de Chile and Juan C. Torres for logistical, fieldwork and collection support. Special thanks to Gabriele Schafheitle, Ina Hampel and staff of Ecophysiology Lab, Universidad de Chile for help in analysis, and to the Life Science Mass Spectrometry Facility at SUERC. We thank FONDECYT grant No. 1120276 to PS. PQ was supported by a grant of the DFG, Germany.</t>
  </si>
  <si>
    <t>10.1007/s00300-016-2017-8</t>
  </si>
  <si>
    <t>WOS:000398176500014</t>
  </si>
  <si>
    <t>Galera, H; Wódkiewicz, M; Czyz, E; Lapinski, S; Kowalska, ME; Pasik, M; Rajner, M; Bylina, P; Chwedorzewska, KJ</t>
  </si>
  <si>
    <t>Galera, Halina; Wodkiewicz, Maciej; Czyz, Ewa; Lapinski, Slawomir; Kowalska, Maria Elzbieta; Pasik, Mariusz; Rajner, Marcin; Bylina, Pawel; Chwedorzewska, Katarzyna J.</t>
  </si>
  <si>
    <t>First step to eradication of Poa annua L. from Point Thomas Oasis (King George Island, South Shetlands, Antarctica)</t>
  </si>
  <si>
    <t>Poa annua; Alien species; Antarctica; Biological invasions</t>
  </si>
  <si>
    <t>POLAR CARYOPHYLLACEAE; BIOLOGICAL INVASIONS; PLANT INVASIONS; COLD</t>
  </si>
  <si>
    <t>Poa annua, an alien species reported from the Antarctic continent and many Antarctic and sub-Antarctic islands, was accidentally introduced in the vicinity of the Polish Antarctic Station H. Arctowski. Recently the species has been found entering native plant communities. In almost 30 years it dispersed over 250 m from the site it was first observed and can therefore be considered invasive. We report the first steps to eradicate the species following the initial research to quantify the biology, ecology and genetics of the species. After detailed mapping of all 1439 tussocks located in the Arctowski Station area we removed 314 tussocks closest to a moss carpet formation (native plant community of high conservation value). All of the 49 tussocks growing in the Ecology Glacier forefield were removed. It is the biggest alien plant eradication act conducted so far in Antarctica. We plan to continue the eradication process and monitor the eradicated sites. This will provide valuable information on impacts and issues related to removal of alien species in the maritime Antarctic and will help in informing future decisions on management of other plant invasions in the region. Given the increasing human traffic to the Antarctic and the associated risks of invasion our results will be important not only for Arctowski but also for the whole Antarctic region.</t>
  </si>
  <si>
    <t>[Galera, Halina; Wodkiewicz, Maciej; Czyz, Ewa] Univ Warsaw, Biol &amp; Chem Res Ctr, Fac Biol, Zwirki &amp; Wigury 101, PL-02089 Warsaw, Poland; [Lapinski, Slawomir; Kowalska, Maria Elzbieta; Pasik, Mariusz; Rajner, Marcin; Bylina, Pawel] Warsaw Univ Technol, Fac Geodesy &amp; Cartog, Pl Politech 1, PL-00661 Warsaw, Poland; [Chwedorzewska, Katarzyna J.] Inst Biochem &amp; Biophys PAS, Dept Antarctic Biol, Pawinskiego 5a, PL-02106 Warsaw, Poland</t>
  </si>
  <si>
    <t>University of Warsaw; Warsaw University of Technology; Polish Academy of Sciences; Institute of Biochemistry &amp; Biophysics - Polish Academy of Sciences</t>
  </si>
  <si>
    <t>Chwedorzewska, KJ (corresponding author), Inst Biochem &amp; Biophys PAS, Dept Antarctic Biol, Pawinskiego 5a, PL-02106 Warsaw, Poland.</t>
  </si>
  <si>
    <t>h.galera@uw.edu.pl; kchwedorzewska@go2.pl</t>
  </si>
  <si>
    <t>Galera, Halina/IUQ-1030-2023; Galera, Halina/V-5347-2018; Rajner, Marcin/AAE-2734-2019; Chwedorzewska, Katarzyna/M-9721-2019; Rajner, Marcin/AAE-2731-2019; Chwedorzewska, Katarzyna J/A-9480-2008; Rajner, Marcin/B-4618-2019</t>
  </si>
  <si>
    <t>Galera, Halina/0000-0001-6983-0908; Chwedorzewska, Katarzyna/0000-0001-6860-3666; Wodkiewicz, Maciej/0000-0002-7358-126X; Bylina, Pawel/0000-0003-1311-7905; Rajner, Marcin/0000-0001-6105-6487; Czyz, Ewa Agata/0000-0002-4505-0701; Lapinski, Slawomir/0000-0003-0403-7911; Kowalska, Maria/0000-0002-4434-7829</t>
  </si>
  <si>
    <t>Polish Ministry of Scientific Research and Higher Education [218361]; EU European Regional Development Fund under the Innovative Economy Operational Program</t>
  </si>
  <si>
    <t>Polish Ministry of Scientific Research and Higher Education(Ministry of Science and Higher Education, Poland); EU European Regional Development Fund under the Innovative Economy Operational Program</t>
  </si>
  <si>
    <t>We thank members of the 39th Polish Antarctic Expedition for assistance and support in our field work. We also thank Prof. Dieter Piepenburg (Editor-in-Chief of the Journal), Dr Justine Shaw, Dr Ad H.L. Huiskes and one anonymous reviewer for a detailed and throughout review, language correction suggestions and valuable comments on our manuscript. This research project was supported by Polish Ministry of Scientific Research and Higher Education by a Grant No. 218361. Part of this study was carried out at the Biological and Chemical Research Centre, University of Warsaw, established within a project co-financed by the EU European Regional Development Fund under the Innovative Economy Operational Program, 2007-2013.</t>
  </si>
  <si>
    <t>10.1007/s00300-016-2006-y</t>
  </si>
  <si>
    <t>WOS:000398176500017</t>
  </si>
  <si>
    <t>Ferreira, MLD; Kerr, R</t>
  </si>
  <si>
    <t>de Carvalho Ferreira, Maria Luiza; Kerr, Rodrigo</t>
  </si>
  <si>
    <t>Source water distribution and quantification of North Atlantic Deep Water and Antarctic Bottom Water in the Atlantic Ocean</t>
  </si>
  <si>
    <t>PROGRESS IN OCEANOGRAPHY</t>
  </si>
  <si>
    <t>Deep water masses; Water mass mixing; Quasi-interdecadal variability; Atlantic Ocean; OMP analysis</t>
  </si>
  <si>
    <t>LABRADOR SEA-WATER; MERIDIONAL OVERTURNING CIRCULATION; OPTIMUM MULTIPARAMETER ANALYSIS; TOTAL GEOSTROPHIC CIRCULATION; MEDITERRANEAN OVERFLOW WATER; PAST 4 DECADES; WEDDELL SEA; SOUTH-ATLANTIC; NORDIC SEAS; TEMPORAL VARIABILITY</t>
  </si>
  <si>
    <t>The distribution and quantification of the source waters of the North Atlantic Deep Water (NADW) and the Antarctic Bottom Water (AABW) in the Atlantic Ocean were investigated using 40 years of climatology data (1973-2014) constructed from the dataset available in the 2013 World Ocean Database. The quasi-interdecadal variability of NADW and AABW source waters spanned the late 1980s until early 2010 in the analysis of three World Ocean Circulation Experiment sections (WOCE A05, A10 and A16). The study was performed by applying optimum multiparameter analysis to, quantify the mixture of six NADW and AABW source waters (four for NADW and two for AABW). The NADW source waters decrease their contributions from north to south, except for the region between 30 degrees S and 45 degrees S where the Labrador Sea Water (LSW) contribution suggests an upper NADW deepening. In addition, Iceland-Scotland Overflow Water (ISOW) and LSW contribute to the southernmost boundary of NADW in the Southern Ocean. The AABW source waters were observed as far as 45 degrees N with a 15% contribution, with significant recirculation in equatorial regions and higher contributions in Argentine and Brazil basins. The Denmark Strait Overflow Water (DSOW) and ISOW showed the highest temporal variability (+/- 20%) not only near their formation region but also in the South Atlantic. The AABW source waters did not present high temporal variability, although temporal changes were found near their formation region. Based on their spatial distribution, the Argentine and Brazil basins were noted as the main locations to use for investigating this issue. The results provide new insights into the mixing inside the deep Atlantic Ocean and the global circulation cell; the results also specify the source water masses that present higher temporal variability and the suitable locations to observe these changes. (C) 2017 Elsevier Ltd. All rights reserved.</t>
  </si>
  <si>
    <t>[de Carvalho Ferreira, Maria Luiza; Kerr, Rodrigo] Fundacao Univ Fed Rio Grande, Inst Oceanog, LEOC, Ave Italia Km 8 S-No,Campus Carreiros, BR-96203900 Rio Grande, RS, Brazil</t>
  </si>
  <si>
    <t>Universidade Federal do Rio Grande</t>
  </si>
  <si>
    <t>Ferreira, MLD (corresponding author), Fundacao Univ Fed Rio Grande, Inst Oceanog, LEOC, Ave Italia Km 8 S-No,Campus Carreiros, BR-96203900 Rio Grande, RS, Brazil.</t>
  </si>
  <si>
    <t>mlferreira@furg.br</t>
  </si>
  <si>
    <t>Kerr, Rodrigo/I-2494-2012</t>
  </si>
  <si>
    <t>Kerr, Rodrigo/0000-0002-2632-3137</t>
  </si>
  <si>
    <t>Council for Research and Scientific Development of Brazil (CNPq) through Brazilian National Institute of Science and Technology of Cryosphere (INCT-CRIOSFERA) project; Council for Research and Scientific Development of Brazil (CNPq) through Brazilian National Institute of Science and Technology of Cryosphere (CNPq) project [573720/2008-8, 465680/2014-3]; Council for Research and Scientific Development of Brazil (CNPq) through NAUTILUS (CNPq) project [405869/2013-4]; Council for Research and Scientific Development of Brazil (CNPq) through Ciencias do Mar 2 (CAPES) project [23038.001421/2014-30]; CNPq [302604/2015-4]</t>
  </si>
  <si>
    <t>Council for Research and Scientific Development of Brazil (CNPq) through Brazilian National Institute of Science and Technology of Cryosphere (INCT-CRIOSFERA) project(Conselho Nacional de Desenvolvimento Cientifico e Tecnologico (CNPQ)); Council for Research and Scientific Development of Brazil (CNPq) through Brazilian National Institute of Science and Technology of Cryosphere (CNPq) project(Conselho Nacional de Desenvolvimento Cientifico e Tecnologico (CNPQ)); Council for Research and Scientific Development of Brazil (CNPq) through NAUTILUS (CNPq) project(Conselho Nacional de Desenvolvimento Cientifico e Tecnologico (CNPQ)); Council for Research and Scientific Development of Brazil (CNPq) through Ciencias do Mar 2 (CAPES) project; CNPq(Conselho Nacional de Desenvolvimento Cientifico e Tecnologico (CNPQ))</t>
  </si>
  <si>
    <t>This study contributes to the activities of the Brazilian High Latitudes Oceanography Group (GOAL), which is part of the Brazilian Antarctic Program (PROANTAR). Additionally, we are grateful for the constructive comments provided by R.B. de Souza, J.L.L. Azevedo, and an anonymous reviewer who substantially helped to improve the manuscript. GOAL has been funded by and/or has received logistical support from the Brazilian Ministry of the Environment (MMA), the Brazilian Ministry of Science, Technology, Innovation and Communication (MCTIC), and the Council for Research and Scientific Development of Brazil (CNPq) through grants from the Brazilian National Institute of Science and Technology of Cryosphere (INCT-CRIOSFERA; CNPq grant no 573720/2008-8; 465680/2014-3), NAUTILUS (CNPq grant no 405869/2013-4) and Ciencias do Mar 2 (CAPES grant no 23038.001421/2014-30) projects. M.L.C.F. and R.K. acknowledge a CAPES Foundation fellowship and CNPq research grant no 302604/2015-4, respectively.</t>
  </si>
  <si>
    <t>0079-6611</t>
  </si>
  <si>
    <t>PROG OCEANOGR</t>
  </si>
  <si>
    <t>Prog. Oceanogr.</t>
  </si>
  <si>
    <t>10.1016/j.pocean.2017.04.003</t>
  </si>
  <si>
    <t>EV6MV</t>
  </si>
  <si>
    <t>WOS:000401884400006</t>
  </si>
  <si>
    <t>Oliveira, D; Goñi, MFS; Naughton, F; Polanco-Martínez, JM; Jimenez-Espejo, FJ; Grimalt, JO; Martrat, B; Voelker, AHL; Trigo, R; Hodell, D; Abrantes, F; Desprat, S</t>
  </si>
  <si>
    <t>Oliveira, Dulce; Goni, Maria Fernanda Sanchez; Naughton, Filipa; Polanco-Martinez, J. M.; Jimenez-Espejo, Francisco J.; Grimalt, Joan O.; Martrat, Belen; Voelker, Antje H. L.; Trigo, Ricardo; Hodell, David; Abrantes, Fatima; Desprat, Stephanie</t>
  </si>
  <si>
    <t>Unexpected weak seasonal climate in the western Mediterranean region during MIS 31, a high-insolation forced interglacial</t>
  </si>
  <si>
    <t>Marine Isotope Stage (MIS) 31; Super interglacial; Early Pleistocene; Iberian margin; Mediterranean vegetation; Obliquity and precession forcing; Millennial-scale climate variability; Precession harmonics; Land-sea comparison; Pollen analysis</t>
  </si>
  <si>
    <t>ANTARCTIC ICE-SHEET; NORTH-ATLANTIC OSCILLATION; MILLENNIAL-SCALE CHANGES; IODP SITE U1385; EARLY PLEISTOCENE; LAKE ELGYGYTGYN; MIDPLEISTOCENE TRANSITION; EQUATORIAL INSOLATION; OCEANIC PROCESSES; IBERIAN BASIN</t>
  </si>
  <si>
    <t>Marine Isotope Stage 31 (MIS 31) is an important analogue for ongoing and projected global warming, yet key questions remain about the regional signature of its extreme orbital forcing and intra-interglacial variability. Based on a new direct land-sea comparison in SW Iberian margin IODP Site U1385 we examine the climatic variability between 1100 and 1050 ka including the super interglacial MIS 31, a period dominated by the 41-ky obliquity periodicity. Pollen and biomarker analyses at centennial-scale resolution provide new insights into the regional vegetation, precipitation regime and atmospheric and oceanic temperature variability on orbital and suborbital timescales. Our study reveals that atmospheric and SST warmth during MIS 31 was not exceptional in this region highly sensitive to precession. Unexpectedly, this warm stage stands out as a prolonged interval of a temperate and humid climate regime with reduced seasonality, despite the high insolation (precession minima values) forcing. We find that the dominant forcing on the long-term temperate forest development was obliquity, which may have induced a decrease in summer dryness and associated reduction in seasonal precipitation contrast. Moreover, this study provides the first evidence for persistent atmospheric millennial-scale variability during this interval with multiple forest decline events reflecting repeated cooling and drying episodes in SW Iberia. Our direct land-sea comparison shows that the expression of the suborbital cooling events on SW Iberian ecosystems is modulated by the predominance of high or low-latitude forcing depending on the glacial/interglacial baseline climate states. Severe dryness and air-sea cooling is detected under the larger ice volume during glacial MIS 32 and MIS 30. The extreme episodes, which in their climatic imprint are similar to the Heinrich events, are likely related to northern latitude ice-sheet instability and a disruption of the Atlantic Meridional Overturning Circulation (AMOC). In contrast, forest declines during MIS 31 are associated to neither SST cooling nor high-latitude freshwater forcing. Time-series analysis reveals a dominant cyclicity of about 6 ky in the temperate forest record, which points to a potential link with the fourth harmonic of precession and thus low-latitude insolation forcing. (C) 2017 Elsevier Ltd. All rights reserved.</t>
  </si>
  <si>
    <t>[Oliveira, Dulce; Goni, Maria Fernanda Sanchez; Polanco-Martinez, J. M.; Desprat, Stephanie] PSL Res Univ, EPHE, Lab Paleoclimatol &amp; Paleoenvironm Marins, F-33615 Pessac, France; [Oliveira, Dulce; Goni, Maria Fernanda Sanchez; Polanco-Martinez, J. M.; Desprat, Stephanie] Univ Bordeaux, EPOC, UMR 5805, F-33615 Pessac, France; [Oliveira, Dulce; Naughton, Filipa; Voelker, Antje H. L.; Abrantes, Fatima] IPMA, Div Geol &amp; Georecursos Marinhos, Ave Brasilia 6, P-1449006 Lisbon, Portugal; [Oliveira, Dulce; Naughton, Filipa; Voelker, Antje H. L.; Abrantes, Fatima] Univ Algarve, CCMAR, Ctr Ciencias Mar, Campus Gambelas, P-8005139 Faro, Portugal; [Polanco-Martinez, J. M.] Basque Ctr Climate Change BC3, Edificio Sede 1,1A,Parque Cient UPV EHU, Leioa 48940, Spain; [Jimenez-Espejo, Francisco J.] Japan Agcy Marine Earth Sci &amp; Technol JAMSTEC, Dept Biogeochem, 2-15 Natsushima, Yokosuka, Kanagawa 2370061, Japan; [Grimalt, Joan O.; Martrat, Belen] CSIC, Spanish Council Sci Res, Inst Environm Assessment &amp; Water Res, Dept Environm Chem,IDAEA, ES-08034 Barcelona, Spain; [Trigo, Ricardo] Univ Lisbon, Inst Dom Luiz, P-1749016 Lisbon, Portugal; [Hodell, David] Univ Cambridge, Dept Earth Sci, Godwin Lab Palaeoclimate Res, Cambridge, England</t>
  </si>
  <si>
    <t>Universite PSL; Ecole Pratique des Hautes Etudes (EPHE); Universite de Bordeaux; Centre National de la Recherche Scientifique (CNRS); CNRS - National Institute for Earth Sciences &amp; Astronomy (INSU); Instituto Portugues do Mar e da Atmosfera; Universidade do Algarve; Basque Centre for Climate Change (BC3); Japan Agency for Marine-Earth Science &amp; Technology (JAMSTEC); Consejo Superior de Investigaciones Cientificas (CSIC); CSIC - Centro de Investigacion y Desarrollo Pascual Vila (CID-CSIC); CSIC - Instituto de Diagnostico Ambiental y Estudios del Agua (IDAEA); Universidade de Lisboa; University of Cambridge</t>
  </si>
  <si>
    <t>Oliveira, D (corresponding author), PSL Res Univ, EPHE, Lab Paleoclimatol &amp; Paleoenvironm Marins, UMR EPOC 5805, F-33615 Pessac, France.</t>
  </si>
  <si>
    <t>dulce.oliveira@ipma.pt</t>
  </si>
  <si>
    <t>Jimenez-Espejo, Francisco J/F-4486-2016; Martrat, Belen/I-5952-2015; Polanco-Martínez, Josué M./JCO-3180-2023; Desprat, Stephanie/N-7637-2013; Trigo, Ricardo/Q-8391-2019; Polanco-Martínez, Josué M./D-4290-2014; Naughton, Filipa/AAA-1589-2019; Sanchez Goñi, Maria Fernanda/R-3699-2019; Voelker, Antje/C-5427-2012; Abrantes, Fatima/N-7253-2019; Jimenez-Espejo, Francisco J./AAR-2318-2020; Oliveira, Dulce/H-9855-2018; Grimalt, Joan/E-2073-2011</t>
  </si>
  <si>
    <t>Jimenez-Espejo, Francisco J/0000-0002-0335-8580; Martrat, Belen/0000-0001-9904-9178; Polanco-Martínez, Josué M./0000-0001-7164-0185; Desprat, Stephanie/0000-0003-4400-679X; Trigo, Ricardo/0000-0002-4183-9852; Polanco-Martínez, Josué M./0000-0001-7164-0185; Naughton, Filipa/0000-0002-3055-9396; Sanchez Goñi, Maria Fernanda/0000-0001-8238-7488; Voelker, Antje/0000-0001-6465-6023; Abrantes, Fatima/0000-0002-9110-0212; Hodell, David/0000-0001-8537-1588; Oliveira, Dulce/0000-0002-3016-532X; Grimalt, Joan/0000-0002-7391-5768</t>
  </si>
  <si>
    <t>WarmClim; LEFE-INSU IMAGO project; Portuguese Foundation for Science and Technology (FCT) through the project CLIMHOL [PTDC/AAC-CLI/100157/2008]; D. Oliveira's doctoral grant [SFRH/BD/9079/2012]; F. Naughton's postdoctoral grant [SFRH/BPD/108712/2015]; A. Voelker's IF contract; Basque Government post-doctoral fellowship [POS_2015_1_0006]; B. Martrat by a Ramon y Cajal contract [RYC-2013-14073]; Integrated Ocean Drilling Program (IODP); Natural Environment Research Council [NE/J017922/1, NE/K005804/1] Funding Source: researchfish; Fundação para a Ciência e a Tecnologia [SFRH/BPD/108712/2015, PTDC/AAC-CLI/100157/2008] Funding Source: FCT; NERC [NE/K005804/1, NE/J017922/1] Funding Source: UKRI</t>
  </si>
  <si>
    <t>WarmClim; LEFE-INSU IMAGO project; Portuguese Foundation for Science and Technology (FCT) through the project CLIMHOL; D. Oliveira's doctoral grant; F. Naughton's postdoctoral grant; A. Voelker's IF contract; Basque Government post-doctoral fellowship(Basque Government); B. Martrat by a Ramon y Cajal contract; Integrated Ocean Drilling Program (IODP); Natural Environment Research Council(UK Research &amp; Innovation (UKRI)Natural Environment Research Council (NERC)); Fundação para a Ciência e a Tecnologia(Fundacao para a Ciencia e a Tecnologia (FCT)); NERC(UK Research &amp; Innovation (UKRI)Natural Environment Research Council (NERC))</t>
  </si>
  <si>
    <t>Financial support was provided by WarmClim, a LEFE-INSU IMAGO project, and the Portuguese Foundation for Science and Technology (FCT) through the project CLIMHOL (PTDC/AAC-CLI/100157/2008), D. Oliveira's doctoral grant (SFRH/BD/9079/2012), F. Naughton's postdoctoral grant (SFRH/BPD/108712/2015) and A. Voelker's IF contract. JM. Polanco-Martinez was funded by a Basque Government post-doctoral fellowship (Ref. No. POS_2015_1_0006) and B. Martrat by a Ramon y Cajal contract (RYC-2013-14073). This research used samples provided by the Integrated Ocean Drilling Program (IODP), Expedition 339. We would like to thank the scientists and technicians of IODP Expedition 339 and the Bremen Core Repository, L Devaux for technical assistance and A. Rebotim for comments and editing. The editor, Jose Carrion, and an anonymous reviewer are acknowledged for their constructive and insightful comments.</t>
  </si>
  <si>
    <t>10.1016/j.quascirev.2017.02.013</t>
  </si>
  <si>
    <t>ER2SX</t>
  </si>
  <si>
    <t>WOS:000398645200001</t>
  </si>
  <si>
    <t>Zazovskaya, E; Mergelov, N; Shishkov, V; Dolgikh, A; Miamin, V; Cherkinsky, A; Goryachkin, S</t>
  </si>
  <si>
    <t>Zazovskaya, E.; Mergelov, N.; Shishkov, V.; Dolgikh, A.; Miamin, V.; Cherkinsky, A.; Goryachkin, S.</t>
  </si>
  <si>
    <t>RADIOCARBON AGE OF SOILS IN OASES OF EAST ANTARCTICA</t>
  </si>
  <si>
    <t>RADIOCARBON</t>
  </si>
  <si>
    <t>22nd International Radiocarbon Conference</t>
  </si>
  <si>
    <t>NOV 16-20, 2015</t>
  </si>
  <si>
    <t>Dakar, SENEGAL</t>
  </si>
  <si>
    <t>Antarctica; soils; soil-like systems; organic carbon; C-14 dating; extreme environment</t>
  </si>
  <si>
    <t>LARSEMANN HILLS; CARBON; TURNOVER; HUMUS</t>
  </si>
  <si>
    <t>This article discusses radiocarbon dating results for soils and soil-like systems in the East Antarctic oases, including Schirmacher, Thala Hills, and Larsemann Hills. The organic matter of endolithic and hypolithic systems, soils of wind shelters, and soils under moss-algae vegetation were dated along with micro-and macroprofiles. Organic matter pools formed under extreme climatic conditions and originated not from vascular plants but from cryptogamic organisms, and photoautotrophic microbes have been identified within the oases of the East Antarctica. The organic matter of the most of East Antarctic soils is young and cannot reach a steady state because of the high dynamism in the soil cover due to active erosion. The oldest soil organic matter in East Antarctica was found in the soils formed in wind shelters and endolithic soil-like systems under the protection of consolidated rock surfaces. According to our data, the maximal duration for the formation of organic matter profiles within the oases of East Antarctica is similar to 500 yr, which is similar to the age determined for High Arctic soils in Eurasia. The absence of older soils, comparable with the Holocene deglaciation, can be due to the extreme conditions resulting in occasional catastrophic events that destroyed the soil organic horizons.</t>
  </si>
  <si>
    <t>[Zazovskaya, E.; Shishkov, V.] Russian Acad Sci, Lab Radiocarbon Dating &amp; Elect Microscopy, Dept Soil Geog &amp; Evolut, Inst Geog, Moscow, Russia; [Mergelov, N.; Dolgikh, A.; Goryachkin, S.] Russian Acad Sci, Inst Geog, Dept Soil Geog &amp; Evolut, Moscow, Russia; [Miamin, V.] Natl Acad Sci Belarus, Dept Biol, Sci &amp; Pract Ctr Bioresources, Minsk, BELARUS; [Cherkinsky, A.] Univ Georgia, Ctr Appl Isotope Studies, Athens, GA 30602 USA</t>
  </si>
  <si>
    <t>Russian Academy of Sciences; Institute of Geography, Russian Academy of Sciences; Institute of Geography, Russian Academy of Sciences; Russian Academy of Sciences; National Academy of Sciences of Belarus (NASB); Scientific &amp; Practical Center for Bioresources of the National Academy of Sciences of Belarus; University System of Georgia; University of Georgia</t>
  </si>
  <si>
    <t>Zazovskaya, E (corresponding author), Russian Acad Sci, Lab Radiocarbon Dating &amp; Elect Microscopy, Dept Soil Geog &amp; Evolut, Inst Geog, Moscow, Russia.</t>
  </si>
  <si>
    <t>zaszovsk@gmail.com</t>
  </si>
  <si>
    <t>Zazovskaya, Elya/J-4800-2018; Dolgikh, Andrey/D-2575-2015; Добрянский, Александр/AAG-6075-2021; Zazovskaya, Elya/C-3715-2016; Mergelov, Nikita S/D-2585-2015; Shishkov, Vasily A./J-2446-2018</t>
  </si>
  <si>
    <t>Zazovskaya, Elya/0000-0002-1202-657X; Dolgikh, Andrey/0000-0002-9316-9440; Zazovskaya, Elya/0000-0002-1202-657X;</t>
  </si>
  <si>
    <t>Russian Science Foundation [14-27-00133]; Russian Foundation for Basic Research [16-04-01776]; Russian Science Foundation [14-27-00133] Funding Source: Russian Science Foundation</t>
  </si>
  <si>
    <t>Russian Science Foundation(Russian Science Foundation (RSF)); Russian Foundation for Basic Research(Russian Foundation for Basic Research (RFBR)Spanish Government); Russian Science Foundation(Russian Science Foundation (RSF))</t>
  </si>
  <si>
    <t>This work has been supported by the Russian Science Foundation, project No. 14-27-00133 in part for the acquisition of the Automated Graphitization System (AGE 3) for the Institute of Geography RAS and processing samples from Schirmacher Oasis, and by the Russian Foundation for Basic Research, project No. 16-04-01776 for processing samples from Thala and Larsemann Hills. The authors are deeply grateful to the Ionplus staff, especially Dr Simon Fahrni, for their assistance in installation of the AGE 3, and the further training and consultations. The authors are very thankful to the reviewers and to Dr Christine Hatte, Associate Editor, for their highly constructive comments and suggestions. They caused us to rethink and reinterpret the data gained, strengthening the paper.</t>
  </si>
  <si>
    <t>UNIV ARIZONA DEPT GEOSCIENCES</t>
  </si>
  <si>
    <t>TUCSON</t>
  </si>
  <si>
    <t>RADIOCARBON 4717 E FORT LOWELL RD, TUCSON, AZ 85712 USA</t>
  </si>
  <si>
    <t>0033-8222</t>
  </si>
  <si>
    <t>1945-5755</t>
  </si>
  <si>
    <t>Radiocarbon</t>
  </si>
  <si>
    <t>10.1017/RDC.2016.75</t>
  </si>
  <si>
    <t>ET9AY</t>
  </si>
  <si>
    <t>WOS:000400598700021</t>
  </si>
  <si>
    <t>Han, Y; Huh, Y; Hur, SD; Hong, S; Chung, JW; Motoyama, H</t>
  </si>
  <si>
    <t>Han, Yeongcheol; Huh, Youngsook; Hur, Soon Do; Hong, Sungmin; Chung, Ji Woong; Motoyama, Hideaki</t>
  </si>
  <si>
    <t>Net deposition of mercury to the Antarctic Plateau enhanced by sea salt</t>
  </si>
  <si>
    <t>Photochemistry; Global Hg cycle; Antarctic snow; Sequestration; Oxidation; Reduction</t>
  </si>
  <si>
    <t>GASEOUS ELEMENTAL MERCURY; DOME-FUJI; ARCTIC SNOW; SURFACE SNOW; ICE; ISOTOPES; INLAND; REGION; SCALE; COAST</t>
  </si>
  <si>
    <t>Photochemically driven mercury (Hg) exchange between the atmosphere and the Antarctic Plateau snowpack has been observed. An imbalance in bidirectional flux causes a fraction of Hg to remain in the snowpack perennially, but the factors that control the amount of Hg sequestered on the Antarctic Plateau are not fully understood. We analyzed sub-annual variations in total Hg (Hg-T) deposition to Dome Fuji over the period of 1986-2010 using cold vapor inductively coupled plasma mass spectrometry and compared concentrations with those of sea salt components (Na+ and CI-). HgT ranged from 0.12 to 5.19 pg(-1) (n = 78) and was relatively high when the Na+ concentrations were high in the same or underlying snow layers. A significant correlation (r = 0.7) was found between the annual deposition fluxes of Hgr and Na+. Despite different origins and behavior of Hg and sea salt, the near-synchronous increases in the concentrations and correlation between the fluxes suggest that sea salt can intervene in the air-snow Hg exchange and promote the net deposition of Hg in the Antarctic Plateau. (C) 2017 Elsevier B.V. All rights reserved.</t>
  </si>
  <si>
    <t>[Han, Yeongcheol; Hur, Soon Do; Chung, Ji Woong] Korea Polar Res Inst, 26 Songdomirae Ro, Incheon 21990, South Korea; [Han, Yeongcheol; Huh, Youngsook] Seoul Natl Univ, Sch Earth &amp; Environm Sci, 1 Gwanak Ro, Seoul 08826, South Korea; [Hong, Sungmin] Inha Univ, Dept Ocean Sci, 100 Inha Ro, Incheon 22212, South Korea; [Motoyama, Hideaki] Natl Inst Polar Res, 10-3 Midori Cho, Tachikawa, Tokyo 1908518, Japan</t>
  </si>
  <si>
    <t>Korea Polar Research Institute (KOPRI); Seoul National University (SNU); Inha University; Research Organization of Information &amp; Systems (ROIS); National Institute of Polar Research (NIPR) - Japan</t>
  </si>
  <si>
    <t>Han, Y (corresponding author), Korea Polar Res Inst, 26 Songdomirae Ro, Incheon 21990, South Korea.</t>
  </si>
  <si>
    <t>yhan@kopri.re.kr</t>
  </si>
  <si>
    <t>Motoyama, Hideaki/E-6103-2013</t>
  </si>
  <si>
    <t>Motoyama, Hideaki/0000-0003-2533-320X</t>
  </si>
  <si>
    <t>NRF Mid-Career Research Program [2011-0015174]; Basic Science Research Program [NRF-2014R1A1A3049836]; MSIP; Japan Society for the Promotion of Science (JSPS) [20241007]; Korea Polar Research Institute (KOPRI) [PE16010, PE17040]</t>
  </si>
  <si>
    <t>NRF Mid-Career Research Program; Basic Science Research Program; MSIP; Japan Society for the Promotion of Science (JSPS)(Ministry of Education, Culture, Sports, Science and Technology, Japan (MEXT)Japan Society for the Promotion of Science); Korea Polar Research Institute (KOPRI)</t>
  </si>
  <si>
    <t>We thank all field personnel for sampling during the 51st Japanese Antarctic Research Expedition. This research was supported by the NRF Mid-Career Research Program (No. 2011-0015174) and the Basic Science Research Program (NRF-2014R1A1A3049836) funded by MSIP, research grants (PE16010 and PE17040) from the Korea Polar Research Institute (KOPRI), and the Japan Society for the Promotion of Science (JSPS) (research grant (A) 20241007).</t>
  </si>
  <si>
    <t>10.1016/j.scitotenv.2017.01.008</t>
  </si>
  <si>
    <t>WOS:000394556400009</t>
  </si>
  <si>
    <t>Mangano, MC; Sarà, G; Corsolini, S</t>
  </si>
  <si>
    <t>Mangano, Maria Cristina; Sara, Gianluca; Corsolini, Simonetta</t>
  </si>
  <si>
    <t>Monitoring of persistent organic pollutants in the polar regions: knowledge gaps &amp; gluts through evidence mapping</t>
  </si>
  <si>
    <t>Systematic map; Antarctica; Arctic; Persistent organic pollutants</t>
  </si>
  <si>
    <t>POLYBROMINATED DIPHENYL ETHERS; MARINE FOOD-WEB; ORGANOCHLORINE CONTAMINANTS; POLYCHLORINATED BIPHENYL; CHLORINATED PESTICIDES; PCB ACCUMULATION; TROPHIC TRANSFER; ANTARCTIC KRILL; ARCTIC SEAWATER; ATLANTIC-OCEAN</t>
  </si>
  <si>
    <t>Persistent organic pollutants (POPs) are widespread compounds that accumulating in polar regions canalise through trophic webs. Although several dozens of studies have been carried out in the last decades, the information is generally scattered across a large number of literature sources. This does not allow an efficient synthesis and constraints our understanding on how address future monitoring plans and environmental conservation strategies on the Polar Regions with respect to POPs. Thus, here, we present the outcome of a systematic map (SM) to scope, screen and chart evidences from literature dealing with POPs in Polar regions. The SMs strive to produce rigorous guidelines and have recently been proposed as useful and effective tools to summarise growing bodies of research that seek to reduce bias and increase reliability, particularly in the case of high priority and controversial topics. Our SM was based on 125 polar studies, focussing on the most studied target species among those listed in the International Union for Conservation of Nature's Red List (IUCN Red List). To facilitate analysis of evidence, the studies were classified into Accumulation Monitoring (accounting for POP monitoring through sub-organismal, functional and population levels) and Food Web Monitoring approaches (accounting for contaminants monitoring through food webs). Our SM allowed us to assess and visualise, a set of both knowledge gaps and gluts and lastly a list was provided to address future research on POPs in Polar Regions. (C) 2016 Elsevier Ltd. All rights reserved.</t>
  </si>
  <si>
    <t>[Mangano, Maria Cristina; Sara, Gianluca] Univ Palermo, CoNISMa, Dipartimento Sci Terra &amp; Mare, Viale Sci Ed 16, I-90128 Palermo, Italy; [Corsolini, Simonetta] Univ Siena, Dept Phys Earth &amp; Environm Sci, Via PA Mattioli 4, I-53100 Siena, Italy</t>
  </si>
  <si>
    <t>University of Palermo; CoNISMa; University of Siena</t>
  </si>
  <si>
    <t>Mangano, MC (corresponding author), Univ Palermo, CoNISMa, Dipartimento Sci Terra &amp; Mare, Viale Sci Ed 16, I-90128 Palermo, Italy.</t>
  </si>
  <si>
    <t>mariacristina.mangano01@unipa.it</t>
  </si>
  <si>
    <t>Corsolini, Simonetta/B-9460-2012; Mangano, M Cristina/J-5850-2019</t>
  </si>
  <si>
    <t>Corsolini, Simonetta/0000-0002-9772-2362; Mangano, M Cristina/0000-0001-6980-9834</t>
  </si>
  <si>
    <t>The Italian National Antarctic Research Programme (PNRA) funded this research (PdR PNRA 2009/A1.04).</t>
  </si>
  <si>
    <t>10.1016/j.chemosphere.2016.12.124</t>
  </si>
  <si>
    <t>WOS:000394065200005</t>
  </si>
  <si>
    <t>Santos, TP; Lessa, DO; Venancio, IM; Chiessi, CM; Mulitza, S; Kuhnert, H; Govin, A; Machado, T; Costa, KB; Toledo, F; Dias, BB; Albuquerque, ALS</t>
  </si>
  <si>
    <t>Santos, Thiago P.; Lessa, Douglas O.; Venancio, Igor M.; Chiessi, Cristiano M.; Mulitza, Stefan; Kuhnert, Henning; Govin, Aline; Machado, Thiago; Costa, Karen B.; Toledo, Felipe; Dias, Bruna B.; Albuquerque, Ana Luiza S.</t>
  </si>
  <si>
    <t>Prolonged warming of the Brazil Current precedes deglaciations</t>
  </si>
  <si>
    <t>South Atlantic early warming; South Atlantic glacial-interglacial transition; South Atlantic subtropical gyre; low-latitude heat and salt accumulation; interhemispheric heat transfer</t>
  </si>
  <si>
    <t>SEA-SURFACE TEMPERATURES; SOUTH-ATLANTIC; CHRONOLOGY AICC2012; NORTH-ATLANTIC; ANTARCTIC ICE; DEEP ATLANTIC; LAST; CIRCULATION; CARBON; VARIABILITY</t>
  </si>
  <si>
    <t>Paleoceanographic reconstructions from the Brazil Current are scarce and lack the required temporal resolution to appropriately represent its variability during key periods of the last glacial-interglacial cycles. Here, we present the first high-temporal resolution multiproxy reconstruction of the Brazil Current at 24 degrees S covering the last 185ka. During the last and penultimate glacial periods, our Mg/Ca-derived sea surface temperature (SST) record shows a strong cooling at ca. 47 and ca. 156ka, respectively, that is followed by a warming trend from late-Marine Isotope Stage (MIS) 3 to MIS1 and from late-MIS6 to MIS5e, respectively. Importantly, the Brazil Current warmed uninterruptedly towards Termination I (II) after the low SST at ca. 47 and ca. 156ka, with no SST minima during the Last Glacial Maximum or penultimate glacial maximum. The reason for the strong cooling and the warming trend during late-MIS 3 and late-MIS 6 could reside in the favorable obliquity configuration. However, this mechanism is not sufficient to sustain the warming observed for the rest of the last and penultimate glacial periods. We propose that the change in the Atlantic meridional overturning circulation (AMOC), as described in the literature, from a warm to a cold mode for MIS2 and MIS6 is responsible for the accumulation of warm waters in the subtropical western South Atlantic, preventing SST minima during the last and penultimate glacial maxima in the region. Change in benthic delta C-13 corroborates that a fundamental modification in the AMOC mode might have triggered the heat accumulation. Our data also show a sudden increase in SST and surface salinity during the last glacial descent (MIS 4), indicating that the western portion of the subtropical gyres may have acted as a heat and salt reservoir, while higher latitude climates transited to a glacial background. Our findings imply that the AMOC cold mode induces heat storage in the subtropical western South Atlantic and, because of that, the last two regional SST minima occurred out-of-phase with the glacial maxima of higher latitudes. (C) 2017 Elsevier B. V. All rights reserved.</t>
  </si>
  <si>
    <t>[Santos, Thiago P.; Lessa, Douglas O.; Dias, Bruna B.; Albuquerque, Ana Luiza S.] Univ Fed Fluminense, Dept Geoquim, Niteroi, RJ, Brazil; [Venancio, Igor M.; Mulitza, Stefan; Kuhnert, Henning] Univ Bremen, Ctr Marine Environm Sci, MARUM, D-28359 Bremen, Germany; [Chiessi, Cristiano M.] Univ Sao Paulo, Escola Artes Ciencias &amp; Humanidades, Sao Paulo, Brazil; [Govin, Aline] Univ Paris Saclay, CEA CNRS UVSQ, Inst Pierre Simon Laplace, Lab Sci Climat &amp; Environn, Gif Sur Yvette, France; [Costa, Karen B.; Toledo, Felipe] Univ Sao Paulo, Inst Oceanografico, Lab Paleoceanografia Atlantico Sul, BR-05508 Sao Paulo, Brazil</t>
  </si>
  <si>
    <t>Universidade Federal Fluminense; University of Bremen; Universidade de Sao Paulo; Universite Paris Cite; CEA; Centre National de la Recherche Scientifique (CNRS); Universite Paris Saclay; Universidade de Sao Paulo</t>
  </si>
  <si>
    <t>Albuquerque, ALS (corresponding author), Univ Fed Fluminense, Dept Geoquim, Niteroi, RJ, Brazil.</t>
  </si>
  <si>
    <t>ana_albuquerque@id.uff.br</t>
  </si>
  <si>
    <t>Costa, Karen B/N-5713-2015; Venancio, Igor/K-5890-2019; Chiessi, Cristiano Mazur/E-1916-2012; Venancio, Igor M/I-5893-2014; Chiessi, Cristiano Mazur/JAZ-0806-2023; Toledo, Felipe A L/E-9025-2012; Dias, Bruna Borba/AAV-4379-2020; Santos, Thiago P./AAN-6506-2021; Albuquerque, Ana Luiza/AAC-1536-2019; Venancio, Igor/C-9059-2013; Govin, Aline/E-6354-2013; Mulitza, Stefan/G-5357-2011</t>
  </si>
  <si>
    <t>Chiessi, Cristiano Mazur/0000-0003-3318-8022; Venancio, Igor M/0000-0003-3118-4247; Chiessi, Cristiano Mazur/0000-0003-3318-8022; Toledo, Felipe A L/0000-0001-6959-2065; Dias, Bruna Borba/0000-0001-5518-2807; Albuquerque, Ana Luiza/0000-0003-1267-6190; Venancio, Igor/0000-0003-4133-4026; Govin, Aline/0000-0001-8512-5571; Kuhnert, Henning/0000-0001-5242-4495; Mulitza, Stefan/0000-0002-3842-1447; Santos, Thiago/0000-0002-9273-3329</t>
  </si>
  <si>
    <t>CAPES/PDSE [99999.007924/2014-03]; CNPq [306385/2013-9, 99999.002675/2015-03]; FAPESP [2012/17517-3]; CAPES [564/2015]; CAPES/Paleoceano project [23038.001417/2914-71]</t>
  </si>
  <si>
    <t>CAPES/PDSE(Coordenacao de Aperfeicoamento de Pessoal de Nivel Superior (CAPES)); CNPq(Conselho Nacional de Desenvolvimento Cientifico e Tecnologico (CNPQ)); FAPESP(Fundacao de Amparo a Pesquisa do Estado de Sao Paulo (FAPESP)); CAPES(Coordenacao de Aperfeicoamento de Pessoal de Nivel Superior (CAPES)); CAPES/Paleoceano project</t>
  </si>
  <si>
    <t>Petrobras provided the sediment core employed in this research. We thank S. Pape and M. Kolling for doing Mg/Ca analysis. S. Barker, C. Charles and R. Kowsman (CENPES/Petrobras) yielded important contributions during manuscript preparation. TPS acknowledges the financial support from CAPES/PDSE (grant 99999.007924/2014-03). ALA is a CNPq senior researcher (grant 306385/2013-9) and thanks them for financial support (grant 99999.002675/2015-03). CMC acknowledges the financial support from FAPESP (grant 2012/17517-3) and CAPES (grant 564/2015). We also thank S. Di Chiara for help during sample preparation. We thank two anonymous reviewers and the Editor for their constructive comments. This study was supported by CAPES/Paleoceano project (23038.001417/2914-71). The data reported in this paper will be archived in Pangaea (www.pangaea.de).</t>
  </si>
  <si>
    <t>10.1016/j.epsl.2017.01.014</t>
  </si>
  <si>
    <t>WOS:000395919200001</t>
  </si>
  <si>
    <t>Wang, ZC; Becker, H</t>
  </si>
  <si>
    <t>Wang, Zaicong; Becker, Harry</t>
  </si>
  <si>
    <t>Chalcophile elements in Martian meteorites indicate low sulfur content in the Martian interior and a volatile element-depleted late veneer</t>
  </si>
  <si>
    <t>sulfur; chalcophile elements; shergottite; Martian mantle; late veneer</t>
  </si>
  <si>
    <t>HIGHLY SIDEROPHILE ELEMENTS; OXYGEN FUGACITY; REDOX CONDITIONS; TRACE-ELEMENTS; SULFIDE LIQUID; HIGH-PRESSURES; EARTHS MANTLE; SOLAR-SYSTEM; CONSTRAINTS; SILICATE</t>
  </si>
  <si>
    <t>It is generally believed that the Martian mantle and core are rich in sulfur and that shergottites originated from sulfide-saturated magma. However, recent work suggests that the high FeO contents would require very high S concentrations in shergottite parent magmas at sulfide saturation. Here we combine new and published data on chalcophile elements in shergottites, nakhlites and ALH84001 to constrain the sulfide saturation state of the parent magmas and the chalcophile element concentrations in their mantle sources. Regardless of the MgO content and the long-term depletion history of incompatible lithophile elements as indicated by initial epsilon(143) Nd, different groups of shergottites display limited variations in ratios of Pt, Pd, Re, Cu, S, Se and Te. The emplacement of most shergottites within the crust and limited variations of ratios of chalcophile elements with substantial differences in volatility during eruption (e.g., Cu/S, Cu/Se and Pt/Re) indicate little degassing losses of S, Se, Te and Re from shergottites. Limited variations in ratios of elements with very different sulfide-silicate melt partition coefficients and negative correlations of chalcophile elements with MgO require a sulfide-undersaturated evolution of the parent magmas from mantle source to emplacement in the crust, consistent with the FeO-based argument. Sulfide petrography and the komatiite-like fractionation of platinum group elements (PGE) in shergottites also support this conclusion. The absence of accumulated sulfides in the ancient Martian cumulate ALH84001 results in very low contents of PGE, Re, Cu, Se and Te in this meteorite, hinting that sulfide-undersaturated magmas may have occurred throughout the Martian geological history. The negative correlation of Cu and MgO contents in shergottites suggests approximately 2 +/- 0.4 (1s) mu g/gCu in the Martian mantle. The ratios of Cu, S, Se and Te indicate 360 +/- 120 mu g/g(1s) S, 100 +/- 27 ng/g(1s) Se and 0.50 +/- 0.25 ng/g(1s) Te in the Martian mantle. At such low S concentrations, all S in Martian mantle sources may dissolve in basaltic melts that form at &gt;5 % partial melting. Assuming equilibrium metal-silicate partitioning, and provided that the compositional model of the Martian mantle based on SNC meteorites is correct, Martian mantle inventories of Cu, S and Se were mostly established by core formation and the Martian core should contain &lt;5-10wt.% S only (depending on the choice of metal-silicate partition coefficients). The low S content in the Martian interior is consistent with the low Zn content in the Martian mantle, which indicates about 5wt.% S in the core. In contrast, the highly siderophile PGE, Re and Te were added to the mantle by late accreted material after the Martian core formed. The near chondritic PGE ratios and the very low ratio of volatile Te to refractory PGE reflect a strongly volatile element-depleted late veneer and imply that the delivery of Martian water, presumably from carbonaceous chondrite like materials, must have occurred before accretion of the late veneer, likely within 2-3 million years after formation of the solar system. (C) 2017 Elsevier B.V. All rights reserved.</t>
  </si>
  <si>
    <t>[Wang, Zaicong; Becker, Harry] Free Univ Berlin, Inst Geolog Wissensch, Malteserstrasse 74-100, D-12249 Berlin, Germany; [Wang, Zaicong] China Univ Geo Sci, Sch Earth Sci, State Key Lab Geol Proc &amp; Mineral Resources, 388 Lumo Rd, Wuhan 430074, Peoples R China</t>
  </si>
  <si>
    <t>Free University of Berlin</t>
  </si>
  <si>
    <t>Wang, ZC (corresponding author), China Univ Geo Sci, Sch Earth Sci, State Key Lab Geol Proc &amp; Mineral Resources, 388 Lumo Rd, Wuhan 430074, Peoples R China.</t>
  </si>
  <si>
    <t>wzc231@163.com</t>
  </si>
  <si>
    <t>Wang, Zaicong/D-3434-2014</t>
  </si>
  <si>
    <t>Wang, Zaicong/0000-0002-3584-1673</t>
  </si>
  <si>
    <t>DFG [Be1820/12-1, SFB-TRR 170]</t>
  </si>
  <si>
    <t>DFG(German Research Foundation (DFG))</t>
  </si>
  <si>
    <t>Special thanks to the providers of Martian meteorites (Meteorite Working Group, ANSMET and the Smithsonian Institution, USA; Antarctic Meteorite Research Center, NIPR, Japan; C. Smith, Natural History Museum, UK; J. Zipfel, Senckenberg Institute, Frankfurt am Main, Germany). We thank M. Feth and P. Gleissner for technical support and several anonymous reviewers for constructive and critical comments on the manuscript. This work was supported by DFG funding (Be1820/12-1 and SFB-TRR 170 Subproject B1). This is TRR 170 Publication No. 3.</t>
  </si>
  <si>
    <t>10.1016/j.epsl.2017.01.023</t>
  </si>
  <si>
    <t>WOS:000395919200006</t>
  </si>
  <si>
    <t>De Vleeschouwer, D; Vahlenkamp, M; Crucifix, M; Pälike, H</t>
  </si>
  <si>
    <t>De Vleeschouwer, David; Vahlenkamp, Maximilian; Crucifix, Michel; Palike, Heiko</t>
  </si>
  <si>
    <t>Alternating Southern and Northern Hemisphere climate response to astronomical forcing during the past 35 m.y.</t>
  </si>
  <si>
    <t>LATE MIOCENE; LATE OLIGOCENE; CARBON-CYCLE; MIDDLE; ICE; CIRCULATION; ANTARCTICA; TRANSITION; RECORDS; TRENDS</t>
  </si>
  <si>
    <t>Earth's climate has undergone different intervals of gradual change as well as abrupt shifts between climate states. Here we aim to characterize the corresponding changes in climate response to astronomical forcing in the icehouse portion of the Cenozoic, from the latest Eocene to the present. As a tool, we use a 35-m.y.-long delta O-18(benthic) record compiled from different high-resolution benthic isotope records spliced together (what we refer to as a megasplice). We analyze the climate response to astronomical forcing during four 800-k.y.-long time windows. During the mid-Miocene Climatic Optimum (ca. 15.5 Ma), global climate variability was mainly dependent on Southern Hemisphere summer insolation, amplified by a dynamic Antarctic ice sheet; 2.5 m.y. later, relatively warm global climate states occurred during maxima in both Southern Hemisphere and Northern Hemisphere summer insolation. At that point, the Antarctic ice sheet grew too big to pulse on the beat of precession, and the Southern Hemisphere lost its overwhelming influence on the global climate state. Likewise, we juxtapose response regimes of the Miocene (ca. 19 Ma) and Oligocene (ca. 25.5 Ma) warming periods. Despite the similarity in delta O-18(benthic) values and variability, we find different responses to precession forcing. While Miocene warmth occurs during summer insolation maxima in both hemispheres, Oligocene global warmth is consistently triggered when Earth reaches perihelion in the Northern Hemisphere summer. This pattern is in accordance with previously published paleoclimate modeling results, and suggests an amplifying role for Northern Hemisphere sea ice.</t>
  </si>
  <si>
    <t>[De Vleeschouwer, David; Vahlenkamp, Maximilian; Palike, Heiko] Univ Bremen, MARUM Ctr Marine Environm Sci, Leobener Str, D-28359 Bremen, Germany; [Crucifix, Michel] Catholic Univ Louvain, Earth &amp; Life Inst, 1 Pl Univ, B-1348 Louvain La Neuve, Belgium; [Crucifix, Michel] Belgian Natl Fund Sci Res, 5 Rue Egmont, B-1000 Brussels, Belgium</t>
  </si>
  <si>
    <t>University of Bremen; Universite Catholique Louvain; Fonds de la Recherche Scientifique - FNRS</t>
  </si>
  <si>
    <t>De Vleeschouwer, D (corresponding author), Univ Bremen, MARUM Ctr Marine Environm Sci, Leobener Str, D-28359 Bremen, Germany.</t>
  </si>
  <si>
    <t>ddevleeschouwer@marum.de</t>
  </si>
  <si>
    <t>Pälike, Heiko/A-6560-2008; De Vleeschouwer, David/ABA-6115-2020</t>
  </si>
  <si>
    <t>Pälike, Heiko/0000-0003-3386-0923; De Vleeschouwer, David/0000-0002-3323-807X</t>
  </si>
  <si>
    <t>European Research Council Consolidator Grant EarthSequencing [617462]</t>
  </si>
  <si>
    <t>European Research Council Consolidator Grant EarthSequencing(European Research Council (ERC))</t>
  </si>
  <si>
    <t>This work was funded by European Research Council Consolidator Grant EarthSequencing (grant agreement 617462).</t>
  </si>
  <si>
    <t>10.1130/G38663.1</t>
  </si>
  <si>
    <t>EN6PK</t>
  </si>
  <si>
    <t>WOS:000396125700024</t>
  </si>
  <si>
    <t>Li, L; Wu, JH; Zhang, L; Chen, X; Wu, Y; Liu, JH; Geng, XQ; Wang, ZW; Wang, SY</t>
  </si>
  <si>
    <t>Li, Ling; Wu, Jin-Hong; Zhang, Li; Chen, Xu; Wu, Yan; Liu, Jian-hua; Geng, Xue-qing; Wang, Zheng-Wu; Wang, Shao-Yun</t>
  </si>
  <si>
    <t>Investigation of the physiochemical properties, cryoprotective activity and possible action mechanisms of sericin peptides derived from membrane separation</t>
  </si>
  <si>
    <t>LWT-FOOD SCIENCE AND TECHNOLOGY</t>
  </si>
  <si>
    <t>Sericin peptides; Physiochemical property; Cryoprotective activity; Frozen storage; Mechanism</t>
  </si>
  <si>
    <t>ICE RECRYSTALLIZATION INHIBITION; POINT-DEPRESSING GLYCOPROTEINS; SILK PROTEIN SERICIN; ANTIFREEZE PROTEINS; THERMAL HYSTERESIS; AQUEOUS-SOLUTIONS; ANTARCTIC FISH; STORAGE</t>
  </si>
  <si>
    <t>In order to exploit their industrial applications, sericin peptides (3K-SP) were obtained by membrane separation and their physiochemical properties and cryoprotective function were investigated. Results showed that 3K-SP were mostly distributed less than 3000 Da, and rich in the amino acids Ser, Asp, Gly, Thr and Glu, which have been associated with the cryoprotective activity of ice-structuring proteins. Addition of 3K-SP to a frozen solution led to the reductions in melting temperature and melting time compared to control solution. In addition, 3K-SP inhibited ice recrystallization, since it could maintain small ice crystal sizes within a frozen solution. Furthermore, 3K-SP demonstrated high cryogenic protection activity of Lactobacillus delbrueckii Subsp. Bulgaricus during freezing, and provided optimal protection of cells at conditions in which its concentration was 1.0 mg/mL and the pH of the solution was 7.0. In these conditions, the percentage of surviving cells was as high as 84.78 +/- 3.07%. Flow cytometric and scanning electron microscopy analyses showed that treatment with 3K-SP increased the percentage of viable cells from 52.9% to 80.1%, and suggest that 3K-SP may mediate its protective effects through interaction with cell membranes, whereby it surrounds cells in a glassy matrix that helps maintain their membrane integrity. (C) 2016 Elsevier Ltd. All rights reserved.</t>
  </si>
  <si>
    <t>[Li, Ling; Chen, Xu; Wang, Shao-Yun] Fuzhou Univ, Coll Biol Sci &amp; Technol, Inst Food &amp; Marine Bioresources, Fuzhou 350108, Peoples R China; [Wu, Jin-Hong; Zhang, Li; Wu, Yan; Liu, Jian-hua; Geng, Xue-qing; Wang, Zheng-Wu] Shanghai Jiao Tong Univ, Sch Agr &amp; Biol, Dept Food Sci &amp; Engn, Shanghai 200240, Peoples R China</t>
  </si>
  <si>
    <t>Fuzhou University; Shanghai Jiao Tong University</t>
  </si>
  <si>
    <t>Wang, SY (corresponding author), Fuzhou Univ, Coll Biol Sci &amp; Technol, Inst Food &amp; Marine Bioresources, Fuzhou 350108, Peoples R China.;Wu, JH (corresponding author), Shanghai Jiao Tong Univ, Sch Agr &amp; Biol, Dept Food Sci &amp; Engn, Shanghai 200240, Peoples R China.</t>
  </si>
  <si>
    <t>wujinhong@sjtu.edu.cn; shywang@fzu.edu.cn</t>
  </si>
  <si>
    <t>Wang, Shouchuang/HLW-0824-2023; 陈, 旭/AAZ-6167-2020; Liu, Jianhua/I-6355-2012</t>
  </si>
  <si>
    <t>Wang, Shouchuang/0000-0002-5568-816X; 陈, 旭/0000-0002-6689-1251;</t>
  </si>
  <si>
    <t>Natural Science Foundation of China [31471623, 31401703, 31571763]; National Key Research and Development Plan [2016YFD0400200]</t>
  </si>
  <si>
    <t>Natural Science Foundation of China(National Natural Science Foundation of China (NSFC)); National Key Research and Development Plan</t>
  </si>
  <si>
    <t>This work was supported by the Natural Science Foundation of China (No. 31471623, 31401703 and 31571763), theNational Key Research and Development Plan (No. 2016YFD0400200). The authors are grateful to the Instrumental Analysis Center of Shanghai Jiao Tong University for the equipment support.</t>
  </si>
  <si>
    <t>0023-6438</t>
  </si>
  <si>
    <t>1096-1127</t>
  </si>
  <si>
    <t>LWT-FOOD SCI TECHNOL</t>
  </si>
  <si>
    <t>LWT-Food Sci. Technol.</t>
  </si>
  <si>
    <t>10.1016/j.lwt.2016.12.004</t>
  </si>
  <si>
    <t>EI8PG</t>
  </si>
  <si>
    <t>WOS:000392769200069</t>
  </si>
  <si>
    <t>Xavier, JC; Trathan, PN; Ceia, FR; Tarling, GA; Adlard, S; Fox, D; Edwards, EWJ; Vieira, RP; Medeiros, R; De Broyer, C; Cherel, Y</t>
  </si>
  <si>
    <t>Xavier, Jose C.; Trathan, Philip N.; Ceia, Filipe R.; Tarling, Geraint A.; Adlard, Stacey; Fox, Derren; Edwards, Ewan W. J.; Vieira, Rui P.; Medeiros, Renata; De Broyer, Claude; Cherel, Yves</t>
  </si>
  <si>
    <t>Sexual and individual foraging segregation in Gentoo penguins Pygoscelis papua from the Southern Ocean during an abnormal winter</t>
  </si>
  <si>
    <t>STABLE-ISOTOPES; CLIMATE-CHANGE; EUDYPTES-CHRYSOLOPHUS; MACARONI PENGUINS; SCOTIA SEA; PROCELLARIA-AEQUINOCTIALIS; APTENODYTES-PATAGONICUS; INTERANNUAL VARIATION; ROCKHOPPER PENGUINS; DIOMEDEA-EXULANS</t>
  </si>
  <si>
    <t>Knowledge about sexual segregation and gender-specific, or indeed individual specialization, in marine organisms has improved considerably in the past decade. In this context, we tested the Intersexual Competition Hypothesis for penguins by investigating the feeding ecology of Gentoo penguins during their austral winter non-breeding season. We considered this during unusual environmental conditions (i.e. the year 2009 had observations of high sea surface and air temperatures) in comparison with the long term average at Bird Island, South Georgia. Through conventional (i.e. stomach contents) and stable isotopic values from red blood cells, plasma and feathers of both male and female Gentoo penguins, we showed that there were significant differences between sexes, with males feeding mainly on fish (54% by mass) followed by crustaceans (38%) whereas females fed mainly on crustaceans (89% by mass) followed by fish (4%). Themisto gaudichaudii was the most important crustacean prey for males (64% by mass; 82% by number; 53% by frequency of occurrence) and females (63% by mass; 77% by number; 89% by frequency of occurrence), contrasting with all previous studies that found Antarctic krill Euphausia superba were generally the main prey. Stable isotopic data showed that, in terms of habitat use (based on delta C-13), there were significant differences in short-term carbon signatures between males and females (based on plasma and red blood cells), suggesting that both sexes explored different habitats, with females exploring more offshore pelagic waters and males feeding more in coastal benthic waters. Based on delta N-15, males fed on significantly higher trophic level than females (based on plasma and red blood cells), in agreement with our diet results., Thus, Gentoo penguins behave in a similar manner to other non-breeding penguins species (e.g. king, macaroni and rockhopper penguins), albeit at a smaller spatial scale (as they do not disperse as these other penguins do), in that they have a wider habitat and trophic niche during the Antarctic Winter (in comparison to Summer). We also detected individual specialization in feeding/trophic levels for each gender, with certain males feeding mainly on fish and certain females mainly on crustaceans, which may be driven the prevailing environmental conditions that lead individuals to search for alternative prey, and cause sexual diet segregation. Our results provide further information to help improve understanding about sexual segregation and individual specialization of marine organisms, while contributing valuable information on the winter diet for Antarctic monitoring programs and for modelling Antarctic marine food webs.</t>
  </si>
  <si>
    <t>[Xavier, Jose C.; Ceia, Filipe R.; Vieira, Rui P.] Univ Coimbra, Dept Life Sci, Marine &amp; Environm Sci Ctr, Coimbra, Portugal; [Xavier, Jose C.; Trathan, Philip N.; Tarling, Geraint A.; Adlard, Stacey; Fox, Derren; Edwards, Ewan W. J.] British Antarctic Survey, Nat Environm Res Council, Madingley Rd, Cambridge, England; [Medeiros, Renata] Cardiff Univ, Cardiff Sch Biosci, Sir Martin Evans Bldg, Cardiff, S Glam, Wales; [De Broyer, Claude] Royal Belgian Inst Nat Sci OD Taxon &amp; Phylogeny, Rue Vautier 29, Brussels, Belgium; [Cherel, Yves] Univ La Rochelle, CNRS, UPR 7372, Ctr Etud Biol Chize, Villiers En Bois, France; [Vieira, Rui P.] Univ Southampton, Natl Oceanog Ctr Southampton, Grad Sch, Waterfront Campus,European Way, Southampton, Hants, England</t>
  </si>
  <si>
    <t>Universidade de Coimbra; UK Research &amp; Innovation (UKRI); Natural Environment Research Council (NERC); NERC British Antarctic Survey; Cardiff University; Royal Belgian Institute of Natural Sciences; La Rochelle Universite; Centre National de la Recherche Scientifique (CNRS); NERC National Oceanography Centre; University of Southampton</t>
  </si>
  <si>
    <t>Xavier, JC (corresponding author), Univ Coimbra, Dept Life Sci, Marine &amp; Environm Sci Ctr, Coimbra, Portugal.;Xavier, JC (corresponding author), British Antarctic Survey, Nat Environm Res Council, Madingley Rd, Cambridge, England.</t>
  </si>
  <si>
    <t>jccx@cantab.net</t>
  </si>
  <si>
    <t>Ceia, Filipe R./A-2196-2012; Xavier, José/KFB-6739-2024; Vieira, Rui/R-6881-2019; Vieira, Rui Pedro/G-1738-2012; Medeiros, Renata/M-8616-2015</t>
  </si>
  <si>
    <t>Ceia, Filipe R./0000-0002-5470-5183; Vieira, Rui Pedro/0000-0001-8491-2565; Medeiros, Renata/0000-0002-5833-309X; /0000-0002-9621-6660</t>
  </si>
  <si>
    <t>Investigator FCT program [IF/00616/2013]; Foundation for Science and Technology (Portugal); European Social Fund (POPH, EU) through a post-doc grant [SFRH/BPD/95372/2013]; Portuguese Science Foundation [SFRH/BD/84030/2012]; FCT [MARE - UID/MAR/04292/2013]; NERC [bas0100035] Funding Source: UKRI; Natural Environment Research Council [bas0100035] Funding Source: researchfish</t>
  </si>
  <si>
    <t>Investigator FCT program(Fundacao para a Ciencia e a Tecnologia (FCT)); Foundation for Science and Technology (Portugal)(Fundacao para a Ciencia e a Tecnologia (FCT)); European Social Fund (POPH, EU) through a post-doc grant; Portuguese Science Foundation(Fundacao para a Ciencia e a Tecnologia (FCT)); FCT(Fundacao para a Ciencia e a Tecnologia (FCT)); NERC(UK Research &amp; Innovation (UKRI)Natural Environment Research Council (NERC)); Natural Environment Research Council(UK Research &amp; Innovation (UKRI)Natural Environment Research Council (NERC))</t>
  </si>
  <si>
    <t>This work is part of SCAR AnT-ERA, ICED, BAS-CEPH programs. JX is supported by the Investigator FCT program (IF/00616/2013) and FRC is supported by the Foundation for Science and Technology (Portugal) and the European Social Fund (POPH, EU) through a post-doc grant (SFRH/BPD/95372/2013). RPV is currently supported by a doctoral grant from the Portuguese Science Foundation (SFRH/BD/84030/2012). This study benefited from the strategic program of MARE, financed by FCT (MARE - UID/MAR/04292/2013).; Pierre Richard, Richard Phillips, Miguel Guerreiro, Pedro Alvito, Vitor Paiva and Jon Watkins for providing valuable contributions in the laboratory during the planning and execution of the project. David Thompson for reviewing a final version of the manuscript. We also thank Marcella Libertelli for aiding the identification of small otoliths. This work is part of SCAR AnT-ERA, ICED, BAS-CEPH programs. JX is supported by the Investigator FCT program (IF/00616/2013) and FRC is supported by the Foundation for Science and Technology (Portugal) and the European Social Fund (POPH, EU) through a post-doc grant (SFRH/BPD/95372/2013). RPV is currently supported by a doctoral grant from the Portuguese Science Foundation (SFRH/BD/84030/2012). This study benefited from the strategic program of MARE, financed by FCT (MAREUID/MAR/04292/2013).</t>
  </si>
  <si>
    <t>MAR 31</t>
  </si>
  <si>
    <t>e0174850</t>
  </si>
  <si>
    <t>10.1371/journal.pone.0174850</t>
  </si>
  <si>
    <t>ER9VK</t>
  </si>
  <si>
    <t>Green Published, Green Submitted, Green Accepted, gold</t>
  </si>
  <si>
    <t>WOS:000399175000043</t>
  </si>
  <si>
    <t>Pecl, GT; Araújo, MB; Bell, JD; Blanchard, J; Bonebrake, TC; Chen, IC; Clark, TD; Colwell, RK; Danielsen, F; Evengård, B; Falconi, L; Ferrier, S; Frusher, S; Garcia, RA; Griffis, RB; Hobday, AJ; Janion-Scheepers, C; Jarzyna, MA; Jennings, S; Lenoir, J; Linnetved, HI; Martin, VY; McCormack, PC; McDonald, J; Mitchell, NJ; Mustonen, T; Pandolfi, JM; Pettorelli, N; Popova, E; Robinson, SA; Scheffers, BR; Shaw, JD; Sorte, CJB; Strugnell, JM; Sunday, JM; Tuanmu, MN; Vergés, A; Villanueva, C; Wernberg, T; Wapstra, E; Williams, SE</t>
  </si>
  <si>
    <t>Pecl, Gretta T.; Araujo, Miguel B.; Bell, Johann D.; Blanchard, Julia; Bonebrake, Timothy C.; Chen, I-Ching; Clark, Timothy D.; Colwell, Robert K.; Danielsen, Finn; Evengard, Birgitta; Falconi, Lorena; Ferrier, Simon; Frusher, Stewart; Garcia, Raquel A.; Griffis, Roger B.; Hobday, Alistair J.; Janion-Scheepers, Charlene; Jarzyna, Marta A.; Jennings, Sarah; Lenoir, Jonathan; Linnetved, Hlif I.; Martin, Victoria Y.; McCormack, Phillipa C.; McDonald, Jan; Mitchell, Nicola J.; Mustonen, Tero; Pandolfi, John M.; Pettorelli, Nathalie; Popova, Ekaterina; Robinson, Sharon A.; Scheffers, Brett R.; Shaw, Justine D.; Sorte, Cascade J. B.; Strugnell, Jan M.; Sunday, Jennifer M.; Tuanmu, Mao-Ning; Verges, Adriana; Villanueva, Cecilia; Wernberg, Thomas; Wapstra, Erik; Williams, Stephen E.</t>
  </si>
  <si>
    <t>Biodiversity redistribution under climate change: Impacts on ecosystems and human well-being</t>
  </si>
  <si>
    <t>RANGE SHIFTS; NORTH-AMERICAN; ARCTIC VEGETATION; FISH COMMUNITIES; EXTINCTION RISK; FOOD SECURITY; RESPONSES; EXPANSION; DYNAMICS; MALARIA</t>
  </si>
  <si>
    <t>Distributions of Earth's species are changing at accelerating rates, increasingly driven by human-mediated climate change. Such changes are already altering the composition of ecological communities, but beyond conservation of natural systems, how and why does this matter? We review evidence that climate-driven species redistribution at regional to global scales affects ecosystem functioning, human well-being, and the dynamics of climate change itself. Production of natural resources required for food security, patterns of disease transmission, and processes of carbon sequestration are all altered by changes in species distribution. Consideration of these effects of biodiversity redistribution is critical yet lacking in most mitigation and adaptation strategies, including the United Nation's Sustainable Development Goals.</t>
  </si>
  <si>
    <t>[Pecl, Gretta T.; Blanchard, Julia; Clark, Timothy D.; Frusher, Stewart; Villanueva, Cecilia] Inst Marine &amp; Antarctic Studies, Hobart, Tas 7001, Australia; [Pecl, Gretta T.; Blanchard, Julia; Frusher, Stewart; Hobday, Alistair J.; Jennings, Sarah; McDonald, Jan; Villanueva, Cecilia] Ctr Marine Socioecol, Hobart, Tas 7001, Australia; [Araujo, Miguel B.] CSIC, Dept Biogeog &amp; Global Change, Museo Nacl Ciencias Nat, Madrid 28006, Spain; [Araujo, Miguel B.] Univ Evora, Ctr Invest Biodiversidade &amp; Recursos Genet, P-7000890 Evora, Portugal; [Araujo, Miguel B.; Colwell, Robert K.] Univ Copenhagen, Ctr Macroecol Evolut &amp; Climate, Dept Biol, Univ Pk 15, DK-2100 Copenhagen O, Denmark; [Bell, Johann D.] Univ Wollongong, Australian Natl Ctr Ocean Resources &amp; Secur, Wollongong, NSW 2522, Australia; [Bell, Johann D.] Conservat Int, Betty &amp; Gordon Moore Ctr Sci &amp; Oceans, Arlington, VA 22202 USA; [Bonebrake, Timothy C.] Univ Hong Kong, Sch Biol Sci, Hong Kong, Hong Kong, Peoples R China; [Chen, I-Ching] Natl Cheng Kung Univ, Dept Life Sci, Tainan 701, Taiwan; [Clark, Timothy D.] Commonwealth Sci &amp; Ind Res Org CSIRO Agr &amp; Food, Hobart, Tas 7000, Australia; [Colwell, Robert K.] Univ Connecticut, Dept Ecol &amp; Evolutionary Biol, Storrs, CT 06269 USA; [Colwell, Robert K.] Univ Colorado, Museum Nat Hist, Boulder, CO 80309 USA; [Colwell, Robert K.] Univ Fed Goias, Dept Ecol, CP 131, BR-74001970 Goiania, Go, Brazil; [Danielsen, Finn] NORDECO, DK-1159 Copenhagen, Denmark; [Evengard, Birgitta] Umea Univ, Dept Clin Microbiol, Div Infect Dis, S-90187 Umea, Sweden; [Falconi, Lorena; Williams, Stephen E.] James Cook Univ, Coll Marine &amp; Environm Sci, Townsville, Qld 4811, Australia; [Ferrier, Simon] CSIRO Land &amp; Water, Canberra, ACT 2601, Australia; [Garcia, Raquel A.] Univ Cape Town, Dept Stat Sci, Ctr Stat Ecol Environm &amp; Conservat, ZA-7701 Cape Town, South Africa; [Garcia, Raquel A.] Univ Stellenbosch, Fac Sci, Dept Bot &amp; Zool, Ctr Invas Biol, ZA-7602 Matieland, South Africa; [Griffis, Roger B.] NOAA, Fisheries Serv, Silver Spring, MD 20912 USA; [Hobday, Alistair J.] CSIRO Oceans &amp; Atmosphere, Hobart, Tas 7000, Australia; [Janion-Scheepers, Charlene] Monash Univ, Sch Biol Sci, Clayton, Vic 3800, Australia; [Jarzyna, Marta A.] Yale Univ, Dept Ecol &amp; Evolutionary Biol, New Haven, CT 06520 USA; [Jennings, Sarah] Univ Tasmania, Tasmanian Sch Business &amp; Econ, Hobart, Tas 7001, Australia; [Lenoir, Jonathan] Univ Picardie Jules Verne, EDYSAN, CNRS, FRE 3498, F-80037 Amiens 1, France; [Linnetved, Hlif I.] Univ Copenhagen, Fac Sci, Inst Food &amp; Resource Econ, Rolighedsvej 25, DK-1958 Frederiksberg C, Denmark; [Martin, Victoria Y.] Southern Cross Univ, Sch Environm Sci &amp; Engn, Lismore, NSW 2480, Australia; [McCormack, Phillipa C.; McDonald, Jan] Univ Tasmania, Fac Law, Hobart, Tas 7001, Australia; [Mitchell, Nicola J.; Wernberg, Thomas] Univ Western Australia, Sch Biol Sci, Crawley, WA 6009, Australia; [Mustonen, Tero] Univ Eastern Finland, Snowchange Cooperat, FIN-80100 Joensuu, Finland; [Pandolfi, John M.] Univ Queensland, Autralian Res Council ARC Ctr Excellence Coral Re, Sch Biol Sci, Brisbane, Qld 4072, Australia; [Pettorelli, Nathalie] Zool Soc London, Inst Zool, Regents Pk, London NW1 4RY, England; [Popova, Ekaterina] Univ Southampton, Natl Oceanog Ctr, Waterfront Campus,European Way, Southampton SO14 3ZH, Hants, England; [Robinson, Sharon A.] Univ Wollongong, Sch Biol Sci, Ctr Sustainable Ecosyst Solut, Wollongong, NSW 2522, Australia; [Scheffers, Brett R.] Univ Florida, Inst Food &amp; Agr Sci, Dept Wildlife Ecol &amp; Conservat, Gainesville, FL 32611 USA; [Shaw, Justine D.] Univ Queensland, Sch Biol Sci, Ctr Biodivers &amp; Conservat Sci, St Lucia, Qld 4072, Australia; [Sorte, Cascade J. B.] Univ Calif Irvine, Dept Ecol &amp; Evolutionary Biol, Irvine, CA 92697 USA; [Strugnell, Jan M.] James Cook Univ, Coll Sci &amp; Engn, Ctr Sustainable Trop Fisheries &amp; Aquaculture, Townsville, Qld 4811, Australia; [Strugnell, Jan M.] La Trobe Univ, Sch Life Sci, Dept Ecol Environm &amp; Evolut, Melbourne, Vic 3086, Australia; [Sunday, Jennifer M.] Univ British Columbia, Biodivers Res Ctr, Vancouver, BC V6T 1Z4, Canada; [Tuanmu, Mao-Ning] Acad Sinica, Biodivers Res Ctr, Taipei 115, Taiwan; [Verges, Adriana] Univ New South Wales, Ctr Marine Bioinnovat, Sydney, NSW 2052, Australia; [Verges, Adriana] Univ New South Wales, Sch Biol Earth &amp; Environm Sci, Evolut &amp; Ecol Res Ctr, Sydney, NSW 2052, Australia; [Wernberg, Thomas] Univ Western Australia, Oceans Inst, Perth, WA 6009, Australia; [Wapstra, Erik] Univ Tasmania, Sch Biol Sci, Hobart, Tas 7001, Australia</t>
  </si>
  <si>
    <t>University of Tasmania; Consejo Superior de Investigaciones Cientificas (CSIC); CSIC - Museo Nacional de Ciencias Naturales (MNCN); University of Evora; University of Copenhagen; University of Wollongong; Conservation International; University of Hong Kong; National Cheng Kung University; Commonwealth Scientific &amp; Industrial Research Organisation (CSIRO); University of Connecticut; University of Colorado System; University of Colorado Boulder; Universidade Federal de Goias; Umea University; James Cook University; Commonwealth Scientific &amp; Industrial Research Organisation (CSIRO); CSIRO Land &amp; Water; University of Cape Town; Stellenbosch University; National Oceanic Atmospheric Admin (NOAA) - USA; Commonwealth Scientific &amp; Industrial Research Organisation (CSIRO); Monash University; Yale University; University of Tasmania; Centre National de la Recherche Scientifique (CNRS); Universite de Picardie Jules Verne (UPJV); University of Copenhagen; Southern Cross University; University of Tasmania; University of Western Australia; University of Eastern Finland; University of Queensland; Zoological Society of London; NERC National Oceanography Centre; University of Southampton; University of Wollongong; State University System of Florida; University of Florida; University of Queensland; University of California System; University of California Irvine; James Cook University; La Trobe University; Melbourne Genomics Health Alliance; University of British Columbia; Academia Sinica - Taiwan; University of New South Wales Sydney; University of New South Wales Sydney; University of Western Australia; University of Tasmania</t>
  </si>
  <si>
    <t>Pecl, GT (corresponding author), Inst Marine &amp; Antarctic Studies, Hobart, Tas 7001, Australia.;Pecl, GT (corresponding author), Ctr Marine Socioecol, Hobart, Tas 7001, Australia.</t>
  </si>
  <si>
    <t>gretta.pecl@utas.edu.au</t>
  </si>
  <si>
    <t>Pettorelli, Nathalie/AAW-8438-2021; Ferrier, Simon/C-1490-2009; Strugnell, Jan M/P-9921-2016; Lenoir, Jonathan/AAE-8441-2019; Jarzyna, Marta/ABB-5939-2020; Araújo, Miguel B/B-6117-2008; Bonebrake, Timothy Carlton/M-3559-2019; Nummer2, CMEC/HKE-1900-2023; McCormack, Phillipa/GYA-3008-2022; Popova, Ekaterina E/B-4520-2012; Blanchard, Julia L/E-4919-2010; Pecl, Gretta/D-7267-2011; Mitchell, Nicola/AAE-4132-2020; Chen, I-Ching/GWU-9667-2022; Colwell, Robert K/C-7276-2015; Sunday, Jennifer/ABE-7396-2020; CHEN, I-CHING/Y-1535-2019; Martin, Vicki/J-2131-2019; Hobday, Alistair/A-1460-2012; Robinson, Sharon/B-2683-2008; Wernberg, Thomas/B-4172-2010; Tuanmu, Mao-Ning/ABI-5979-2020; Pandolfi, John M/A-3121-2009; Jennings, Sarah M/J-7888-2014; McCormack, Phillipa C/N-3668-2017; McDonald, Jan/J-7204-2014; Scheffers, Brett/L-2585-2014; Clark, Timothy/K-7129-2012; Williams, Stephen/A-7250-2008; Wapstra, Erik/J-7482-2014; Verges, Adriana/B-8288-2013</t>
  </si>
  <si>
    <t>Lenoir, Jonathan/0000-0003-0638-9582; Jarzyna, Marta/0000-0002-6734-0566; Araújo, Miguel B/0000-0002-5107-7265; Bonebrake, Timothy Carlton/0000-0001-9999-2254; Popova, Ekaterina E/0000-0002-2012-708X; Pecl, Gretta/0000-0003-0192-4339; Mitchell, Nicola/0000-0003-0744-984X; CHEN, I-CHING/0000-0002-1909-7290; Martin, Vicki/0000-0003-3492-9240; Robinson, Sharon/0000-0002-7130-9617; Wernberg, Thomas/0000-0003-1185-9745; Tuanmu, Mao-Ning/0000-0002-8233-2935; Pandolfi, John M/0000-0003-3047-6694; Pettorelli, Nathalie/0000-0002-1594-6208; McCormack, Phillipa C/0000-0001-6751-8291; Blanchard, Julia/0000-0003-0532-4824; Strugnell, Jan/0000-0003-2994-637X; McDonald, Jan/0000-0002-7953-1458; Shaw, Justine/0000-0002-9603-2271; Griffis, Roger/0000-0001-9329-2230; Scheffers, Brett/0000-0003-2423-3821; Bell, Johann/0000-0003-2152-536X; Danielsen, Finn/0000-0003-0229-2847; Clark, Timothy/0000-0001-8738-3347; Williams, Stephen/0000-0002-2510-7408; Wapstra, Erik/0000-0002-2050-8026; Villanueva, Cecilia/0000-0001-9694-3131; Verges, Adriana/0000-0002-3507-1234; Janion-Scheepers, Charlene/0000-0001-5942-7912</t>
  </si>
  <si>
    <t>ARC Future Fellowships [FT140100596, FT110100597, FT110100174]; South African National Research Foundation [KIC 98457, Blue Skies 449888]; Yale Climate and Energy Institute; WAPEAT (Finnish Academy) Project [263465]; ARC Centre of Excellence for Coral Reef Studies; ARC [DP130100250, DP150101491, DP110101714]; University of Tasmania; IMAS; NOAA Fisheries Service; CSIRO; National Climate Change Adaptation Research Facility Natural Ecosystems Network; Ian Potter Foundation; Antarctic Climate and Ecosystems Cooperative Research Centre; ARC Centre of Excellence for Environmental Decisions; NERC [NE/N018036/1, NE/L008750/1, NE/M007634/1, noc010010] Funding Source: UKRI; Natural Environment Research Council [NE/L008750/1, noc010010, NE/M007634/1, NE/N018036/1] Funding Source: researchfish</t>
  </si>
  <si>
    <t>ARC Future Fellowships(Australian Research Council); South African National Research Foundation(National Research Foundation - South Africa); Yale Climate and Energy Institute; WAPEAT (Finnish Academy) Project; ARC Centre of Excellence for Coral Reef Studies(Australian Research Council); ARC(Australian Research Council); University of Tasmania; IMAS; NOAA Fisheries Service(National Oceanic Atmospheric Admin (NOAA) - USA); CSIRO(Commonwealth Scientific &amp; Industrial Research Organisation (CSIRO)); National Climate Change Adaptation Research Facility Natural Ecosystems Network; Ian Potter Foundation; Antarctic Climate and Ecosystems Cooperative Research Centre(Australian GovernmentDepartment of Industry, Innovation and ScienceCooperative Research Centres (CRC) Programme); ARC Centre of Excellence for Environmental Decisions(Australian Research Council); NERC(UK Research &amp; Innovation (UKRI)Natural Environment Research Council (NERC)); Natural Environment Research Council(UK Research &amp; Innovation (UKRI)Natural Environment Research Council (NERC))</t>
  </si>
  <si>
    <t>We thank the attendees of the international Species on the Move conference held in Hobart, Tasmania, Australia, in February 2016. G.T.P., E.W., and T.W. were supported by ARC Future Fellowships (FT140100596, FT110100597, and FT110100174, respectively). R.A.G.'s participation was made possible by the South African National Research Foundation (KIC 98457 and Blue Skies 449888). M.A.J. was funded by Yale Climate and Energy Institute. T.M.'s participation was supported by the WAPEAT (Finnish Academy 263465) Project. J.M.P. was funded by the ARC Centre of Excellence for Coral Reef Studies and ARC DP130100250, J.M.St. was supported by ARC DP150101491, and S.A.R. was funded by ARC DP110101714. B.E. was supported by Nordforsk. A. Cooper [Institute for Marine and Antarctic Studies (IMAS)] assisted with the figures. The workshop and conference leading to this paper were supported by the University of Tasmania, IMAS, NOAA Fisheries Service, CSIRO, National Climate Change Adaptation Research Facility Natural Ecosystems Network, the Ian Potter Foundation, the Antarctic Climate and Ecosystems Cooperative Research Centre, and the ARC Centre of Excellence for Environmental Decisions.</t>
  </si>
  <si>
    <t>eaai9214</t>
  </si>
  <si>
    <t>10.1126/science.aai9214</t>
  </si>
  <si>
    <t>EQ1DL</t>
  </si>
  <si>
    <t>WOS:000397809500032</t>
  </si>
  <si>
    <t>Mernild, SH; Liston, GE; Hiemstra, CA; Yde, JC; McPhee, J; Malmros, JK</t>
  </si>
  <si>
    <t>Mernild, Sebastian H.; Liston, Glen E.; Hiemstra, Christopher A.; Yde, Jacob C.; McPhee, James; Malmros, Jeppe K.</t>
  </si>
  <si>
    <t>The Andes Cordillera. Part II: Rio Olivares Basin snow conditions (1979-2014), central Chile</t>
  </si>
  <si>
    <t>Andes Cordillera; modelling; NASA MERRA; Rio Olivares Basin; SnowModel; snow</t>
  </si>
  <si>
    <t>SURFACE MASS-BALANCE; RIVER DRAINAGE-BASIN; AMMASSALIK ISLAND; WATER EQUIVALENT; UPPER TREELINE; DRY ANDES; GLACIER; SYSTEM; MELT; COVER</t>
  </si>
  <si>
    <t>Snow cover extent, duration, and properties were simulated (1979/1980-2013/2014) for the Rio Olivares Basin (548km(2)) in central Chilean Andes, in an effort to understand conditions and trends (linear) at a basin scale. The National Aeronautics and Space Administration Modern-Era Retrospective Analysis for Research and Applications products, together with the snow modelling software package SnowModel allowed simulations of first-order atmospheric forcings (mean annual air temperature (MAAT) and water-equivalent precipitation) and terrestrial snow features (snow cover extent, duration, snow water-equivalent depth, snow density, and runoff generated from snow melt). Simulated snow cover extent and depletion curves were verified against Moderate Resolution Imaging Spectroradiometer-derived snow cover data. For the Rio Olivares Basin, MAAT was -2.9 +/- 0.6 degrees C with a mean 0 degrees isotherm at 3325ma.s.l. The greatest temporal and spatial changes in temperature over the 35-year period occurred in January and at the highest elevations, respectively. Mean annual precipitation was 1.86 +/- 0.60mw.e., indicating an increase in precipitation of approximate to 0.1mw.e.100m(-1) increase in elevation. On average, approximate to 90% of the basin precipitation fell as snow, varying from 70% at approximate to 2600ma.s.l., to 95% at approximate to 4200ma.s.l. In 20 out of 35years the snow cover extent went to 0% (no basin snow cover) by end-of-summer (during March), and the snow duration increased on average by approximate to 10days100m(-1) increase in elevation. Approximately 85% of the basin outlet freshwater runoff originated from snowmelt, making snowmelt a dominant contributor to water resources. Snowmelt-derived basin runoff was dominated by variability in snow precipitation rather than by variability in MAAT.</t>
  </si>
  <si>
    <t>[Mernild, Sebastian H.] Univ Magallanes, Antarctic &amp; Subantarctic Program, Punta Arenas, Chile; [Liston, Glen E.] Colorado State Univ, Cooperat Inst Res Atmosphere, Ft Collins, CO 80523 USA; [Hiemstra, Christopher A.] US Army, Cold Reg Res &amp; Engn Lab, Ft Wainwright, AK USA; [Mernild, Sebastian H.; Yde, Jacob C.] Sogn &amp; Fjordane Univ Coll, Fac Sci &amp; Engn, Postboks 133, N-6851 Sogndal, Norway; [McPhee, James] Univ Chile, Fac Cisncias Fis &amp; Matemat, Dept Civil Engn, Santiago, Chile; [Malmros, Jeppe K.] Univ Copenhagen, Dept Geosci &amp; Nat Resource Management, Copenhagen, Denmark</t>
  </si>
  <si>
    <t>Universidad de Magallanes; Colorado State University; United States Department of Defense; United States Army; U.S. Army Corps of Engineers; U.S. Army Engineer Research &amp; Development Center (ERDC); Cold Regions Research &amp; Engineering Laboratory (CRREL); Western Norway University of Applied Sciences; Universidad de Chile; University of Copenhagen</t>
  </si>
  <si>
    <t>Mernild, SH (corresponding author), Sogn &amp; Fjordane Univ Coll, Fac Sci &amp; Engn, Postboks 133, N-6851 Sogndal, Norway.</t>
  </si>
  <si>
    <t>sebastian.mernild@hisf.no</t>
  </si>
  <si>
    <t>McPhee, James/F-3402-2011; Yde, Jacob/M-8839-2017; McPhee, James/ABC-6218-2020; Mernild, Sebastian H./M-5516-2013; Malmros, Jeppe/E-2638-2015</t>
  </si>
  <si>
    <t>McPhee, James/0000-0002-7547-0926; Mernild, Sebastian H./0000-0003-0797-3975; Yde, Jacob Clement/0000-0002-6211-2601; Malmros, Jeppe/0000-0002-1175-3660</t>
  </si>
  <si>
    <t>National Science Foundation of Chile Fondecyt [1140172]; Division Of Undergraduate Education; Direct For Education and Human Resources [1140172] Funding Source: National Science Foundation</t>
  </si>
  <si>
    <t>National Science Foundation of Chile Fondecyt; Division Of Undergraduate Education; Direct For Education and Human Resources(National Science Foundation (NSF)NSF - Directorate for STEM Education (EDU))</t>
  </si>
  <si>
    <t>We thank the three anonymous reviewers for their valuable review and their insightful critique of this article. This work was supported by the National Science Foundation of Chile Fondecyt under grant agreement #1140172, when S.H.M. was affiliated with Centro de Estudios Cientificos (CECs), Valdivia. Requests for data should be addressed to S.H.M. The authors have no conflict of interest.</t>
  </si>
  <si>
    <t>MAR 30</t>
  </si>
  <si>
    <t>10.1002/joc.4828</t>
  </si>
  <si>
    <t>EP6OB</t>
  </si>
  <si>
    <t>WOS:000397497700004</t>
  </si>
  <si>
    <t>Mernild, SH; Liston, GE; Hiemstra, CA; Malmros, JK; Yde, JC; McPhee, J</t>
  </si>
  <si>
    <t>Mernild, Sebastian H.; Liston, Glen E.; Hiemstra, Christopher A.; Malmros, Jeppe K.; Yde, Jacob C.; McPhee, James</t>
  </si>
  <si>
    <t>The Andes Cordillera. Part I: snow distribution, properties, and trends (1979-2014)</t>
  </si>
  <si>
    <t>Andes Cordillera; modelling; NASA MERRA; MODIS; SnowModel; snow; snow classification; South America</t>
  </si>
  <si>
    <t>SURFACE MASS-BALANCE; RIVER DRAINAGE-BASIN; AMMASSALIK ISLAND; WATER EQUIVALENT; ENERGY-BALANCE; UPPER TREELINE; CLIMATE-CHANGE; CENTRAL CHILE; MELT; GLACIER</t>
  </si>
  <si>
    <t>Snow cover presence, duration, properties, and water amount play a major role in Earth's climate system through its impact on the surface energy budget. Snow cover conditions and trends (1979-2014) were simulated for South America-for the entire Andes Cordillera. Recent data sets and SnowModel developments allow relatively high-resolutions of 3-h time step and 4-km horizontal grid increment for this domain. US Geological Survey's Global Multi-resolution Terrain Elevation Data 2010 topography, Global Land Cover (GlobCover), Randolph Glacier Inventory (v. 4.0) glacier, and NASA modern-era retrospective analysis for research and applications data sets were used to simulate first-order atmospheric forcing (e.g. near-surface air temperature and precipitation, including the fraction of precipitation falling as snow) and terrestrial snow characteristics (e.g. snow cover days, snow water equivalent depth, and snow density). Simulated snow conditions were verified against moderate-resolution imaging spectroradiometer-derived snow cover extent and 3064 individual direct observations of snow depths. Regional variability in mean annual air temperature occurred: positive trends in general were seen in the high Andes Cordillera, and negative trends at relatively lower elevations both east and west of the Cordillera. Snow precipitation showed more heterogeneous patterns than air temperature due to the influence from atmospheric conditions, topography, and orography. Overall, for the Cordillera, much of the area north of 23 degrees S had a decrease in the number of snow cover days, while the southern half experienced the opposite. The snow cover extent changed approximate to-15% during the simulation period, mostly between the elevations of approximate to 3000 and 5000m above sea level (a.s.l.). However, below 1000ma.s.l. (in Patagonia) the snow cover extent increased. The snow properties varied over short distances both along and across the Andes Cordillera.</t>
  </si>
  <si>
    <t>[Mernild, Sebastian H.] Univ Magallanes, Antarctic &amp; Subantarctic Program, Punta Arenas, Chile; [Mernild, Sebastian H.] Ctr Estudios Avanzados Zonas Aridas, La Serena, Chile; [Liston, Glen E.] Colorado State Univ, Cooperat Inst Res Atmosphere, Ft Collins, CO 80523 USA; [Hiemstra, Christopher A.] US Army, Cold Reg Res &amp; Engn Lab, Ft Wainwright, AK USA; [Malmros, Jeppe K.] Univ Copenhagen, Dept Geosci &amp; Nat Resource Management, Copenhagen, Denmark; [Mernild, Sebastian H.; Yde, Jacob C.] Sogn &amp; Fjordane Univ Coll, Fac Sci &amp; Engn, Postboks 133, N-6851 Sogndal, Norway; [McPhee, James] Univ Chile, Fac Ciencias Fis &amp; Matemat, Dept Civil Engn, Santiago, Chile; [McPhee, James] Univ Chile, Fac Ciencias Fis &amp; Matemat, Adv Min Technol Ctr, Santiago, Chile</t>
  </si>
  <si>
    <t>Universidad de Magallanes; Colorado State University; United States Department of Defense; United States Army; U.S. Army Corps of Engineers; U.S. Army Engineer Research &amp; Development Center (ERDC); Cold Regions Research &amp; Engineering Laboratory (CRREL); University of Copenhagen; Western Norway University of Applied Sciences; Universidad de Chile; Universidad de Chile</t>
  </si>
  <si>
    <t>McPhee, James/F-3402-2011; McPhee, James/ABC-6218-2020; Yde, Jacob/M-8839-2017; Mernild, Sebastian H./M-5516-2013; Malmros, Jeppe/E-2638-2015</t>
  </si>
  <si>
    <t>McPhee, James/0000-0002-7547-0926; Yde, Jacob Clement/0000-0002-6211-2601; Mernild, Sebastian H./0000-0003-0797-3975; Malmros, Jeppe/0000-0002-1175-3660</t>
  </si>
  <si>
    <t>Chilean Fondecyt Regular Competition [1140172]</t>
  </si>
  <si>
    <t>Chilean Fondecyt Regular Competition</t>
  </si>
  <si>
    <t>We thank the anonymous reviewers for their valuable reviews and their insightful critique of this article. This work was supported by the Chilean Fondecyt Regular Competition under grant agreement #1140172, when the first author was affiliated with Centro De Estudios Cientificos (CECs). All data requests should be addressed to the first author. The authors have no conflict of interest.</t>
  </si>
  <si>
    <t>10.1002/joc.4804</t>
  </si>
  <si>
    <t>WOS:000397497700003</t>
  </si>
  <si>
    <t>Adams, MB; Hayward, CJ; Nowak, BF</t>
  </si>
  <si>
    <t>Adams, Mark B.; Hayward, Craig J.; Nowak, Barbara F.</t>
  </si>
  <si>
    <t>Branchial Pathomorphology of Southern Bluefin Tuna Thunnus maccoyii (Castelnau, 1872) Infected by Helminth and Copepodan Parasites</t>
  </si>
  <si>
    <t>FRONTIERS IN PHYSIOLOGY</t>
  </si>
  <si>
    <t>tuna; parasite; gills; histopathology; helminth; copepod; leucocyte</t>
  </si>
  <si>
    <t>WESTERN MEDITERRANEAN SEA; METAZOAN GILL PARASITES; OSTEICHTHYES SCOMBRIDAE; BLOOD FLUKE; CARDICOLA-FORSTERI; MAST-CELLS; EOSINOPHILS; THYNNUS; DISSONIDAE; EPIZOOTICS</t>
  </si>
  <si>
    <t>Three metazoan parasites, a monogenean Hexostoma thynni and two species of copepods Pseudocycnus appendiculatus and Euryphorus brachypterus are known to parasitize the gills of ranched southern bluefin tuna (SBT) and other tuna species. However, there is no detailed information describing the pathological response to infection by these parasites in this species. Wild southern bluefin tuna Thunnus maccoyii (approximately 3 years of age), captured and towed to a grow-out site in the waters immediately south of Port Lincoln, South Australia were subsequently sampled (n = 10) monthly from March until August 2004 during commercial harvest operations. Longitudinal sections of gill hemibranchs with attached parasites were excised and fixed for routine histology and immunohistochemistry. Reference samples were also collected fromfish displaying no signs of parasitismor other grossly observable anomalies. Two morphologically distinct granulocytes were observed and putatively identified as eosinophils and mast cells. Pathology was localized to filaments upon and immediately adjacent to parasite attachment sites. Branchial cellular responses, adjunct to the attachment of H. thynni by its opisthaptoral clamps, included hyperplasia and inflammation resulting in structural remodeling of branchial tissues. Inflammatory infiltrates were often dominated by putative eosinophils and lymphocytes when parasitized by H. thynni and P. appendiculatus. Gill associated lymphoid tissue infiltrated the lamellar regions particularly in response to helminth infection. A variable response ranging from hemorrhage with minor hyperplasia or fibroplasia and eosinophilic inflammation to a barely discernible change was seen for gill sections harboring P. appendiculatus and E. brachypterus. The magnitude of the host response to attachment by the latter was congruent with attachment proximity and parasite load. On the basis of the host responses reported here and the low intensity of infection observed in other associated studies these gill ectoparasites are currently considered a low risk for wild and ranched adult SBT.</t>
  </si>
  <si>
    <t>[Adams, Mark B.; Hayward, Craig J.; Nowak, Barbara F.] Univ Tasmania, Inst Marine &amp; Antarctic Studies, Dept Fisheries &amp; Aquaculture, Launceston, Tas, Australia</t>
  </si>
  <si>
    <t>Adams, MB (corresponding author), Univ Tasmania, Inst Marine &amp; Antarctic Studies, Dept Fisheries &amp; Aquaculture, Launceston, Tas, Australia.</t>
  </si>
  <si>
    <t>mark.adams@utas.edu.au</t>
  </si>
  <si>
    <t>Adams, Mark/P-7598-2019; Nowak, Barbara/J-7261-2014</t>
  </si>
  <si>
    <t>Adams, Mark/0000-0002-5737-5474; Nowak, Barbara/0000-0002-0347-643X</t>
  </si>
  <si>
    <t>Government's CRCs Program; Fisheries RD Corporation</t>
  </si>
  <si>
    <t>This work formed part of a project of Aquafin CRC, and received funds from the Australian Government's CRCs Program, the Fisheries R&amp;D Corporation and other CRC participants. We would like to thank Mr. Martin Kruesmann for sample processing and Dr. Nicole Kirchhoff, Dr. Melanie Feet, and Dr. Victoria Valdenegro for the collection of additional samples.</t>
  </si>
  <si>
    <t>1664-042X</t>
  </si>
  <si>
    <t>FRONT PHYSIOL</t>
  </si>
  <si>
    <t>Front. Physiol.</t>
  </si>
  <si>
    <t>MAR 29</t>
  </si>
  <si>
    <t>10.3389/fphys.2017.00187</t>
  </si>
  <si>
    <t>Physiology</t>
  </si>
  <si>
    <t>EP7PJ</t>
  </si>
  <si>
    <t>WOS:000397569400001</t>
  </si>
  <si>
    <t>Fripiat, F; Meiners, KM; Vancoppenolle, M; Papadimitriou, S; Thomas, DN; Ackley, SF; Arrigo, KR; Carnat, G; Cozzi, S; Delille, B; Dieckmann, GS; Dunbar, RB; Fransson, A; Kattner, G; Kennedy, H; Lannuzel, D; Munro, DR; Nomura, D; Rintala, JM; Schoemann, V; Stefels, J; Steiner, N; Tison, JL</t>
  </si>
  <si>
    <t>Fripiat, Francois; Meiners, Klaus M.; Vancoppenolle, Martin; Papadimitriou, Stathys; Thomas, David N.; Ackley, Stephen F.; Arrigo, Kevin R.; Carnat, Gauthier; Cozzi, Stefano; Delille, Bruno; Dieckmann, Gerhard S.; Dunbar, Robert B.; Fransson, Agneta; Kattner, Gerhard; Kennedy, Hilary; Lannuzel, Delphine; Munro, David R.; Nomura, Daiki; Rintala, Janne-Markus; Schoemann, Veronique; Stefels, Jacqueline; Steiner, Nadja; Tison, Jean-Louis</t>
  </si>
  <si>
    <t>Macro-nutrient concentrations in Antarctic pack ice: Overall patterns and overlooked processes</t>
  </si>
  <si>
    <t>ELEMENTA-SCIENCE OF THE ANTHROPOCENE</t>
  </si>
  <si>
    <t>1ST-YEAR SEA-ICE; DISSOLVED INORGANIC NUTRIENTS; WEDDELL SEA; NITROGEN UPTAKE; COMMUNITY STRUCTURE; BIOGENIC SILICA; HIGH-RESOLUTION; ORGANIC-MATTER; ALGAL BIOMASS; SNOW-COVER</t>
  </si>
  <si>
    <t>Antarctic pack ice is inhabited by a diverse and active microbial community reliant on nutrients for growth. Seeking patterns and overlooked processes, we performed a large-scale compilation of macro-nutrient data (hereafter termed nutrients) in Antarctic pack ice (306 ice-cores collected from 19 research cruises). Dissolved inorganic nitrogen and silicic acid concentrations change with time, as expected from a seasonally productive ecosystem. In winter, salinity-normalized nitrate and silicic acid concentrations (C*) in sea ice are close to seawater concentrations (C-w), indicating little or no biological activity. In spring, nitrate and silicic acid concentrations become partially depleted with respect to seawater (C* &lt; C-w), commensurate with the seasonal build-up of ice microalgae promoted by increased insolation. Stronger and earlier nitrate than silicic acid consumption suggests that a significant fraction of the primary productivity in sea ice is sustained by flagellates. By both consuming and producing ammonium and nitrite, the microbial community maintains these nutrients at relatively low concentrations in spring. With the decrease in insolation beginning in late summer, dissolved inorganic nitrogen and silicic acid concentrations increase, indicating imbalance between their production (increasing or unchanged) and consumption (decreasing) in sea ice. Unlike the depleted concentrations of both nitrate and silicic acid from spring to summer, phosphate accumulates in sea ice (C* &gt; C-w). The phosphate excess could be explained by a greater allocation to phosphorus-rich biomolecules during ice algal blooms coupled with convective loss of excess dissolved nitrogen, preferential remineralization of phosphorus, and/or phosphate adsorption onto metal-organic complexes. Ammonium also appears to be efficiently adsorbed onto organic matter, with likely consequences to nitrogen mobility and availability. This dataset supports the view that the sea ice microbial community is highly efficient at processing nutrients but with a dynamic quite different from that in oceanic surface waters calling for focused future investigations.</t>
  </si>
  <si>
    <t>[Fripiat, Francois] Vrije Univ Brussel, Analyt Environm &amp; Geochem Dept, Brussels, Belgium; [Meiners, Klaus M.] Australian Antarctic Div, Environm &amp; Energy Dept, Kingston, Tas, Australia; [Meiners, Klaus M.] Univ Tasmania, Antarctic Climate &amp; Ecosyst Cooperat Res Ctr, Hobart, Tas, Australia; [Vancoppenolle, Martin] Sorbonne Univ UPMC Paris 6, LOCEAN IPSL, CNRS, IRD MNHN, Paris, France; [Papadimitriou, Stathys; Thomas, David N.; Kennedy, Hilary] Bangor Univ, Sch Ocean Sci, Menai Bridge, Anglesey, Wales; [Thomas, David N.; Rintala, Janne-Markus] Finnish Environm Inst SYKE, Ctr Marine Res, Helsinki, Finland; [Ackley, Stephen F.] Univ Texas San Antonio, Snow &amp; Ice Geophys Lab, Dept Geol Sci, San Antonio, TX USA; [Arrigo, Kevin R.; Dunbar, Robert B.] Stanford Univ, Dept Earth Syst Sci, Stanford, CA 94305 USA; [Carnat, Gauthier; Schoemann, Veronique; Tison, Jean-Louis] Univ Libre Bruxelles, Lab Glaciol, Brussels, Belgium; [Cozzi, Stefano] CNR ISMAR, Ist Sci Marine, Trieste, Italy; [Delille, Bruno] Univ Liege, Unite Oceanog Chim, MARE, Liege, Belgium; [Dieckmann, Gerhard S.; Kattner, Gerhard] Alfred Wegener Inst, Helmholtz Ctr Polar &amp; Marine Res, Bremerhaven, Germany; [Fransson, Agneta] Norwegian Polar Res Inst, Fram Ctr, Tromso, Norway; [Fransson, Agneta] Univ Gothenburg, Dept Earth Sci, Gothenburg, Sweden; [Lannuzel, Delphine] Univ Tasmania, Inst Marine &amp; Antarctic Studies, Hobart, Tas, Australia; [Munro, David R.] Univ Colorado, Dept Atmospher &amp; Ocean Sci, Boulder, CO 80309 USA; [Munro, David R.] Univ Colorado, Inst Arctic &amp; Alpine Res, Boulder, CO 80309 USA; [Nomura, Daiki] Hokkaido Univ, Fac Fisheries Sci, Hakodate, Hokkaido, Japan; [Rintala, Janne-Markus] Univ Helsinki, Dept Environm Sci, Helsinki, Finland; [Stefels, Jacqueline] Univ Groningen, Groningen Inst Evolutionary Life Sci, Ecophysiol Plants, Groningen, Netherlands; [Steiner, Nadja] Inst Ocean Sci, Dept Fisheries &amp; Ocean Canada, Sidney, BC, Canada; [Fripiat, Francois] Max Planck Inst Chem, Mainz, Germany</t>
  </si>
  <si>
    <t>Vrije Universiteit Brussel; Australian Antarctic Division; Antarctic Climate &amp; Ecosystems Cooperative Research Centre (ACE CRC); University of Tasmania; Museum National d'Histoire Naturelle (MNHN); Sorbonne Universite; Institut de Recherche pour le Developpement (IRD); Centre National de la Recherche Scientifique (CNRS); Bangor University; Finnish Environment Institute; University of Texas System; University of Texas at San Antonio (UTSA); Stanford University; Universite Libre de Bruxelles; Consiglio Nazionale delle Ricerche (CNR); Istituto di Scienze Marine (ISMAR-CNR); University of Liege; Helmholtz Association; Alfred Wegener Institute, Helmholtz Centre for Polar &amp; Marine Research; Norwegian Polar Institute; University of Gothenburg; University of Tasmania; University of Colorado System; University of Colorado Boulder; University of Colorado System; University of Colorado Boulder; Hokkaido University; University of Helsinki; University of Groningen; Fisheries &amp; Oceans Canada; Max Planck Society</t>
  </si>
  <si>
    <t>Fripiat, F (corresponding author), Vrije Univ Brussel, Analyt Environm &amp; Geochem Dept, Brussels, Belgium.;Fripiat, F (corresponding author), Max Planck Inst Chem, Mainz, Germany.</t>
  </si>
  <si>
    <t>f.fripiat@mpic.de</t>
  </si>
  <si>
    <t>Vancoppenolle, Martin/AAA-7711-2022; Munro, David/ABA-2074-2020; Kennedy, Hilary A/M-5574-2014; Fripiat, François/ABB-8918-2021; Thomas, David Neville/B-1448-2010; Cozzi, Stefano/G-1511-2011; Dieckmann, Gerhard S/B-4307-2010; Vancoppenolle, Martin/B-3750-2011; Delille, Bruno/C-3486-2008; lannuzel, delphine/J-7937-2014</t>
  </si>
  <si>
    <t>Vancoppenolle, Martin/0000-0002-7573-8582; Kennedy, Hilary A/0000-0003-2290-2120; Thomas, David Neville/0000-0001-8832-5907; Cozzi, Stefano/0000-0003-0116-742X; Vancoppenolle, Martin/0000-0002-7573-8582; Fripiat, Francois/0000-0002-2591-6301; Steiner, Nadja/0000-0001-7456-3437; Delille, Bruno/0000-0003-0502-8101; Papadimitriou, Stathys/0000-0001-8540-1169; Arrigo, Kevin/0000-0002-7364-876X; Dunbar, Robert/0000-0002-9728-5609; lannuzel, delphine/0000-0001-6154-1837</t>
  </si>
  <si>
    <t>BELSPO [SD/CA/05A]; FNRS [2.4584.09, 2.4517.11]; CFWB [02/07-287]; US National Science Foundation [1341717]; NERC; Royal Society; Leverhulme Trust; Australian Government through Australian Antarctic Science [2767, 4073]; Antarctic Climate and Ecosystems Cooperative Research Centre; BISICLO (FP7) [CIG 321938]; Grants-in-Aid for Scientific Research [17H04715, 15H02799, 15K16135] Funding Source: KAKEN; Natural Environment Research Council [NE/F019289/1] Funding Source: researchfish; NERC [NE/F019289/1] Funding Source: UKRI</t>
  </si>
  <si>
    <t>BELSPO(Belgian Federal Science Policy Office); FNRS(Fonds de la Recherche Scientifique - FNRS); CFWB; US National Science Foundation(National Science Foundation (NSF)); NERC(UK Research &amp; Innovation (UKRI)Natural Environment Research Council (NERC)); Royal Society(Royal Society); Leverhulme Trust(Leverhulme Trust); Australian Government through Australian Antarctic Science; Antarctic Climate and Ecosystems Cooperative Research Centre(Australian GovernmentDepartment of Industry, Innovation and ScienceCooperative Research Centres (CRC) Programme); BISICLO (FP7); Grants-in-Aid for Scientific Research(Ministry of Education, Culture, Sports, Science and Technology, Japan (MEXT)Japan Society for the Promotion of ScienceGrants-in-Aid for Scientific Research (KAKENHI)); Natural Environment Research Council(UK Research &amp; Innovation (UKRI)Natural Environment Research Council (NERC)); NERC(UK Research &amp; Innovation (UKRI)Natural Environment Research Council (NERC))</t>
  </si>
  <si>
    <t>Francois Fripiat was a postdoctoral fellow at the FWO (Flanders Research Foundation, Belgium). Part of this work has been led under Belgian funding projects from BELSPO (SD/CA/05A), FNRS (2.4584.09 and 2.4517.11) and CFWB (ARC no 02/07-287). Stephen Ackley is grateful for support by the US National Science Foundation (Grant #1341717). David Thomas, Hilary Kennedy, and Stathys Papadimitriou are grateful for the support they received from NERC, The Royal Society, and The Leverhulme Trust. Klaus Meiners is grateful for support by the Australian Government through Australian Antarctic Science grants (#2767, #4073) and the Antarctic Climate and Ecosystems Cooperative Research Centre. Martin Vancoppenolle acknowledges support from BISICLO (FP7 CIG 321938).</t>
  </si>
  <si>
    <t>UNIV CALIFORNIA PRESS</t>
  </si>
  <si>
    <t>OAKLAND</t>
  </si>
  <si>
    <t>155 GRAND AVE, SUITE 400, OAKLAND, CA 94612-3758 USA</t>
  </si>
  <si>
    <t>2325-1026</t>
  </si>
  <si>
    <t>ELEMENTA-SCI ANTHROP</t>
  </si>
  <si>
    <t>Elementa-Sci. Anthrop.</t>
  </si>
  <si>
    <t>10.1525/elementa.217</t>
  </si>
  <si>
    <t>EQ3GF</t>
  </si>
  <si>
    <t>WOS:000397959000001</t>
  </si>
  <si>
    <t>Massardier-Galatà, L; Morinay, J; Bailleul, F; Wajnberg, E; Guinet, C; Coquillard, P</t>
  </si>
  <si>
    <t>Massardier-Galata, Lauriane; Morinay, Jennifer; Bailleul, Federic; Wajnberg, Eric; Guinet, Christophe; Coquillard, Patrick</t>
  </si>
  <si>
    <t>Breeding success of a marine central place forager in the context of climate change: A modeling approach</t>
  </si>
  <si>
    <t>ANTARCTIC FUR SEALS; POLAR FRONTAL ZONE; ARCTOCEPHALUS-GAZELLA; MATERNAL CHARACTERISTICS; BODY-SIZE; BEHAVIOR; ENERGY; PREY; PREDATOR; SURVIVAL</t>
  </si>
  <si>
    <t>In response to climate warming, a southward shift in productive frontal systems serving as the main foraging sites for many top predator species is likely to occur in Subantarctic areas. Central place foragers, such as seabirds and pinnipeds, are thus likely to cope with an increase in the distance between foraging locations and their land-based breeding colonies. Understanding how central place foragers should modify their foraging behavior in response to changes in prey accessibility appears crucial. A spatially explicit individual-based simulation model (Marine Central Place Forager Simulator (MarCPFS)), including bio-energetic components, was built to evaluate effects of possible changes in prey resources accessibility on individual performances and breeding success. The study was calibrated on a particular example: the Antarctic fur seal (Arctocephalus gazelle), which alternates between oceanic areas in which females feed and the land-based colony in which they suckle their young over a 120 days rearing period. Our model shows the importance of the distance covered to feed and prey aggregation which appeared to be key factors to which animals are highly sensitive. Memorization and learning abilities also appear to be essential breeding success traits. Females were found to be most successful for intermediate levels of prey aggregation and short distance to the resource, resulting in optimal female body length. Increased distance to resources due to climate warming should hinder pups' growth and survival while female body length should increase.</t>
  </si>
  <si>
    <t>[Massardier-Galata, Lauriane; Coquillard, Patrick] Univ Cote dAzur, Nice, France; [Massardier-Galata, Lauriane; Wajnberg, Eric; Coquillard, Patrick] Univ Cote dAzur, INRA, CNRS, ISA, Valbonne, France; [Morinay, Jennifer; Bailleul, Federic; Guinet, Christophe] CNRS, Ctr Etud Biol Chize, Villiers En Bois, France</t>
  </si>
  <si>
    <t>Universite Cote d'Azur; Centre National de la Recherche Scientifique (CNRS); INRAE; Universite Cote d'Azur; Centre National de la Recherche Scientifique (CNRS)</t>
  </si>
  <si>
    <t>Massardier-Galatà, L (corresponding author), Univ Cote dAzur, Nice, France.;Massardier-Galatà, L (corresponding author), Univ Cote dAzur, INRA, CNRS, ISA, Valbonne, France.</t>
  </si>
  <si>
    <t>lauriane.massardier@gmail.fr</t>
  </si>
  <si>
    <t>Morinay, Jennifer/R-4535-2019; Wajnberg, Eric/A-4862-2009; Guinet, Christophe/AAR-8457-2020</t>
  </si>
  <si>
    <t>Morinay, Jennifer/0000-0002-7905-9691;</t>
  </si>
  <si>
    <t>French ANR (Agence Nationale de la Recherche); French Provence-Alpes-COte d'Azur region</t>
  </si>
  <si>
    <t>French ANR (Agence Nationale de la Recherche)(Agence Nationale de la Recherche (ANR)); French Provence-Alpes-COte d'Azur region(Region Provence-Alpes-Cote d'Azur)</t>
  </si>
  <si>
    <t>This work was supported by the French ANR (Agence Nationale de la Recherche, MyctO3D-MAP, SVSE 7 2011, Y. Cherel). Ph.D. grant of the French Provence-Alpes-COte d'Azur region supported this work.</t>
  </si>
  <si>
    <t>e0173797</t>
  </si>
  <si>
    <t>10.1371/journal.pone.0173797</t>
  </si>
  <si>
    <t>ER9VG</t>
  </si>
  <si>
    <t>WOS:000399174600026</t>
  </si>
  <si>
    <t>Wang, XT; Sigman, DM; Prokopenko, MG; Adkins, JF; Robinson, LF; Hines, SK; Chai, J; Studer, AS; Martínez-García, A; Chen, T; Haug, GH</t>
  </si>
  <si>
    <t>Wang, Xingchen Tony; Sigman, Daniel M.; Prokopenko, Maria G.; Adkins, Jess F.; Robinson, Laura F.; Hines, Sophia K.; Chai, Junyi; Studer, Anja S.; Martinez-Garcia, Alfredo; Chen, Tianyu; Haug, Gerald H.</t>
  </si>
  <si>
    <t>Deep-sea coral evidence for lower Southern Ocean surface nitrate concentrations during the last ice age</t>
  </si>
  <si>
    <t>Southern Ocean; nutrient consumption; atmospheric CO2; ice ages</t>
  </si>
  <si>
    <t>BOUND ORGANIC NITROGEN; ATMOSPHERIC CO2; ISOTOPIC COMPOSITION; 2 MODES; IRON; FIXATION; RECORD; ZONE</t>
  </si>
  <si>
    <t>The Southern Ocean regulates the ocean's biological sequestration of CO2 and is widely suspected to underpin much of the ice age decline in atmospheric CO2 concentration, but the specific changes in the region are debated. Although more complete drawdown of surface nutrients by phytoplankton during the ice ages is supported by some sediment core-based measurements, the use of different proxies in different regions has precluded a unified view of Southern Ocean biogeochemical change. Here, we report measurements of the N-15/N-14 of fossil-bound organic matter in the stony deep-sea coral Desmophyllum dianthus, a tool for reconstructing surface ocean nutrient conditions. The central robust observation is of higher N-15/N-14 across the Southern Ocean during the Last Glacial Maximum (LGM), 18-25 thousand years ago. These data suggest a reduced summer surface nitrate concentration in both the Antarctic and Subantarctic Zones during the LGM, with little surface nitrate transport between them. After the ice age, the increase in Antarctic surface nitrate occurred through the deglaciation and continued in the Holocene. The rise in Subantarctic surface nitrate appears to have had both early deglacial and late deglacial/Holocene components, preliminarily attributed to the end of Subantarctic iron fertilization and increasing nitrate input from the surface Antarctic Zone, respectively.</t>
  </si>
  <si>
    <t>[Wang, Xingchen Tony; Sigman, Daniel M.] Princeton Univ, Dept Geosci, Princeton, NJ 08544 USA; [Wang, Xingchen Tony; Studer, Anja S.; Martinez-Garcia, Alfredo; Haug, Gerald H.] Max Planck Inst Chem, Climate Geochem Dept, D-55128 Mainz, Germany; [Prokopenko, Maria G.] Pomona Coll, Dept Geol, Claremont, CA 91711 USA; [Wang, Xingchen Tony; Adkins, Jess F.; Hines, Sophia K.] CALTECH, Div Geol &amp; Planetary Sci, Pasadena, CA 91125 USA; [Chen, Tianyu] Univ Bristol, Sch Earth Sci, Bristol Isotope Grp, Bristol BS8 1RJ, Avon, England; [Chai, Junyi] Princeton Univ, Atmospher &amp; Ocean Sci Program, Princeton, NJ 08544 USA; [Haug, Gerald H.] Swiss Fed Inst Technol, Inst Geol, CH-8092 Zurich, Switzerland</t>
  </si>
  <si>
    <t>Princeton University; Max Planck Society; Claremont Colleges; Pomona College; California Institute of Technology; University of Bristol; National Oceanic Atmospheric Admin (NOAA) - USA; Princeton University; Swiss Federal Institutes of Technology Domain; ETH Zurich</t>
  </si>
  <si>
    <t>Wang, XT (corresponding author), Princeton Univ, Dept Geosci, Princeton, NJ 08544 USA.;Wang, XT (corresponding author), Max Planck Inst Chem, Climate Geochem Dept, D-55128 Mainz, Germany.;Wang, XT (corresponding author), CALTECH, Div Geol &amp; Planetary Sci, Pasadena, CA 91125 USA.</t>
  </si>
  <si>
    <t>xingchen@caltech.edu</t>
  </si>
  <si>
    <t>Studer, Anja S/JVZ-4104-2024; Sigman, Daniel M./IYJ-2613-2023; Chai, Junyi/ABE-3915-2020; Adkins, Jess/GYI-8778-2022; Sigman, Daniel M./A-2649-2008; Martinez-Garcia, Alfredo/A-6244-2010; Wang, Xingchen Tony/C-7213-2012; Prokopenko, Maria/IZE-3162-2023</t>
  </si>
  <si>
    <t>Studer, Anja S/0000-0001-7354-8497; Sigman, Daniel M./0000-0002-7923-1973; Martinez-Garcia, Alfredo/0000-0002-7206-5079; Wang, Xingchen (Tony)/0000-0001-5316-789X; Robinson, Laura/0000-0001-6811-0140; Prokopenko, Maria/0000-0003-1529-6564</t>
  </si>
  <si>
    <t>National Science Foundation [OCE-1234664, PLR-1401489, OCE-1503129]; Charlotte Elizabeth Procter Fellowship of the Graduate School at Princeton University; Grand Challenges Program of Princeton University; European Research Council [278705]; Natural Environmental Research Council [NE/N003861/1]; Natural Environment Research Council [NE/N003861/1] Funding Source: researchfish; NERC [NE/N003861/1] Funding Source: UKRI</t>
  </si>
  <si>
    <t>National Science Foundation(National Science Foundation (NSF)); Charlotte Elizabeth Procter Fellowship of the Graduate School at Princeton University; Grand Challenges Program of Princeton University(Princeton University); European Research Council(European Research Council (ERC)); Natural Environmental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</si>
  <si>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thank two anonymous reviewers for their constructive comments. This work was supported by National Science Foundation Grants OCE-1234664 (to M.G.P. and D.M.S.), PLR-1401489 (to D.M.S.), and OCE-1503129 (to J.F.A.), the Charlotte Elizabeth Procter Fellowship of the Graduate School at Princeton University (to X.T.W.), the Grand Challenges Program of Princeton University (D.M.S.), European Research Council Grant 278705 (to L.F.R.), and Natural Environmental Research Council Grant NE/N003861/1 (to L.F.R.).</t>
  </si>
  <si>
    <t>1091-6490</t>
  </si>
  <si>
    <t>MAR 28</t>
  </si>
  <si>
    <t>10.1073/pnas.1615718114</t>
  </si>
  <si>
    <t>EP8DY</t>
  </si>
  <si>
    <t>Bronze, Green Published, Green Submitted, Green Accepted</t>
  </si>
  <si>
    <t>WOS:000397607300052</t>
  </si>
  <si>
    <t>Sukhodolov, T; Usoskin, I; Rozanov, E; Asvestari, E; Ball, WT; Curran, MAJ; Fischer, H; Kovaltsov, G; Miyake, F; Peter, T; Plummer, C; Schmutz, W; Severi, M; Traversi, R</t>
  </si>
  <si>
    <t>Sukhodolov, Timofei; Usoskin, Ilya; Rozanov, Eugene; Asvestari, Eleanna; Ball, William T.; Curran, Mark A. J.; Fischer, Hubertus; Kovaltsov, Gennady; Miyake, Fusa; Peter, Thomas; Plummer, Christopher; Schmutz, Werner; Severi, Mirko; Traversi, Rita</t>
  </si>
  <si>
    <t>Atmospheric impacts of the strongest known solar particle storm of 775 AD</t>
  </si>
  <si>
    <t>COSMIC-RAY EVENTS; ICE-CORES; PROTON EVENTS; TREE-RINGS; POLAR ICE; RADIATION; TRANSPORT; INCREASE; OZONE; MODEL</t>
  </si>
  <si>
    <t>Sporadic solar energetic particle (SEP) events affect the Earth's atmosphere and environment, in particular leading to depletion of the protective ozone layer in the Earth's atmosphere, and pose potential technological and even life hazards. The greatest SEP storm known for the last 11 millennia (the Holocene) occurred in 774-775 AD, serving as a likely worst-case scenario being 40-50 times stronger than any directly observed one. Here we present a systematic analysis of the impact such an extreme event can have on the Earth's atmosphere. Using state-of-the-art cosmic ray cascade and chemistry-climate models, we successfully reproduce the observed variability of cosmogenic isotope Be-10, around 775 AD, in four ice cores from Greenland and Antarctica, thereby validating the models in the assessment of this event. We add to prior conclusions that any nitrate deposition signal from SEP events remains too weak to be detected in ice cores by showing that, even for such an extreme solar storm and sub-annual data resolution, the nitrate deposition signal is indistinguishable from the seasonal cycle. We show that such a severe event is able to perturb the polar stratosphere for at least one year, leading to regional changes in the surface temperature during northern hemisphere winters.</t>
  </si>
  <si>
    <t>[Sukhodolov, Timofei; Rozanov, Eugene; Ball, William T.; Schmutz, Werner] Phys Meteorol Observ Davos World Radiat Ctr, Davos, Switzerland; [Sukhodolov, Timofei; Rozanov, Eugene; Ball, William T.; Peter, Thomas] Swiss Fed Inst Technol, Inst Atmospher &amp; Climate Sci, Zurich, Switzerland; [Usoskin, Ilya; Asvestari, Eleanna] Univ Oulu, Space Climate Res Grp, Oulu, Finland; [Usoskin, Ilya] Univ Oulu, Sodankyla Geophys Observ, Oulu, Finland; [Curran, Mark A. J.] Australian Antarctic Div, Dept Environm, Kingston, Tas, Australia; [Curran, Mark A. J.; Plummer, Christopher] Univ Tasmania, Antarctic Climate &amp; Ecosyst Cooperat Res Ctr, Hobart, Tas, Australia; [Fischer, Hubertus] Univ Bern, Inst Phys, Climate &amp; Environm Phys, Bern, Switzerland; [Fischer, Hubertus] Univ Bern, Oeschger Ctr Climate Change Res, Bern, Switzerland; [Kovaltsov, Gennady] Ioffe Phys Tech Inst RAS, St Petersburg, Russia; [Miyake, Fusa] Nagoya Univ, Inst Space Earth Environm Res, Nagoya, Aichi, Japan; [Plummer, Christopher] Univ Tasmania, Inst Marine &amp; Antarctic Studies, Hobart, Tas, Australia; [Severi, Mirko; Traversi, Rita] Univ Florence, Dept Chem Ugo Schiff, Florence, Italy</t>
  </si>
  <si>
    <t>Swiss Federal Institutes of Technology Domain; ETH Zurich; University of Oulu; University of Oulu; Australian Antarctic Division; Antarctic Climate &amp; Ecosystems Cooperative Research Centre (ACE CRC); University of Tasmania; University of Bern; University of Bern; Russian Academy of Sciences; St. Petersburg Scientific Centre of the Russian Academy of Sciences; Ioffe Physical Technical Institute; Nagoya University; University of Tasmania; University of Florence</t>
  </si>
  <si>
    <t>Sukhodolov, T (corresponding author), Phys Meteorol Observ Davos World Radiat Ctr, Davos, Switzerland.;Sukhodolov, T (corresponding author), Swiss Fed Inst Technol, Inst Atmospher &amp; Climate Sci, Zurich, Switzerland.</t>
  </si>
  <si>
    <t>timofei.sukhodolov@pmodwrc.ch</t>
  </si>
  <si>
    <t>Severi, Mirko/J-2508-2012; Ball, William T/I-4477-2017; Sukhodolov, Timofei/U-2561-2019; Rozanov, Eugene/V-1881-2018; Kovaltsov, Gennady A/F-5191-2014; Schmutz, Werner K/B-4153-2014; Miyake, Fusa/HLP-9694-2023; Peter, Thomas/B-2529-2018; Fischer, Hubertus/A-1211-2014; Usoskin, Ilya/E-5089-2014</t>
  </si>
  <si>
    <t>Rozanov, Eugene/0000-0003-0479-4488; Schmutz, Werner K/0000-0003-1159-5639; Miyake, Fusa/0000-0001-8002-9601; Peter, Thomas/0000-0002-7218-7156; Fischer, Hubertus/0000-0002-2787-4221; Usoskin, Ilya/0000-0001-8227-9081; Plummer, Christopher/0000-0002-9765-5753; Ball, William/0000-0002-1005-3670; Asvestari, Eleanna/0000-0002-6998-7224; Sukhodolov, Timofei/0000-0001-7100-738X</t>
  </si>
  <si>
    <t>Swiss National Science Foundation [200020_140573, 200020_153302, CRSI122-130642, CRSII2-147659]; Environmental Physics; Physics Institute; University of Bern by the Swiss National Science Foundation; ReSoLVE Centre of Excellence (Academy of Finland) [272157]; COST Action [ES1005]; Belgium (FNRS-CFB and FWO); Canada ( NRCan/GSC); China (CAS); Denmark (FIST); France (IPEV, CNRS/INSU, CEA and ANR); Germany (AWI); Iceland (RannIs); Japan (NIPR); South Korea (KOPRI); Netherlands (NWO/ALW); Sweden (VR); Switzerland (SNF); United Kingdom (NERC); USA (USNSF, Office of Polar Programs); Swiss National Science Foundation (SNF) [200020_153302, 200020_140573] Funding Source: Swiss National Science Foundation (SNF); Grants-in-Aid for Scientific Research [16K13802, 26887019] Funding Source: KAKEN</t>
  </si>
  <si>
    <t>Swiss National Science Foundation(Swiss National Science Foundation (SNSF)); Environmental Physics; Physics Institute; University of Bern by the Swiss National Science Foundation(Swiss National Science Foundation (SNSF)); ReSoLVE Centre of Excellence (Academy of Finland); COST Action(European Cooperation in Science and Technology (COST)); Belgium (FNRS-CFB and FWO)(Fonds de la Recherche Scientifique - FNRS); Canada ( NRCan/GSC)(Natural Resources Canada); China (CAS)(Chinese Academy of Sciences); Denmark (FIST)(Department of Science &amp; Technology (India)); France (IPEV, CNRS/INSU, CEA and ANR)(Agence Nationale de la Recherche (ANR)Centre National de la Recherche Scientifique (CNRS)); Germany (AWI); Iceland (RannIs); Japan (NIPR); South Korea (KOPRI)(Korea Polar Research Institute of Marine Research Placement (KOPRI)); Netherlands (NWO/ALW)(Netherlands Organization for Scientific Research (NWO)Netherlands Government); Sweden (VR)(Swedish Research Council); Switzerland (SNF); United Kingdom (NERC)(UK Research &amp; Innovation (UKRI)Natural Environment Research Council (NERC)); USA (USNSF, Office of Polar Programs); Swiss National Science Foundation (SNF)(Swiss National Science Foundation (SNSF)); Grants-in-Aid for Scientific Research(Ministry of Education, Culture, Sports, Science and Technology, Japan (MEXT)Japan Society for the Promotion of ScienceGrants-in-Aid for Scientific Research (KAKENHI))</t>
  </si>
  <si>
    <t>This research was funded in part by the Swiss National Science Foundation under grant agreements 200020_140573, 200020_153302, CRSI122-130642 (FUPSOL) and CRSII2-147659 (FUPSOL II). The long-termfunding of ice core research at the Division for Climate and Environmental Physics, Physics Institute, University of Bern by the Swiss National Science Foundation is gratefully acknowledged. This work was partly done in the framework of ReSoLVE Centre of Excellence (Academy of Finland, project 272157). Fruitful discussions with the COST Action ES1005 TOSCA (http://www.tosca-cost.eu) community are much appreciated. NEEM is directed and organized by the Centre of Ice and Climate at the Niels Bohr Institute and US NSF, Office of Polar Programs. It is supported by funding agencies and institutions in Belgium (FNRS-CFB and FWO), Canada ( NRCan/GSC), China (CAS), Denmark (FIST), France (IPEV, CNRS/INSU, CEA and ANR), Germany (AWI), Iceland (RannIs), Japan (NIPR), South Korea (KOPRI), The Netherlands (NWO/ALW), Sweden (VR), Switzerland (SNF), the United Kingdom (NERC) and the USA (USNSF, Office of Polar Programs). Authors thank Stephan Nyeki and Daria Govorukha for technical help.</t>
  </si>
  <si>
    <t>10.1038/srep45257</t>
  </si>
  <si>
    <t>EP7CL</t>
  </si>
  <si>
    <t>gold, Green Published, Green Accepted</t>
  </si>
  <si>
    <t>WOS:000397535200001</t>
  </si>
  <si>
    <t>Williams, HJ; Holton, MD; Shepard, ELC; Largey, N; Norman, B; Ryan, PG; Duriez, O; Scantlebury, M; Quintana, F; Magowan, EA; Marks, NJ; Alagaili, AN; Bennett, NC; Wilson, RP</t>
  </si>
  <si>
    <t>Williams, Hannah J.; Holton, Mark D.; Shepard, Emily L. C.; Largey, Nicola; Norman, Brad; Ryan, Peter G.; Duriez, Olivier; Scantlebury, Michael; Quintana, Flavio; Magowan, Elizabeth A.; Marks, Nikki J.; Alagaili, Abdulaziz N.; Bennett, Nigel C.; Wilson, Rory P.</t>
  </si>
  <si>
    <t>Identification of animal movement patterns using tri-axial magnetometry</t>
  </si>
  <si>
    <t>MOVEMENT ECOLOGY</t>
  </si>
  <si>
    <t>Magnetometer; Magnetic field; Bio-logging; Accelerometer; Animal behaviour; Behavioural consistency; Normal operational plane; Angular velocity</t>
  </si>
  <si>
    <t>FREE-LIVING ANIMALS; BODY ACCELERATION; BEHAVIORAL MODES; MARINE MAMMALS; DAILY DIARY; MOTION; PERFORMANCE; PERSPECTIVES; UNDERWATER; PENGUINS</t>
  </si>
  <si>
    <t>Background: Accelerometers are powerful sensors in many bio-logging devices, and are increasingly allowing researchers to investigate the performance, behaviour, energy expenditure and even state, of free- living animals. Another sensor commonly used in animal-attached loggers is the magnetometer, which has been primarily used in dead-reckoning or inertial measurement tags, but little outside that. We examine the potential of magnetometers for helping elucidate the behaviour of animals in a manner analogous to, but very different from, accelerometers. The particular responses of magnetometers to movement means that there are instances when they can resolve behaviours that are not easily perceived using accelerometers. Methods: We calibrated the tri-axial magnetometer to rotations in each axis of movement and constructed 3dimensional plots to inspect these stylised movements. Using the tri-axial data of Daily Diary tags, attached to individuals of number of animal species as they perform different behaviours, we used these 3-d plots to develop a framework with which tri-axial magnetometry data can be examined and introduce metrics that should help quantify movement and behaviour. Results: Tri-axial magnetometry data reveal patterns in movement at various scales of rotation that are not always evident in acceleration data. Some of these patterns may be obscure until visualised in 3D space as tri-axial spherical plots (m-spheres). A tag-fitted animal that rotates in heading while adopting a constant body attitude produces a ring of data around the pole of the m-sphere that we define as its Normal Operational Plane (NOP). Data that do not lie on this ring are created by postural rotations of the animal as it pitches and/or rolls. Consequently, stereotyped behaviours appear as specific trajectories on the sphere (m-prints), reflecting conserved sequences of postural changes (and/or angular velocities), which result from the precise relationship between body attitude and heading. This novel approach shows promise for helping researchers to identify and quantify behaviours in terms of animal body posture, including heading. Conclusion: Magnetometer-based techniques and metrics can enhance our capacity to identify and examine animal behaviour, either as a technique used alone, or one that is complementary to tri-axial accelerometry.</t>
  </si>
  <si>
    <t>[Williams, Hannah J.; Holton, Mark D.; Shepard, Emily L. C.; Largey, Nicola; Wilson, Rory P.] Swansea Univ, Coll Sci, Dept Biosci, Swansea SA2 8PP, W Glam, Wales; [Norman, Brad] ECOCEAN USA, ECOCEAN Inc Aust, 68a Railway St, Perth, WA 6011, Australia; [Ryan, Peter G.] Univ Cape Town, DST NRF Ctr Excellence, FitzPatrick Inst African Ornithol, ZA-7701 Rondebosch, South Africa; [Duriez, Olivier] Univ Paul Valery Montpellier, Univ Montpellier, EPHE, CEFE UMR 5175,CNRS, 1919 Route Mende, F-34293 Montpellier 5, France; [Scantlebury, Michael; Magowan, Elizabeth A.; Marks, Nikki J.] Queens Univ Belfast, Inst Global Food Secur, Sch Biol Sci, Belfast, Antrim, North Ireland; [Quintana, Flavio] Consejo Nacl Invest Cient &amp; Tecn, Ctr Nacl Patagon, RA-9120 Puerto Madryn, Chubut, Argentina; [Alagaili, Abdulaziz N.] King Saud Univ, Coll Sci, Dept Zool, KSU Mammals Res Chair, POB 2455, Riyadh 11451, Saudi Arabia; [Bennett, Nigel C.] Univ Pretoria, Dept Zool &amp; Entomol, Pretoria, South Africa</t>
  </si>
  <si>
    <t>Swansea University; University of Cape Town; National Research Foundation - South Africa; Centre National de la Recherche Scientifique (CNRS); CNRS - Institute of Ecology &amp; Environment (INEE); Universite de Montpellier; Universite PSL; Ecole Pratique des Hautes Etudes (EPHE); Queens University Belfast; Centro Nacional Patagonico (CENPAT); Consejo Nacional de Investigaciones Cientificas y Tecnicas (CONICET); King Saud University; University of Pretoria</t>
  </si>
  <si>
    <t>Williams, HJ (corresponding author), Swansea Univ, Coll Sci, Dept Biosci, Swansea SA2 8PP, W Glam, Wales.</t>
  </si>
  <si>
    <t>hannahwilliams1805@gmail.com</t>
  </si>
  <si>
    <t>Duriez, Olivier/R-4772-2016; Norman, Brad/ABG-1409-2021; Bennett, Nigel Charles/E-4238-2010; williams, hannah Jane/X-6156-2019; Alagaili, Abdulaziz/C-4278-2018</t>
  </si>
  <si>
    <t>Duriez, Olivier/0000-0003-1868-9750; williams, hannah Jane/0000-0002-6338-529X; Shepard, Emily/0000-0001-7325-6398; Alagaili, Abdulaziz/0000-0002-9733-4220; NORMAN, Bradley/0000-0003-0678-1197; Quintana, Flavio/0000-0003-0696-2545</t>
  </si>
  <si>
    <t>Deanship of Scientific Research at the King Saud University, Saudi Arabia [IRG_15-38]; South African National Antarctic Programme through the National Research Foundation; Swansea University Studentship; Royal Society/Wolfson fund</t>
  </si>
  <si>
    <t>Deanship of Scientific Research at the King Saud University, Saudi Arabia; South African National Antarctic Programme through the National Research Foundation; Swansea University Studentship; Royal Society/Wolfson fund</t>
  </si>
  <si>
    <t>Funding was provided by the Deanship of Scientific Research at the King Saud University, Saudi Arabia (project number IRG_15-38) and logistic and financial support by the South African National Antarctic Programme through the National Research Foundation. HW is funded by a Swansea University Studentship. This project as a whole was made possible by a generous grant from the Royal Society/Wolfson fund to build the Swansea University Visualization Suite.</t>
  </si>
  <si>
    <t>2051-3933</t>
  </si>
  <si>
    <t>MOV ECOL</t>
  </si>
  <si>
    <t>Mov. Ecol.</t>
  </si>
  <si>
    <t>MAR 27</t>
  </si>
  <si>
    <t>10.1186/s40462-017-0097-x</t>
  </si>
  <si>
    <t>EQ1GL</t>
  </si>
  <si>
    <t>WOS:000397817700001</t>
  </si>
  <si>
    <t>Hideo-Kajita, A; Waksman, R; Garcia-Garcia, HM</t>
  </si>
  <si>
    <t>Hideo-Kajita, Alexandre; Waksman, Ron; Garcia-Garcia, Hector M.</t>
  </si>
  <si>
    <t>ANTARCTIC: platelet function testing to adjust therapy</t>
  </si>
  <si>
    <t>LANCET</t>
  </si>
  <si>
    <t>Letter</t>
  </si>
  <si>
    <t>ANTIPLATELET THERAPY</t>
  </si>
  <si>
    <t>[Hideo-Kajita, Alexandre; Waksman, Ron; Garcia-Garcia, Hector M.] MedStar Washington Hosp Ctr, Sect Intervent Cardiol, Washington, DC 20010 USA</t>
  </si>
  <si>
    <t>MedStar Washington Hospital Center</t>
  </si>
  <si>
    <t>Garcia-Garcia, HM (corresponding author), MedStar Washington Hosp Ctr, Sect Intervent Cardiol, Washington, DC 20010 USA.</t>
  </si>
  <si>
    <t>hector.m.garciagarcia@medstar.net</t>
  </si>
  <si>
    <t>Garcia-Garcia, Hector Manuel/AAG-7471-2020</t>
  </si>
  <si>
    <t>Garcia-Garcia, Hector Manuel/0000-0001-5100-0471</t>
  </si>
  <si>
    <t>0140-6736</t>
  </si>
  <si>
    <t>1474-547X</t>
  </si>
  <si>
    <t>Lancet</t>
  </si>
  <si>
    <t>MAR 25</t>
  </si>
  <si>
    <t>10.1016/S0140-6736(17)30779-1</t>
  </si>
  <si>
    <t>Medicine, General &amp; Internal</t>
  </si>
  <si>
    <t>General &amp; Internal Medicine</t>
  </si>
  <si>
    <t>EP1KL</t>
  </si>
  <si>
    <t>WOS:000397143700026</t>
  </si>
  <si>
    <t>Gurbel, PA; Price, MJ; Dahlen, JR; Tantry, US</t>
  </si>
  <si>
    <t>Gurbel, Paul A.; Price, Matthew J.; Dahlen, Jeffrey R.; Tantry, Udaya S.</t>
  </si>
  <si>
    <t>PRASUGREL</t>
  </si>
  <si>
    <t>[Gurbel, Paul A.; Tantry, Udaya S.] Inova Heart &amp; Vasc Inst, Inova Ctr Thrombosis Res &amp; Drug Dev, Falls Church, VA 22042 USA; [Price, Matthew J.] Scripps Clin, La Jolla, CA 92037 USA; [Dahlen, Jeffrey R.] Hikari Dx, San Diego, CA USA</t>
  </si>
  <si>
    <t>Inova Fairfax Hospital; Scripps Research Institute</t>
  </si>
  <si>
    <t>Gurbel, PA (corresponding author), Inova Heart &amp; Vasc Inst, Inova Ctr Thrombosis Res &amp; Drug Dev, Falls Church, VA 22042 USA.</t>
  </si>
  <si>
    <t>paul.gurbel@inova.org</t>
  </si>
  <si>
    <t>Price, Matthew/AAJ-7679-2020</t>
  </si>
  <si>
    <t>Price, Matthew/0000-0002-7892-2430</t>
  </si>
  <si>
    <t>10.1016/S0140-6736(17)30780-8</t>
  </si>
  <si>
    <t>WOS:000397143700027</t>
  </si>
  <si>
    <t>Montalescot, G; Cayla, G</t>
  </si>
  <si>
    <t>Montalescot, Gilles; Cayla, Guillaume</t>
  </si>
  <si>
    <t>ANTARCTIC Investigators</t>
  </si>
  <si>
    <t>ANTARCTIC: platelet function testing to adjust therapy Authors' reply</t>
  </si>
  <si>
    <t>PERCUTANEOUS CORONARY INTERVENTION; ANTIPLATELET THERAPY; RANDOMIZED-TRIAL; REACTIVITY; PRASUGREL; CLOPIDOGREL</t>
  </si>
  <si>
    <t>[Montalescot, Gilles; Cayla, Guillaume; ANTARCTIC Investigators] Hop La Pitie Salpetriere, ACT Study Grp, Inst Cardiol, F-75013 Paris, France</t>
  </si>
  <si>
    <t>Assistance Publique Hopitaux Paris (APHP); Hopital Universitaire Pitie-Salpetriere - APHP; Sorbonne Universite</t>
  </si>
  <si>
    <t>Montalescot, G (corresponding author), Hop La Pitie Salpetriere, ACT Study Grp, Inst Cardiol, F-75013 Paris, France.</t>
  </si>
  <si>
    <t>gilles.montalescot@psl.aphp.fr</t>
  </si>
  <si>
    <t>10.1016/S0140-6736(17)30781-X</t>
  </si>
  <si>
    <t>WOS:000397143700028</t>
  </si>
  <si>
    <t>Sannino, F; Parrilli, E; Apuzzo, GA; de Pascale, D; Tedesco, P; Maida, I; Perrin, E; Fondi, M; Fani, R; Marino, G; Tutino, ML</t>
  </si>
  <si>
    <t>Sannino, Filomena; Parrilli, Ermenegilda; Apuzzo, Gennaro Antonio; de Pascale, Donatella; Tedesco, Pietro; Maida, Isabel; Perrin, Elena; Fondi, Marco; Fani, Renato; Marino, Gennaro; Tutino, Maria Luisa</t>
  </si>
  <si>
    <t>Pseudoalteromonas haloplanktis produces methylamine, a volatile compound active against Burkholderia cepacia complex strains</t>
  </si>
  <si>
    <t>NEW BIOTECHNOLOGY</t>
  </si>
  <si>
    <t>Pseudoalteromonas haloplanktis TAC125; Methylamine; Volatile organic compounds (VOCs); Burkholderia cepacia complex</t>
  </si>
  <si>
    <t>ANTI-BIOFILM ACTIVITY; TAC125; BACTERIA; ANTIBIOTICS; PROFILE; CRISIS; GENOME</t>
  </si>
  <si>
    <t>The Antarctic marine bacterium Pseudoalteromonas haloplanktis TAC125 has been reported to produce several Volatile Organic Compounds (VOCs), which are able to inhibit the growth of Burkholderia cepacia complex (Bcc) strains, opportunistic pathogens responsible for the infection of immune-compromised patients. However, no specific antibacterial VOCs have been identified to date. The purpose of the present study was to identify specific VOCs that contribute to Bcc inhibition by the Antarctic strain. When grown on defined medium containing D-gluconate and L-glutamate as carbon, nitrogen and energy sources, P. haloplanktis TAC125 is unable to inhibit the growth of Bcc strains. However, single addition of several amino acids to the defined medium restores the P. haloplanktis TAC125 inhibition ability. With the aim of identifying specific volatile compound/s responsible for Bcc inhibition, we set up an apparatus for VOC capture, accumulation, and storage. P. haloplanktis TAC125 was grown in an automatic fermenter which was connected to a cooling system to condense VOCs present in the exhaust air outlet. Upon addition of methionine to the growth medium, the VOC methylamine was produced by P. haloplanktis TAC125. Methylamine was found to inhibit the growth of several Bcc strains in a dose-dependent way. Although it was reported that P. haloplanktis TAC125 produces VOCs endowed with antimicrobial activity, this is the first demonstration that methylamine probably contributes to the anti-Bcc activity of P. haloplanktis TAC125 VOCs. (C) 2016 Elsevier B.V. All rights reserved.</t>
  </si>
  <si>
    <t>[Sannino, Filomena; Parrilli, Ermenegilda; Apuzzo, Gennaro Antonio; Marino, Gennaro; Tutino, Maria Luisa] Univ Naples Federico II, Dept Chem Sci, Complesso Univ Monte St Angelo,Via Cinthia, I-80126 Naples, Italy; [de Pascale, Donatella; Tedesco, Pietro] CNR, Inst Prot Biochem, Via Pietro Castellino 111, I-80126 Naples, Italy; [Maida, Isabel; Perrin, Elena; Fondi, Marco; Fani, Renato] Univ Florence, Dept Biol, Lab Microbial &amp; Mol Evolut, Via Madonna del Piano 6, I-50018 Florence, Italy</t>
  </si>
  <si>
    <t>University of Naples Federico II; Consiglio Nazionale delle Ricerche (CNR); Istituto di Biochimica delle Proteine (IBP-CNR); University of Florence</t>
  </si>
  <si>
    <t>Tutino, ML (corresponding author), Univ Naples Federico II, Dept Chem Sci, Complesso Univ Monte St Angelo,Via Cinthia, I-80126 Naples, Italy.</t>
  </si>
  <si>
    <t>filomena.sannino2@unina.it; erparril@unina.it; gen.apuzzo@gmail.com; d.depascale@ibp.cnr.it; p.tedesco@ibp.cnr.it; isabel.maida@unifi.it; elena.perrin@unifi.it; marco.fondi@unifi.it; renato.fani@unifi.it; gmarino@unina.it; tutino@unina.it</t>
  </si>
  <si>
    <t>TUTINO, MARIA LUISA/L-1834-2013; parrilli, ermenegilda/K-4616-2016; parrilli, ermenegilda/JAZ-0586-2023; Perrin, Elena/AAX-2762-2020; Tedesco, Pietro/AAB-5740-2021</t>
  </si>
  <si>
    <t>parrilli, ermenegilda/0000-0002-9002-5409; Perrin, Elena/0000-0001-5148-3178; Tutino, Maria Luisa/0000-0002-4978-6839; Tedesco, Pietro/0000-0003-0165-5386</t>
  </si>
  <si>
    <t>1871-6784</t>
  </si>
  <si>
    <t>1876-4347</t>
  </si>
  <si>
    <t>NEW BIOTECHNOL</t>
  </si>
  <si>
    <t>New Biotech.</t>
  </si>
  <si>
    <t>10.1016/j.nbt.2016.10.009</t>
  </si>
  <si>
    <t>Biochemical Research Methods; Biotechnology &amp; Applied Microbiology</t>
  </si>
  <si>
    <t>Biochemistry &amp; Molecular Biology; Biotechnology &amp; Applied Microbiology</t>
  </si>
  <si>
    <t>EF9UW</t>
  </si>
  <si>
    <t>WOS:000390677400002</t>
  </si>
  <si>
    <t>Schroeter, S; Hobbs, W; Bindoff, NL</t>
  </si>
  <si>
    <t>Schroeter, Serena; Hobbs, Will; Bindoff, Nathaniel L.</t>
  </si>
  <si>
    <t>Interactions between Antarctic sea ice and large-scale atmospheric modes in CMIP5 models</t>
  </si>
  <si>
    <t>SOUTHERN ANNULAR MODE; EXTRATROPICAL CIRCULATION; CLIMATE MODEL; SYSTEM MODEL; PART II; VARIABILITY; OCEAN; TRENDS</t>
  </si>
  <si>
    <t>The response of Antarctic sea ice to large-scale patterns of atmospheric variability varies according to sea ice sector and season. In this study, interannual atmosphere-sea ice interactions were explored using observations and reanalysis data, and compared with simulated interactions by models in the Coupled Model Intercomparison Project Phase 5 (CMIP5). Simulated relationships between atmospheric variability and sea ice variability generally reproduced the observed relationships, though more closely during the season of sea ice advance than the season of sea ice retreat. Atmospheric influence on sea ice is known to be strongest during advance, and it appears that models are able to capture the dominance of the atmosphere during advance. Simulations of ocean-atmosphere-sea ice interactions during retreat, however, require further investigation. A large proportion of model ensemble members overestimated the relative importance of the Southern Annular Mode (SAM) compared with other modes of high southern latitude climate, while the influence of tropical forcing was underestimated. This result emerged particularly strongly during the season of sea ice retreat. The zonal patterns of the SAM in many models and its exaggerated influence on sea ice overwhelm the comparatively underestimated meridional influence, suggesting that simulated sea ice variability would become more zonally symmetric as a result. Across the seasons of sea ice advance and retreat, three of the five sectors did not reveal a strong relationship with a pattern of largescale atmospheric variability in one or both seasons, indicating that sea ice in these sectors may be influenced more strongly by atmospheric variability unexplained by the major atmospheric modes, or by heat exchange in the ocean.</t>
  </si>
  <si>
    <t>[Schroeter, Serena; Bindoff, Nathaniel L.] Univ Tasmania, IMAS, Hobart, Tas 7004, Australia; [Schroeter, Serena; Hobbs, Will; Bindoff, Nathaniel L.] Australian Res Council Ctr Excellence Climate Sys, Hobart, Tas 7004, Australia; [Schroeter, Serena; Hobbs, Will; Bindoff, Nathaniel L.] ACE CRC, Hobart, Tas 7004, Australia; [Bindoff, Nathaniel L.] CSIRO Oceans &amp; Atmosphere, Hobart, Tas 7004, Australia</t>
  </si>
  <si>
    <t>Schroeter, S (corresponding author), Univ Tasmania, IMAS, Hobart, Tas 7004, Australia.;Schroeter, S (corresponding author), Australian Res Council Ctr Excellence Climate Sys, Hobart, Tas 7004, Australia.;Schroeter, S (corresponding author), ACE CRC, Hobart, Tas 7004, Australia.</t>
  </si>
  <si>
    <t>serena.schroeter@utas.edu.au</t>
  </si>
  <si>
    <t>Bindoff, Nathaniel Lee/C-8050-2011; Hobbs, Will/P-8094-2019; Bindoff, Nathaniel Lee/IVV-0333-2023</t>
  </si>
  <si>
    <t>Bindoff, Nathaniel Lee/0000-0001-5662-9519; Hobbs, Will/0000-0002-2061-0899; Bindoff, Nathaniel Lee/0000-0001-5662-9519; Schroeter, Serena/0000-0002-8963-3044</t>
  </si>
  <si>
    <t>Australian Government Research Training Program Scholarship through the University of Tasmania/CSIRO Quantitative Marine Science Programme; Australian Research Council Centre of Excellence for Climate System Science; Australian Government's Cooperative Research Centres Programme through the Antarctic Climate and Ecosystems Cooperative Research Center (ACE CRC) [4116]</t>
  </si>
  <si>
    <t>Australian Government Research Training Program Scholarship through the University of Tasmania/CSIRO Quantitative Marine Science Programme(Australian Government); Australian Research Council Centre of Excellence for Climate System Science(Australian Research Council); Australian Government's Cooperative Research Centres Programme through the Antarctic Climate and Ecosystems Cooperative Research Center (ACE CRC)(Australian GovernmentDepartment of Industry, Innovation and ScienceCooperative Research Centres (CRC) Programme)</t>
  </si>
  <si>
    <t>The authors thank Marilyn Raphael, Rob Massom, and two anonymous reviewers for their helpful comments in the preparation of this manuscript. Serena Schroeter was supported by an Australian Government Research Training Program Scholarship through the University of Tasmania/CSIRO Quantitative Marine Science Programme, and CMIP5 data management was supported by the Australian Research Council Centre of Excellence for Climate System Science. We acknowledge the World Climate Research Programme's Working Group on Coupled Modeling, which is responsible for CMIP, and we thank the climate modelling groups (listed in Table 1)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This work was supported by the Australian Government's Cooperative Research Centres Programme through the Antarctic Climate and Ecosystems Cooperative Research Center (ACE CRC), and contributes to AAS Project 4116.</t>
  </si>
  <si>
    <t>MAR 24</t>
  </si>
  <si>
    <t>10.5194/tc-11-789-2017</t>
  </si>
  <si>
    <t>ER6KD</t>
  </si>
  <si>
    <t>WOS:000398913200001</t>
  </si>
  <si>
    <t>Jin, P; Ding, JC; Xing, T; Riebesell, U; Gao, KS</t>
  </si>
  <si>
    <t>Jin, Peng; Ding, Jiancheng; Xing, Tao; Riebesell, Ulf; Gao, Kunshan</t>
  </si>
  <si>
    <t>High levels of solar radiation offset impacts of ocean acidification on calcifying and non-calcifying strains of Emiliania huxleyi</t>
  </si>
  <si>
    <t>Ocean acidification; Fluctuating light; UV radiation; Coccolithophore; Calcification</t>
  </si>
  <si>
    <t>ANTARCTIC DIATOM; UV IRRADIANCES; CARBON-DIOXIDE; COCCOLITHOPHORE; LIGHT; CO2; GROWTH; PHOTOSYNTHESIS; CALCIFICATION; TEMPERATURE</t>
  </si>
  <si>
    <t>Coccolithophores, a globally distributed group of marine phytoplankton, showed diverse responses to ocean acidification (OA) and to combinations of OA with other environmental factors. While their growth can be enhanced and calcification be hindered by OA under constant indoor light, fluctuation of solar radiation with ultraviolet irradiances might offset such effects. In this study, when a calcifying and a non-calcifying strain of Emiliania huxleyi were grown at 2 CO2 concentrations (low CO2 [LC]: 395 atm; high CO2 [HC]: 1000 atm) under different levels of incident solar radiation in the presence of ultraviolet radiation (UVR), HC and increased levels of solar radiation acted synergistically to enhance the growth in the calcifying strain but not in the noncalcifying strain. HC enhanced the particulate organic carbon (POC) and nitrogen (PON) productions in both strains, and this effect was more obvious at high levels of solar radiation. While HC decreased calcification at low solar radiation levels, it did not cause a significant effect at high levels of solar radiation, implying that a sufficient supply of light energy can offset the impact of OA on the calcifying strain. Our data suggest that increased light exposure, which is predicted to happen with shoaling of the upper mixing layer due to progressive warming, could counteract the impact of OA on coccolithophores distributed within this layer.</t>
  </si>
  <si>
    <t>[Jin, Peng; Ding, Jiancheng; Xing, Tao; Gao, Kunshan] Xiamen Univ, State Key Lab Marine Environm Sci, Coll Ocean &amp; Earth Sci, Xiamen 361102, Peoples R China; [Riebesell, Ulf] GEOMAR Helmholtz Ctr Ocean Res Kiel, Dusternbrooker Weg 20, D-24105 Kiel, Germany</t>
  </si>
  <si>
    <t>Xiamen University; Helmholtz Association; GEOMAR Helmholtz Center for Ocean Research Kiel</t>
  </si>
  <si>
    <t>Gao, KS (corresponding author), Xiamen Univ, State Key Lab Marine Environm Sci, Coll Ocean &amp; Earth Sci, Xiamen 361102, Peoples R China.</t>
  </si>
  <si>
    <t>ksgao@xmu.edu.cn</t>
  </si>
  <si>
    <t>gao, kunshan/G-3374-2010; Riebesell, Ulf/AAC-9717-2020; Jin, Peng/AAH-7858-2021</t>
  </si>
  <si>
    <t>Gao, Kunshan/0000-0001-7365-6332</t>
  </si>
  <si>
    <t>National Natural Science Foundation [41430967]; national key research programs [2016YFA0601400]; State Oceanic Administration (National Programme on Global Change and Air-Sea Interaction) [GASI-03-01-02-04]; Joint project of the National Natural Science Foundation of China and Shandong Province [U1606404]; Strategic Priority Research Program of the Chinese Academy of Sciences [XDA1102030204]</t>
  </si>
  <si>
    <t>National Natural Science Foundation(National Natural Science Foundation of China (NSFC)); national key research programs; State Oceanic Administration (National Programme on Global Change and Air-Sea Interaction); Joint project of the National Natural Science Foundation of China and Shandong Province; Strategic Priority Research Program of the Chinese Academy of Sciences(Chinese Academy of Sciences)</t>
  </si>
  <si>
    <t>This study was supported by the National Natural Science Foundation (41430967), the national key research programs (2016YFA0601400), the State Oceanic Administration (National Programme on Global Change and Air-Sea Interaction, GASI-03-01-02-04), the Joint project of the National Natural Science Foundation of China and Shandong Province (No. U1606404), and the Strategic Priority Research Program of the Chinese Academy of Sciences (No. XDA1102030204).</t>
  </si>
  <si>
    <t>10.3354/meps12042</t>
  </si>
  <si>
    <t>ER6JO</t>
  </si>
  <si>
    <t>Bronze, Green Accepted</t>
  </si>
  <si>
    <t>WOS:000398911600004</t>
  </si>
  <si>
    <t>Werbrouck, E; Vanreusel, A; Deregibus, D; Van Gansbeke, D; De Troch, M</t>
  </si>
  <si>
    <t>Werbrouck, Eva; Vanreusel, Ann; Deregibus, Dolores; Van Gansbeke, Dirk; De Troch, Marleen</t>
  </si>
  <si>
    <t>Antarctic harpacticoids exploit different trophic niches: a summer snapshot using fatty acid trophic markers (Potter Cove, King George Island)</t>
  </si>
  <si>
    <t>Copepods; Diet; Storage lipids; Epiphytic; Polar</t>
  </si>
  <si>
    <t>STABLE-ISOTOPE ANALYSIS; FOOD-WEB; PHYTOPLANKTON COMMUNITY; HERBIVOROUS COPEPODS; SOUTH SHETLAND; CLIMATE-CHANGE; PENINSULA; LIPIDS; DYNAMICS; ALGAE</t>
  </si>
  <si>
    <t>Unraveling food webs is a first step toward understanding of ecosystem functioning and a requirement to forecast climate-induced ecosystem responses. In this study, the organisms under examination were benthic copepods (order Harpacticoida) inhabiting a fjord-like environment on the southern coastline of King George Island at the northwestern tip of the Antarctic Peninsula, one of the most rapidly warming regions on Earth. Despite increased understanding of Antarctic food web structures, little is known about the feeding ecology of benthic copepods in these systems. A fatty acid trophic marker strategy was used to unravel the diet composition of Antarctic harpacticoid copepod species or assemblages collected from distinct habitats in summer. Their diverse storage fatty acid composition revealed the occupation of different trophic niches associated with their specific lifestyles, i. e. endobenthic or epiphytic with (Alteutha spp.) or without (Harpacticus sp.) frequent water column excursions. Moreover, the prevalence of biosynthesized.7 long-chain monounsaturated fatty acids in Harpacticus sp. and.9 fatty acids in Alteutha spp. further suggested adaptations to particular habitats in polar ecosystems, as different dietary precursors-16: 1 omega 7 (microphytobenthos, epiphytic diatoms) or 18: 1.9 (flagellates)-fuel these elongation pathways.</t>
  </si>
  <si>
    <t>[Werbrouck, Eva; Vanreusel, Ann; Van Gansbeke, Dirk; De Troch, Marleen] Univ Ghent, Marine Biol, Krijgslaan 281-S8, B-9000 Ghent, Belgium; [Deregibus, Dolores] Inst Antartico Argentino, Dept Biol Costera, RA-1650 San Martin, Buenos Aires, Argentina</t>
  </si>
  <si>
    <t>Ghent University; Instituto Antartico Argentino</t>
  </si>
  <si>
    <t>Werbrouck, E (corresponding author), Univ Ghent, Marine Biol, Krijgslaan 281-S8, B-9000 Ghent, Belgium.</t>
  </si>
  <si>
    <t>eva.werbrouck@ugent.be</t>
  </si>
  <si>
    <t>De Troch, Marleen/AAB-9809-2019</t>
  </si>
  <si>
    <t>De Troch, Marleen/0000-0002-6800-0299</t>
  </si>
  <si>
    <t>EU [319718]; Belspo project [BR/132/A1/VERSO]; Research Foundation of Flanders [FWO12/ASP/319]; FWO-Flanders [31523814]; project 'Energy transfer at the basis of marine food webs in a changing world' (Special Research Fund-Ghent University) [01N2816]</t>
  </si>
  <si>
    <t>EU(European Union (EU)); Belspo project(Belgian Federal Science Policy Office); Research Foundation of Flanders(FWO); FWO-Flanders(FWO); project 'Energy transfer at the basis of marine food webs in a changing world' (Special Research Fund-Ghent University)</t>
  </si>
  <si>
    <t>We thank the Alfred Wegener Institute and the Instituto Antartico Argentino for providing logistic support at the Dallmann laboratory at Carlini station (Potter Cove, King George Island) and for their assistance during the field campaign CAV 2013-2014. We also express our gratitude to the military and scientific staff at Carlini station. Special thanks go to Annegret Muller for laboratory assistance, to Guy De Smet for help with the logistic services and to Francesca Pasotti for fruitful discussions. We acknowledge the EU project Imconet (FP7 IRSES, action no. 319718) and the Belspo project BR/132/A1/VERSO. EW recognizes funding from the Research Foundation of Flanders in the form of an aspirant PhD grant (FWO12/ASP/319). The FA analyses were supported by FWO-Flanders in the form of research grant 31523814 'Fatty acids as dietary tracers in benthic food webs' awarded to M.D.T. This research contributes to research project 01N2816 'Energy transfer at the basis of marine food webs in a changing world' (Special Research Fund-Ghent University).</t>
  </si>
  <si>
    <t>10.3354/meps12047</t>
  </si>
  <si>
    <t>WOS:000398911600005</t>
  </si>
  <si>
    <t>Fauchald, P; Tarroux, A; Tveraa, T; Cherel, Y; Ropert-Coudert, Y; Kato, A; Love, OP; Varpe, O; Descamps, S</t>
  </si>
  <si>
    <t>Fauchald, Per; Tarroux, Arnaud; Tveraa, Torkild; Cherel, Yves; Ropert-Coudert, Yan; Kato, Akiko; Love, Oliver P.; Varpe, Oystein; Descamps, Sebastien</t>
  </si>
  <si>
    <t>Spring phenology shapes the spatial foraging behavior of Antarctic petrels</t>
  </si>
  <si>
    <t>Area-restricted search; Euphausia superba; Marginal ice zone; Phytoplankton biomass; Procellariiformes; Sea ice dynamics; Southern Ocean; Thalassoica antarctica</t>
  </si>
  <si>
    <t>DIEL VERTICAL MIGRATION; KRILL EUPHAUSIA-SUPERBA; CLIMATE-CHANGE; SEA-ICE; 1ST-PASSAGE TIME; PREDATORS; FOOD; VARIABILITY; ALBATROSSES; ECOSYSTEM</t>
  </si>
  <si>
    <t>In polar seas, the seasonal melting of ice triggers the development of an open-water ecosystem characterized by short-lived algal blooms, the grazing and development of zooplankton, and the influx of avian and mammalian predators. Spatial heterogeneity in the timing of ice melt generates temporal variability in the development of these events across the habitat, offering a natural framework to assess how foraging marine predators respond to the spring phenology. We combined 4 yr of tracking data of Antarctic petrels Thalassoica antarctica with synoptic remote-sensing data on sea ice and chlorophyll a to test how the development of melting ice and primary production drive Antarctic petrel foraging. Cross-correlation analyses of first-passage time revealed that Antarctic petrels utilized foraging areas with a spatial scale of 300 km. These areas changed position or disappeared within 10 to 30 d and showed no spatial consistency among years. Generalized additive model (GAM) analyses suggested that the presence of foraging areas was related to the time since ice melt. Antarctic petrels concentrated their search effort in melting areas and in areas that had reached an age of 50 to 60 d from the date of ice melt. We found no significant relationship between search effort and chlorophyll a concentration. We suggest that these foraging patterns were related to the vertical distribution and profitability of the main prey, the Antarctic krill Euphausia superba. Our study demonstrates that the annual ice melt in the Southern Ocean shapes the development of a highly patchy and elusive food web, underscoring the importance of flexible foraging strategies among top predators.</t>
  </si>
  <si>
    <t>[Fauchald, Per; Tveraa, Torkild] Norwegian Inst Nat Res, Fram Ctr, N-9296 Tromso, Norway; [Tarroux, Arnaud; Descamps, Sebastien] Norwegian Polar Res Inst, Fram Ctr, N-9296 Tromso, Norway; [Cherel, Yves; Ropert-Coudert, Yan; Kato, Akiko] Univ La Rochelle, CNRS, UMR7372, Ctr Etud Biol Chize, F-79360 Villiers En Bois, France; [Kato, Akiko] Inst Pluridisciplinaire Hubert Curien, CNRS UMR7178, F-67037 Strasbourg, France; [Love, Oliver P.] Univ Windsor, Dept Biol Sci, Windsor, ON N9B 3P4, Canada; [Varpe, Oystein] Univ Ctr Svalbard, N-9171 Longyearbyen, Norway; [Varpe, Oystein] Akvaplan Niva, Fram Ctr, N-9296 Tromso, Norway</t>
  </si>
  <si>
    <t>Norwegian Institute Nature Research; Norwegian Polar Institute; Centre National de la Recherche Scientifique (CNRS); CNRS - Institute of Ecology &amp; Environment (INEE); La Rochelle Universite; Centre National de la Recherche Scientifique (CNRS); CNRS - National Institute of Nuclear and Particle Physics (IN2P3); University of Windsor; University Centre Svalbard (UNIS); Akvaplan-niva</t>
  </si>
  <si>
    <t>Fauchald, P (corresponding author), Norwegian Inst Nat Res, Fram Ctr, N-9296 Tromso, Norway.</t>
  </si>
  <si>
    <t>per.fauchald@nina.no</t>
  </si>
  <si>
    <t>Tarroux, Arnaud/AAE-5173-2021; Varpe, Øystein/B-9693-2008; Kato, Akiko/W-2447-2019; Fauchald, Per/AAV-4242-2021</t>
  </si>
  <si>
    <t>Tarroux, Arnaud/0000-0001-8306-6694; Varpe, Øystein/0000-0002-5895-6983; Kato, Akiko/0000-0002-8947-3634</t>
  </si>
  <si>
    <t>Norwegian Antarctic Research Expedition program of the Norwegian Research Council [2011/70/8/KH]</t>
  </si>
  <si>
    <t>Norwegian Antarctic Research Expedition program of the Norwegian Research Council(Research Council of Norway)</t>
  </si>
  <si>
    <t>This work was supported by the Norwegian Antarctic Research Expedition program of the Norwegian Research Council (grant no. 2011/70/8/KH/ is to S.D.). We are very grateful to our dedicated field assistants (S. Haaland, G. Mabille, T. Nordstad, E. Soininen, and J. Sward). We thank H. Jensen for help with fieldwork in the 1996-97 season. We thank the logistic department at the Norwegian Polar Institute and the Troll Station summer and wintering teams for field support. N. G. Yoccoz gave valuable comments on earlier drafts.</t>
  </si>
  <si>
    <t>10.3354/meps12082</t>
  </si>
  <si>
    <t>WOS:000398911600015</t>
  </si>
  <si>
    <t>Clausius, E; McMahon, CR; Harcourt, R; Hindell, MA</t>
  </si>
  <si>
    <t>Clausius, E.; McMahon, C. R.; Harcourt, R.; Hindell, M. A.</t>
  </si>
  <si>
    <t>Effect of climate variability on weaning mass in a declining population of southern elephant seals Mirounga leonina</t>
  </si>
  <si>
    <t>Life history; Survival; Maternal expenditure; Sea ice</t>
  </si>
  <si>
    <t>KING-GEORGE-ISLAND; WEST ANTARCTICA; MATERNAL MASS; EL-NINO; LA-NINA; SURVIVAL; MOTHERS; TRENDS; GROWTH; PUPS</t>
  </si>
  <si>
    <t>With the global climate predicted to continue to change over the coming century, quantifying how animal populations respond to environmental variation is central for the prediction of future responses and consequences. To quantify how environmental change affects the foraging success of Macquarie Island female elephant seals Mirounga leonina, we related weaning mass - a function of maternal foraging success-to a series of intrinsic and extrinsic (environmental) covariates. We found that the weaning mass of elephant seals was positively related to the number of females ashore during the breeding season and negatively related to maximum sea ice extent in the Ross Sea region. Weaners weighed on average 3 kg more in years with more females ashore and 17 kg less in years of high ice extent. These relationships suggest that in years of poor female foraging conditions (i.e. high ice extent), Macquarie Island population growth is affected not only by a reduction in the number of females ashore for reproduction but also, given that weaning mass dictates first-year survival, by reduced pup survival rates. The decline in the Macquarie Island population over the past 60 yr has occurred concurrently with a positive trend in sea ice extent in the Ross Sea region. The negative relationship between weaning mass and sea ice extent suggests that the decline in the Macquarie Island population trajectory may, in part, be caused by increasing sea ice in the Ross Sea and mediated by a reduction in weaning mass, first-year survival and recruitment rates.</t>
  </si>
  <si>
    <t>[Clausius, E.; Hindell, M. A.] Univ Tasmania, Inst Marine &amp; Antarct Studies, Ctr Ecol &amp; Biodivers, Private Bag 129, Hobart, Tas 7001, Australia; [McMahon, C. R.; Harcourt, R.] Sydney Inst Marine Sci, 19 Chowder Bay Rd, Mosman, NSW 2088, Australia; [Harcourt, R.] Macquarie Univ, Dept Biol Sci, N Ryde, NSW 2109, Australia; [Hindell, M. A.] Univ Tasmania, Antarctic Climate &amp; Ecosyst CRC, Hobart, Tas 7001, Australia</t>
  </si>
  <si>
    <t>University of Tasmania; Sydney Institute of Marine Science; Macquarie University; University of Tasmania</t>
  </si>
  <si>
    <t>Hindell, MA (corresponding author), Univ Tasmania, Inst Marine &amp; Antarct Studies, Ctr Ecol &amp; Biodivers, Private Bag 129, Hobart, Tas 7001, Australia.;Hindell, MA (corresponding author), Univ Tasmania, Antarctic Climate &amp; Ecosyst CRC, Hobart, Tas 7001, Australia.</t>
  </si>
  <si>
    <t>mark.hindell@utas.edu.au</t>
  </si>
  <si>
    <t>Hindell, Mark A/K-1131-2013; McMahon, Clive R/D-5713-2013</t>
  </si>
  <si>
    <t>McMahon, Clive R/0000-0001-5241-8917; Harcourt, Robert/0000-0003-4666-2934; Hindell, Mark/0000-0002-7823-7185</t>
  </si>
  <si>
    <t>Australian National Antarctic Research Expeditions (ANARE); Australian government through the National Collaborative Research Infrastructure Strategy; Super Science Initiative</t>
  </si>
  <si>
    <t>Australian National Antarctic Research Expeditions (ANARE); Australian government through the National Collaborative Research Infrastructure Strategy(Australian GovernmentDepartment of Industry, Innovation and Science); Super Science Initiative</t>
  </si>
  <si>
    <t>We thank the expeditioners at Macquarie Island between 1993 and 2000 for their tireless efforts helping us to mark, weigh and measure seals. The Australian Antarctic Division through the Australian National Antarctic Research Expeditions (ANARE) supported this research. The study was carried out at Macquarie Island under ethics approval from the Australian Antarctic Animal Ethics Committee (AAS 2265 and AAS 2794) and the Tasmanian Parks and Wildlife Service. The seal tracking data were sourced from the Integrated Marine Observing System (IMOS). IMOS is supported by the Australian government through the National Collaborative Research Infrastructure Strategy and the Super Science Initiative. Logistics to Macquarie Island were provided by the Australian Antarctic Division.</t>
  </si>
  <si>
    <t>10.3354/meps12085</t>
  </si>
  <si>
    <t>WOS:000398911600018</t>
  </si>
  <si>
    <t>Belcher, A; Manno, C; Ward, P; Henson, SA; Sanders, R; Tarling, GA</t>
  </si>
  <si>
    <t>Belcher, Anna; Manno, Clara; Ward, Peter; Henson, Stephanie A.; Sanders, Richard; Tarling, Geraint A.</t>
  </si>
  <si>
    <t>Copepod faecal pellet transfer through the meso-and bathypelagic layers in the Southern Ocean in spring</t>
  </si>
  <si>
    <t>ABYSSAL NORTHEAST PACIFIC; SUB-ARCTIC PACIFIC; VERTICAL FLUX; SCOTIA SEA; MESOZOOPLANKTON COMMUNITY; PHYTOPLANKTON BLOOM; SINKING RATES; CARBON FLUX; PARTICULATE MATTER; MESOPELAGIC ZONE</t>
  </si>
  <si>
    <t>The faecal pellets (FPs) of zooplankton can be important vehicles for the transfer of particulate organic carbon (POC) to the deep ocean, often making large contributions to carbon sequestration. However, the routes by which these FPs reach the deep ocean have yet to be fully resolved. We address this by comparing estimates of copepod FP production to measurements of copepod FP size, shape, and number in the upper mesopelagic (175-205 m) using Marine Snow Catchers, and in the bathypelagic using sediment traps (1500-2000 m). The study is focussed on the Scotia Sea, which contains some of the most productive regions in the Southern Ocean, where epipelagic FP production is likely to be high. We found that, although the size distribution of the copepod community suggests that high numbers of small FPs are produced in the epipelagic, small FPs are rare in the deeper layers, implying that they are not transferred efficiently to depth. Consequently, small FPs make only a minor contribution to FP fluxes in the meso-and bathypelagic, particularly in terms of carbon. The dominant FPs in the upper mesopelagic were cylindrical and elliptical, while ovoid FPs were dominant in the bathypelagic. The change in FP morphology, as well as size distribution, points to the repacking of surface FPs in the mesopelagic and in situ production in the lower meso-and bathypelagic, which may be augmented by inputs of FPs via zooplankton vertical migrations. The flux of carbon to the deeper layers within the Southern Ocean is therefore strongly modulated by meso-and bathypelagic zooplankton, meaning that the community structure in these zones has a major impact on the efficiency of FP transfer to depth.</t>
  </si>
  <si>
    <t>[Belcher, Anna; Henson, Stephanie A.; Sanders, Richard] Natl Oceanog Ctr, Southampton SO14 3ZH, Hants, England; [Belcher, Anna] Univ Southampton, Southampton SO14 3ZH, Hants, England; [Manno, Clara; Ward, Peter; Tarling, Geraint A.] British Antarctic Survey, Cambridge CB3 0ET, England</t>
  </si>
  <si>
    <t>NERC National Oceanography Centre; University of Southampton; UK Research &amp; Innovation (UKRI); Natural Environment Research Council (NERC); NERC British Antarctic Survey</t>
  </si>
  <si>
    <t>Belcher, A (corresponding author), Natl Oceanog Ctr, Southampton SO14 3ZH, Hants, England.;Belcher, A (corresponding author), Univ Southampton, Southampton SO14 3ZH, Hants, England.</t>
  </si>
  <si>
    <t>a.belcher@noc.soton.ac.uk</t>
  </si>
  <si>
    <t>Henson, Stephanie/AAC-9709-2019; Sanders, Richard J/B-8717-2012</t>
  </si>
  <si>
    <t>Sanders, Richard J/0000-0002-6884-7131; Belcher, Anna/0000-0002-9583-5910</t>
  </si>
  <si>
    <t>NERC studentship of Anna Belcher [NE/1362197]; NERC AFI Collaborative Gearing Scheme grant; Ocean Ecosystems programme at British Antarctic Survey; NERC [bas0100035, noc010009] Funding Source: UKRI; Natural Environment Research Council [bas0100035, noc010009, 1362197] Funding Source: researchfish</t>
  </si>
  <si>
    <t>NERC studentship of Anna Belcher; NERC AFI Collaborative Gearing Scheme grant(UK Research &amp; Innovation (UKRI)Natural Environment Research Council (NERC)); Ocean Ecosystems programme at British Antarctic Survey; NERC(UK Research &amp; Innovation (UKRI)Natural Environment Research Council (NERC)); Natural Environment Research Council(UK Research &amp; Innovation (UKRI)Natural Environment Research Council (NERC))</t>
  </si>
  <si>
    <t>We would like to thank the crew, officers and scientists aboard the R.R.S. James Clark Ross during research cruises JR291 and JR304. Particular thanks to Elena Ceballos Romero, Fred le Moigne, Andy Richardson, and Manon Duret for their invaluable help with Marine Snow Catchers deployments. Thanks to Cecilia Liszka for providing information on the deep mesozooplankton community at our study site. Work was funded by the NERC studentship of Anna Belcher (NE/1362197). Fieldwork was supported by a NERC AFI Collaborative Gearing Scheme grant to Stephanie Henson. Geraint A. Tarling, and Clara Manno were supported by the Ocean Ecosystems programme at British Antarctic Survey.</t>
  </si>
  <si>
    <t>10.5194/bg-14-1511-2017</t>
  </si>
  <si>
    <t>EQ6LN</t>
  </si>
  <si>
    <t>gold, Green Accepted, Green Submitted</t>
  </si>
  <si>
    <t>WOS:000398193100003</t>
  </si>
  <si>
    <t>Enzor, LA; Hunter, EM; Place, SP</t>
  </si>
  <si>
    <t>Enzor, Laura A.; Hunter, Evan M.; Place, Sean P.</t>
  </si>
  <si>
    <t>The effects of elevated temperature and ocean acidification on the metabolic pathways of notothenioid fish</t>
  </si>
  <si>
    <t>CONSERVATION PHYSIOLOGY</t>
  </si>
  <si>
    <t>Energetics; global climate change; metabolism; notothenioid; ocean acidification; thermal stress</t>
  </si>
  <si>
    <t>TILAPIA OREOCHROMIS-MOSSAMBICUS; LONG-TERM ACCLIMATION; ACID-BASE REGULATION; ANTARCTIC FISH; PAGOTHENIA-BORCHGREVINKI; THERMAL TOLERANCE; OXYGEN; GILL; RESPONSES; LIVER</t>
  </si>
  <si>
    <t>The adaptations used by notothenioid fish to combat extreme cold may have left these fish poorly poised to deal with a changing environment. As such, the expected environmental perturbations brought on by global climate change have the potential to significantly affect the energetic demands and subsequent cellular processes necessary for survival. Despite recent lines of evidence demonstrating that notothenioid fish retain the ability to acclimate to elevated temperatures, the underlying mechanisms responsible for temperature acclimation in these fish remain largely unknown. Furthermore, little information exists on the capacity of Antarctic fish to respond to changes in multiple environmental variables. We have examined the effects of increased temperature and pCO(2) on the rate of oxygen consumption in three notothenioid species, Trematomus bernacchii, Pagothenia borchgrevinki, and Trematomus newnesi. We combined these measurements with analysis of changes in aerobic and anaerobic capacity, lipid reserves, fish condition, and growth rates to gain insight into the metabolic cost associated with acclimation to this dual stress. Our findings indicated that temperature is the major driver of the metabolic responses observed in these fish and that increased pCO(2) plays a small, contributing role to the energetic costs of the acclimation response. All three species displayed varying levels of energetic compensation in response to the combination of elevated temperature and pCO(2). While P. borchgrevinki showed nearly complete compensation of whole animal oxygen consumption rates and aerobic capacity, T. newnesi and T. bernacchii displayed only partial compensation in these metrics, suggesting that at least some notothenioids may require physiological trade-offs to fully offset the energetic costs of long-term acclimation to climate change related stressors.</t>
  </si>
  <si>
    <t>[Enzor, Laura A.] US EPA, Gulf Ecol Div, Gulf Breeze, FL 32561 USA; [Hunter, Evan M.] Univ South Carolina, Dept Biol Sci, Columbia, SC 29208 USA; [Place, Sean P.] Sonoma State Univ, Dept Biol, Rohnert Pk, CA 94928 USA</t>
  </si>
  <si>
    <t>United States Environmental Protection Agency; University of South Carolina System; University of South Carolina Columbia; California State University System; Sonoma State University</t>
  </si>
  <si>
    <t>Place, SP (corresponding author), Sonoma State Univ, Dept Biol, Rohnert Pk, CA 94928 USA.</t>
  </si>
  <si>
    <t>places@sonoma.edu</t>
  </si>
  <si>
    <t>National Science Foundation grant [PLR1040945, PLR1447291]; SPARC Graduate Research Grant from Office of the Vice President for Research at the University of South Carolina</t>
  </si>
  <si>
    <t>National Science Foundation grant(National Science Foundation (NSF)); SPARC Graduate Research Grant from Office of the Vice President for Research at the University of South Carolina</t>
  </si>
  <si>
    <t>This work was supported by a National Science Foundation grant (PLR1040945 and PLR1447291 to S.P.P.), and partially funded by a SPARC Graduate Research Grant from the Office of the Vice President for Research at the University of South Carolina to L.A.E.</t>
  </si>
  <si>
    <t>2051-1434</t>
  </si>
  <si>
    <t>CONSERV PHYSIOL</t>
  </si>
  <si>
    <t>Conserv. Physiol.</t>
  </si>
  <si>
    <t>cox019</t>
  </si>
  <si>
    <t>10.1093/conphys/cox019</t>
  </si>
  <si>
    <t>Biodiversity Conservation; Ecology; Environmental Sciences; Physiology</t>
  </si>
  <si>
    <t>Biodiversity &amp; Conservation; Environmental Sciences &amp; Ecology; Physiology</t>
  </si>
  <si>
    <t>EW6EK</t>
  </si>
  <si>
    <t>WOS:000402601300001</t>
  </si>
  <si>
    <t>Reiss, CS; Cossio, A; Santora, JA; Dietrich, KS; Murray, A; Mitchell, BG; Walsh, J; Weiss, EL; Gimpel, C; Jones, CD; Watters, GM</t>
  </si>
  <si>
    <t>Reiss, Christian S.; Cossio, Anthony; Santora, Jarrod A.; Dietrich, Kimberly S.; Murray, Alison; Mitchell, B. Greg; Walsh, Jennifer; Weiss, Elliot L.; Gimpel, Carla; Jones, Christopher D.; Watters, George M.</t>
  </si>
  <si>
    <t>Overwinter habitat selection by Antarctic krill under varying sea-ice conditions: implications for top predators and fishery management</t>
  </si>
  <si>
    <t>Southern Ocean; Antarctic krill; Fishery interactions; Sea ice; Commission for the Conservation of Antarctic Marine Living Resources; CCAMLR; Ocean warming</t>
  </si>
  <si>
    <t>SOUTH SHETLAND ISLANDS; CRAB-EATER SEALS; EUPHAUSIA-SUPERBA; CLIMATE-CHANGE; FUR SEALS; ENVIRONMENTAL-CHANGE; BRANSFIELD STRAIT; OCEAN ECOSYSTEMS; SUBMARINE-CANYON; SCOTIA SEA</t>
  </si>
  <si>
    <t>Climate change will affect Antarctic krill Euphausia superba, krill-dependent predators, and fisheries in the Southern Ocean as areas typically covered by sea ice become ice-free in some winters. Research cruises conducted around the South Shetland Islands of the Antarctic Peninsula during winters with contrasting ice conditions provide the first acoustic estimates of krill biomass, habitat use, and association with top predators to examine potential interactions with the krill fishery. Krill abundance was very low in offshore waters during all winters. In Bransfield Strait, median krill abundance was an order of magnitude higher (8 krill m(-2)) compared to summer (0.25 krill m(-2)), and this pattern was ob served in all winters regardless of ice cover. Acoustic estimates of krill biomass were also an order of magnitude higher (similar to 5 500 000 metric tons [t] in 2014) than a 15 yr summer average (520 000 t). Looking at krill-dependent predators, during winter, crabeater seals Lobodon carcinophagus were concentrated in Brans-field Strait where ice provided habitat, while Antarctic fur seals Arctocephalus gazella were more broadly distributed. Krill overwinter in coastal basin environments independent of ice and primary production and in an area that is becoming more frequently ice-free. While long-term projections of climate change have focused on changing krill habitat and productivity declines, more immediate impacts of ongoing climate change include increased risks of negative fishery-krill-predator interactions, alteration of upper trophic level community structure, and changes in the pelagic ecology of this system. Development of management strategies to mitigate the increased risk to krill populations and their dependent predators over management timescales will be necessary to minimize the impacts of long-term climate change.</t>
  </si>
  <si>
    <t>[Reiss, Christian S.; Cossio, Anthony; Dietrich, Kimberly S.; Walsh, Jennifer; Jones, Christopher D.; Watters, George M.] Southwest Fisheries Sci Ctr, Antarctic Ecosyst Res Div, La Jolla, CA 92037 USA; [Santora, Jarrod A.] Univ Calif Santa Cruz, Dept Appl Math &amp; Stat, Ctr Stock Assessment Res, Santa Cruz, CA 95060 USA; [Murray, Alison] Univ Nevada, Desert Res Inst, Reno, NV 89096 USA; [Mitchell, B. Greg; Weiss, Elliot L.] Univ Calif San Diego, Scripps Inst Oceanog, La Jolla, CA 92093 USA; [Gimpel, Carla] Univ Hawaii, Ctr Microbial Ecol Res &amp; Educ, Honolulu, HI 96822 USA</t>
  </si>
  <si>
    <t>University of California System; University of California Santa Cruz; Nevada System of Higher Education (NSHE); Desert Research Institute NSHE; University of Nevada Reno; University of California System; University of California San Diego; Scripps Institution of Oceanography; University of Hawaii System</t>
  </si>
  <si>
    <t>Reiss, CS (corresponding author), Southwest Fisheries Sci Ctr, Antarctic Ecosyst Res Div, La Jolla, CA 92037 USA.</t>
  </si>
  <si>
    <t>christian.reiss@noaa.gov</t>
  </si>
  <si>
    <t>Cossio, Anthony/HLX-3335-2023; Watters, George/HPE-2184-2023</t>
  </si>
  <si>
    <t>Watters, George/0000-0002-6989-1273; Weiss, Elliot/0000-0002-7713-6198</t>
  </si>
  <si>
    <t>10.3354/meps12099</t>
  </si>
  <si>
    <t>WOS:000398911600001</t>
  </si>
  <si>
    <t>Chang, D; Knapp, M; Enk, J; Lippold, S; Kircher, M; Lister, A; MacPhee, RDE; Widga, C; Czechowski, P; Sommer, R; Hodges, E; Stümpel, N; Barnes, I; Dalén, L; Derevianko, A; Germonpré, M; Hillebrand-Voiculescu, A; Constantin, S; Kuznetsova, T; Mol, D; Rathgeber, T; Rosendahl, W; Tikhonov, AN; Willerslev, E; Hannon, G; Lalueza-Fox, C; Joger, U; Poinar, H; Hofreiter, M; Shapiro, B</t>
  </si>
  <si>
    <t>Chang, Dan; Knapp, Michael; Enk, Jacob; Lippold, Sebastian; Kircher, Martin; Lister, Adrian; MacPhee, Ross D. E.; Widga, Christopher; Czechowski, Paul; Sommer, Robert; Hodges, Emily; Stuempel, Nikolaus; Barnes, Ian; Dalen, Love; Derevianko, Anatoly; Germonpre, Mietje; Hillebrand-Voiculescu, Alexandra; Constantin, Silviu; Kuznetsova, Tatyana; Mol, Dick; Rathgeber, Thomas; Rosendahl, Wilfried; Tikhonov, Alexey N.; Willerslev, Eske; Hannon, Greg; Lalueza-Fox, Carles; Joger, Ulrich; Poinar, Hendrik; Hofreiter, Michael; Shapiro, Beth</t>
  </si>
  <si>
    <t>The evolutionary and phylogeographic history of woolly mammoths: a comprehensive mitogenomic analysis</t>
  </si>
  <si>
    <t>ANCIENT DNA EXTRACTION; MULTIPLEX AMPLIFICATION; PHYLOGENETIC ANALYSIS; GENOMIC DISSOCIATION; MITOCHONDRIAL GENOME; POPULATION-DYNAMICS; MIGRATION PATTERNS; HYBRID SELECTION; DIVERGENCE; STRATEGIES</t>
  </si>
  <si>
    <t>Near the end of the Pleistocene epoch, populations of the woolly mammoth (Mammuthus primigenius) were distributed across parts of three continents, from western Europe and northern Asia through Beringia to the Atlantic seaboard of North America. Nonetheless, questions about the connectivity and temporal continuity of mammoth populations and species remain unanswered. We use a combination of targeted enrichment and high-throughput sequencing to assemble and interpret a data set of 143.</t>
  </si>
  <si>
    <t>[Chang, Dan; Shapiro, Beth] Univ Calif Santa Cruz, Dept Ecol &amp; Evolutionary Biol, Santa Cruz, CA 95064 USA; [Knapp, Michael] Univ Otago, Dept Anat, 270 Great King St, Dunedin 9016, New Zealand; [Enk, Jacob; Poinar, Hendrik] McMaster Univ, Dept Anthropol, McMaster Ancient DNA Ctr, 1280 Main St West, Hamilton, ON L8S 4L9, Canada; [Lippold, Sebastian] Max Planck Inst Evolutionary Anthropol, Dept Evolutionary Genet, Deutsch Pl 6, D-04103 Leipzig, Germany; [Kircher, Martin] Univ Washington, Dept Genome Sci, 3720 15th Ave NE, Seattle, WA 98195 USA; [Lister, Adrian; Barnes, Ian] Nat Hist Museum, Dept Earth Sci, Cromwell Rd, London SW7 5BD, England; [MacPhee, Ross D. E.] Amer Museum Nat Hist, Dept Mammal, 200 Cent Pk West, New York, NY 10024 USA; [Widga, Christopher] East Tennessee State Univ, Ctr Excellence Paleontol, 1212 Sunset Dr, Gray, TN 37615 USA; [Czechowski, Paul] Antarctic Biol Res Initiat, 31 Jobson Rd, Bolivar, SA 5110, Australia; [Sommer, Robert] Univ Rostock, Inst Biosci, Dept Zool, Univ Pl 2, D-18055 Rostock, Germany; [Hodges, Emily] Vanderbilt Univ, Sch Med, Dept Biochem, 2215 Garland Ave, Nashville, TN 37232 USA; [Stuempel, Nikolaus; Joger, Ulrich] Staatliches Nat Hist Museum Braunschweig, Pockelstr 10, D-38106 Braunschweig, Germany; [Dalen, Love] Swedish Museum Nat Hist, Dept Bioinformat &amp; Genet, POB 50007, S-10405 Stockholm, Sweden; [Derevianko, Anatoly] Russian Acad Sci, Siberian Branch, Inst Archaeol &amp; Ethnog, 17 Akad Lavrentieva, Novosibirsk 630090, Russia; [Germonpre, Mietje] Royal Belgian Inst Nat Sci, Operat Directorate Earth &amp; Hist Life, Vautierstr 29, B-1000 Brussels, Belgium; [Hillebrand-Voiculescu, Alexandra; Constantin, Silviu] Emil Racovita Inst Speleol, Frumoasa 31, Bucharest 01906, Romania; [Kuznetsova, Tatyana] Moscow MV Lomonosov State Univ, Fac Geol, Dept Palaeontol, Ul Leninskiye Gory 1, Moscow 119991, Russia; [Mol, Dick] Mammuthus Club Int, Gudumholm 41, NL-2133 HG Hoofddorp, Netherlands; [Rathgeber, Thomas] Staatliches Museum Nat Kunde Stuttgart Rosenstein, Gewann 1, D-70191 Stuttgart, Germany; [Rosendahl, Wilfried] Reiss Engelhorn Museen, Dept World Cultures &amp; Environm, C 5 Zeughaus, D-68159 Mannheim, Germany; [Tikhonov, Alexey N.] Russian Acad Sci, Inst Zool, Univ Skaya Nab 1, St Petersburg 199034, Russia; [Tikhonov, Alexey N.] North Eastern Fed Univ, Inst Appl Ecol, Lenina 1, Yakutsk, Russia; [Willerslev, Eske] Univ Copenhagen, Ctr GeoGenet, Norregade 10, DK-1165 Copenhagen, Denmark; [Willerslev, Eske] Univ Cambridge, Dept Zool, Downing St, Cambridge CB2 3EJ, England; [Willerslev, Eske] Sanger Inst, Wellcome Trust Genome Campus, Hinxton CB10 1SA, England; [Hannon, Greg] Univ Cambridge, CRUK Cambridge Inst, Robinson Way, Cambridge CB2 0RE, England; [Lalueza-Fox, Carles] CSIC UPF, Inst Evolutionary Biol, Doctor Aiguader 88, Barcelona 08003, Spain; [Hofreiter, Michael] Univ Potsdam, Inst Biochem &amp; Biol, Dept Math &amp; Nat Sci, Evolutionary Adapt Genom, Karl Liebknecht Str 24-25, D-14476 Potsdam, Germany</t>
  </si>
  <si>
    <t>University of California System; University of California Santa Cruz; University of Otago; McMaster University; Max Planck Society; University of Washington; University of Washington Seattle; Natural History Museum London; American Museum of Natural History (AMNH); University of Rostock; Vanderbilt University; Swedish Museum of Natural History; Russian Academy of Sciences; Institute of Archaeology &amp; Ethnography, Siberian Branch of Russian Academy of Sciences; Royal Belgian Institute of Natural Sciences; Emil Racovita Institute of Speleology; Lomonosov Moscow State University; Russian Academy of Sciences; Zoological Institute of the Russian Academy of Sciences; North-Eastern Federal University in Yakutsk; University of Copenhagen; University of Cambridge; Wellcome Trust Sanger Institute; CRUK Cambridge Institute; University of Cambridge; Consejo Superior de Investigaciones Cientificas (CSIC); CSIC-UPF - Institut de Biologia Evolutiva (IBE); Pompeu Fabra University; University of Potsdam</t>
  </si>
  <si>
    <t>Shapiro, B (corresponding author), Univ Calif Santa Cruz, Dept Ecol &amp; Evolutionary Biol, Santa Cruz, CA 95064 USA.</t>
  </si>
  <si>
    <t>bashapir@ucsc.edu</t>
  </si>
  <si>
    <t>Barnes, Ian C/B-8081-2008; Kircher, Martin/H-6909-2019; Willerslev, Eske/A-9619-2011; Tikhonov, Alexei/G-7478-2016; Kuznetsova, Tatiana V/B-2755-2016; Czechowski, Paul/M-4749-2019; Hofreiter, Michael/A-3996-2017; HILLEBRAND-VOICULESCU, ALEXANDRA/AAE-9775-2019; LALUEZA-FOX, CARLES/AAG-5341-2020; Germonpré, Mietje/O-5952-2014; Willerslev, Eske/AAA-5686-2019; Constantin, Silviu/D-1650-2010; Kircher, Martin/HDL-9392-2022; Kuznetsova, Tatyana/J-4806-2013; Dalen, Love/A-6686-2008; Derevianko, Anatoly P./Q-5975-2016</t>
  </si>
  <si>
    <t>Barnes, Ian C/0000-0001-8322-6918; Kircher, Martin/0000-0001-9278-5471; Willerslev, Eske/0000-0002-7081-6748; Czechowski, Paul/0000-0001-7894-4042; LALUEZA-FOX, CARLES/0000-0002-1730-5914; Germonpré, Mietje/0000-0001-8865-0937; HILLEBRAND-VOICULESCU, ALEXANDRA/0000-0002-9371-3004; Kuznetsova, Tatyana/0000-0003-4302-9607; Hodges, Emily/0000-0001-6513-610X; Dalen, Love/0000-0001-8270-7613; Chang, Dan/0000-0003-4942-3146; Derevianko, Anatoly P./0000-0003-1156-8331; Tikhonov, Alexei/0000-0002-7227-5797; Knapp, Michael/0000-0002-0937-5664; Lister, Adrian/0000-0002-7985-138X</t>
  </si>
  <si>
    <t>Packard Foundation; Gordon and Betty Moore Foundation; E.R.C. consolidator grant [310763]; Max-Planck-Society; German Research Foundation [HO 3492/1-1]; NSERC; Canada Research Chair; Lundbeck Foundation [R24-2008-2527, R109-2012-9995, R155-2013-16338, R38-2008-3048, R70-2010-6286] Funding Source: researchfish; Natural Environment Research Council [NE/J009490/1] Funding Source: researchfish; NERC [NE/J009490/1] Funding Source: UKRI</t>
  </si>
  <si>
    <t>Packard Foundation(The David &amp; Lucile Packard Foundation); Gordon and Betty Moore Foundation(Gordon and Betty Moore Foundation); E.R.C. consolidator grant(European Research Council (ERC)); Max-Planck-Society(Max Planck Society); German Research Foundation(German Research Foundation (DFG)); NSERC(Natural Sciences and Engineering Research Council of Canada (NSERC)); Canada Research Chair(Natural Resources CanadaCanadian Forest ServiceCanada Research Chairs); Lundbeck Foundation(Lundbeckfonden); Natural Environment Research Council(UK Research &amp; Innovation (UKRI)Natural Environment Research Council (NERC)); NERC(UK Research &amp; Innovation (UKRI)Natural Environment Research Council (NERC))</t>
  </si>
  <si>
    <t>We are grateful to the Senckenberg Natural History Collections Dresden, Department of Geology, for the permission of sampling. We thank Matthias Meyer for assistance with DNA extraction and sequencing, Enrique Baquedano and Diego J. Alvarez Lao for providing us with information on the Spanish Mammoth sites, and Javier Casado Hernandez for helping in the sampling of the bones curated at the Museo de los Origenes in Madrid. B.S. and D.C. were supported by grants to B.S. from the Packard Foundation and the Gordon and Betty Moore Foundation. M.H. is supported by E.R.C. consolidator grant 310763 GeneFlow. Data generation was funded by the Max-Planck-Society and the German Research Foundation (HO 3492/1-1). JE and HP were supported by an NSERC grant and a Canada Research Chair.</t>
  </si>
  <si>
    <t>MAR 22</t>
  </si>
  <si>
    <t>10.1038/srep44585</t>
  </si>
  <si>
    <t>EO9LF</t>
  </si>
  <si>
    <t>WOS:000397009500001</t>
  </si>
  <si>
    <t>Driemel, A; Fahrbach, E; Rohardt, G; Beszczynska-Möller, A; Boetius, A; Budéus, G; Cisewski, B; Engbrodt, R; Gauger, S; Geibert, W; Geprägs, P; Gerdes, D; Gersonde, R; Gordon, AL; Grobe, H; Hellmer, HH; Isla, E; Jacobs, SS; Janout, M; Jokat, W; Klages, M; Kuhn, G; Meincke, J; Ober, S; Osterhus, S; Peterson, RG; Rabe, B; Rudels, B; Schauer, U; Schröder, M; Schumacher, S; Sieger, R; Sildam, J; Soltwedel, T; Stangeew, E; Stein, M; Strass, VH; Thiede, J; Tippenhauer, S; Veth, C; von Appen, W; Weirig, M; Wisotzki, A; Wolf-Gladrow, DA; Kanzow, T</t>
  </si>
  <si>
    <t>Driemel, Amelie; Fahrbach, Eberhard; Rohardt, Gerd; Beszczynska-Moeller, Agnieszka; Boetius, Antje; Budeus, Gereon; Cisewski, Boris; Engbrodt, Ralph; Gauger, Steffen; Geibert, Walter; Gepraegs, Patrizia; Gerdes, Dieter; Gersonde, Rainer; Gordon, Arnold L.; Grobe, Hannes; Hellmer, Hartmut H.; Isla, Enrique; Jacobs, Stanley S.; Janout, Markus; Jokat, Wilfried; Klages, Michael; Kuhn, Gerhard; Meincke, Jens; Ober, Sven; Osterhus, Svein; Peterson, Ray G.; Rabe, Benjamin; Rudels, Bert; Schauer, Ursula; Schroeder, Michael; Schumacher, Stefanie; Sieger, Rainer; Sildam, Jueri; Soltwedel, Thomas; Stangeew, Elena; Stein, Manfred; Strass, Volker H.; Thiede, Joern; Tippenhauer, Sandra; Veth, Cornelis; von Appen, Wilken-Jon; Weirig, Marie-France; Wisotzki, Andreas; Wolf-Gladrow, Dieter A.; Kanzow, Torsten</t>
  </si>
  <si>
    <t>From pole to pole: 33 years of physical oceanography onboard R/V Polarstern</t>
  </si>
  <si>
    <t>Measuring temperature and salinity profiles in the world's oceans is crucial to understanding ocean dynamics and its influence on the heat budget, the water cycle, the marine environment and on our climate. Since 1983 the German research vessel and icebreaker Polarstern has been the platform of numerous CTD (conductivity, temperature, depth instrument) deployments in the Arctic and the Antarctic. We report on a unique data collection spanning 33 years of polar CTD data. In total 131 data sets (1 data set per cruise leg) containing data from 10 063 CTD casts are now freely available at doi: 10.1594/PANGAEA.860066. During this long period five CTD types with different characteristics and accuracies have been used. Therefore the instruments and processing procedures (sensor calibration, data validation, etc.) are described in detail. This compilation is special not only with regard to the quantity but also the quality of the data -the latter indicated for each data set using defined quality codes. The complete data collection includes a number of repeated sections for which the quality code can be used to investigate and evaluate long-term changes. Beginning with 2010, the salinity measurements presented here are of the highest quality possible in this field owing to the introduction of the OPTIMARE Precision Salinometer.</t>
  </si>
  <si>
    <t>[Driemel, Amelie; Fahrbach, Eberhard; Rohardt, Gerd; Boetius, Antje; Budeus, Gereon; Geibert, Walter; Gerdes, Dieter; Gersonde, Rainer; Grobe, Hannes; Hellmer, Hartmut H.; Janout, Markus; Jokat, Wilfried; Kuhn, Gerhard; Rabe, Benjamin; Schauer, Ursula; Schroeder, Michael; Schumacher, Stefanie; Sieger, Rainer; Soltwedel, Thomas; Strass, Volker H.; Thiede, Joern; Tippenhauer, Sandra; von Appen, Wilken-Jon; Wisotzki, Andreas; Wolf-Gladrow, Dieter A.; Kanzow, Torsten] Alfred Wegener Inst Helmholtz Zentrum Polar &amp; Mee, Bremerhaven, Germany; [Beszczynska-Moeller, Agnieszka] Polish Acad Sci, Inst Oceanog, Sopot, Poland; [Cisewski, Boris; Stein, Manfred] Thunen Inst Seefischerei, Hamburg, Germany; [Gepraegs, Patrizia] MARUM Zentrum Marine Umweltwissenschaften, Bremen, Germany; [Gordon, Arnold L.; Jacobs, Stanley S.] Columbia Univ, Lamont Doherty Earth Observ, New York, NY USA; [Isla, Enrique] Inst Marine Sci CSIC, Barcelona, Spain; [Klages, Michael] Univ Gothenburg, Dept Marine Sci, Gothenburg, Sweden; [Meincke, Jens] Inst Meereskunde, Hamburg, Germany; [Ober, Sven; Veth, Cornelis] Royal Netherlands Inst Sea Res, Thorntje, Netherlands; [Osterhus, Svein] Uni Res Climate, Bergen, Norway; [Peterson, Ray G.] Univ Calif San Diego, Scripps Inst Oceanog, San Diego, CA 92103 USA; [Rudels, Bert] Univ Helsinki, Helsinki, Finland; [Sildam, Jueri] Ctr Maritime Res &amp; Expt, La Spezia, Italy</t>
  </si>
  <si>
    <t>Helmholtz Association; Alfred Wegener Institute, Helmholtz Centre for Polar &amp; Marine Research; Polish Academy of Sciences; Johann Heinrich von Thunen Institute; Columbia University; Consejo Superior de Investigaciones Cientificas (CSIC); CSIC - Centro Mediterraneo de Investigaciones Marinas y Ambientales (CMIMA); CSIC - Instituto de Ciencias del Mar (ICM); University of Gothenburg; Utrecht University; Royal Netherlands Institute for Sea Research (NIOZ); University of California System; University of California San Diego; Scripps Institution of Oceanography; University of Helsinki</t>
  </si>
  <si>
    <t>Rohardt, G (corresponding author), Alfred Wegener Inst Helmholtz Zentrum Polar &amp; Mee, Bremerhaven, Germany.</t>
  </si>
  <si>
    <t>Gerd.Rohardt@awi.de</t>
  </si>
  <si>
    <t>Gordon, Arnold/H-1049-2011; Janout, Markus/AAI-7219-2020; Tippenhauer, Sandra/AAC-5153-2019; Soltwedel, Thomas/P-1852-2016; Rabe, Benjamin/G-2999-2011; Geibert, Walter/ABA-9785-2020; Cisewski, Boris/GWV-4320-2022; Schumacher, Stefanie/R-6427-2017; Boetius, Antje/D-5459-2013</t>
  </si>
  <si>
    <t>Tippenhauer, Sandra/0000-0003-3405-6275; Soltwedel, Thomas/0000-0002-8214-5937; Rabe, Benjamin/0000-0001-5794-9856; Geibert, Walter/0000-0001-8646-2334; Cisewski, Boris/0000-0002-1130-6107; Jokat, Wilfried/0000-0002-7793-5854; Kanzow, Torsten/0000-0002-5786-3435; Janout, Markus/0000-0003-4908-2855; Osterhus, Svein/0000-0001-9915-2685; Sildam, Juri/0000-0002-2900-609X; Beszczynska-Moller, Agnieszka/0000-0002-8108-6306; Boetius, Antje/0000-0003-2117-4176; Driemel, Amelie/0000-0001-8667-5217; Isla, Enrique/0000-0003-4959-6936; Hellmer, Hartmut/0000-0002-9357-9853</t>
  </si>
  <si>
    <t>MAR 21</t>
  </si>
  <si>
    <t>10.5194/essd-9-211-2017</t>
  </si>
  <si>
    <t>EQ2GV</t>
  </si>
  <si>
    <t>WOS:000397887600001</t>
  </si>
  <si>
    <t>Hastings, KK</t>
  </si>
  <si>
    <t>Hastings, Kelly K.</t>
  </si>
  <si>
    <t>Survival of Steller sea lion (Eumetopias jubatus) pups during the first months of life at the Forrester Island complex, Alaska</t>
  </si>
  <si>
    <t>JOURNAL OF MAMMALOGY</t>
  </si>
  <si>
    <t>annual variation; Eumetopias jubatus; mark-recapture; maternal effects; population dynamics</t>
  </si>
  <si>
    <t>MATERNAL ATTENDANCE PATTERNS; NORTHERN ELEPHANT SEALS; ANTARCTIC FUR SEALS; ARCTOCEPHALUS-GAZELLA; POPULATION-DYNAMICS; TEMPORAL VARIATION; MARKED ANIMALS; SOUTH-GEORGIA; MORTALITY; AGE</t>
  </si>
  <si>
    <t>Mark-recapture models and a sample of 607 Steller sea lion (SSL, Eumetopias jubatus) pups born to individually marked, known-aged females were used to estimate pup survival probabilities from birth to approximately 2 months of age over 8 years (2007-2014) at the Forrester Island complex, the largest rookery in Alaska. Survival of pups was lowest (0.846/week) early in the season when pupping areas were less dense than after the time of maximum counts of adults (&gt;= 18 June, 0.972/week). Survival was lowest in the first 2 weeks of life and then consistently high after 2 weeks of age. After including age effects, survival was lowest for pups born &lt; 9 June and for pups of 5-7-year-old mothers than 8-20-year-old mothers. Compared to average survival over 6 other years, pup survival to 3 weeks of age was similar to 20% lower in 2010, due to a prolonged storm during the middle of the active pupping period, and in 2013, for unknown reasons but not storm-related. Average survival to 3 weeks of age was 0.79, suggesting neonatal mortality was significant and likely important to population dynamics at this stable rookery and in shaping reproductive strategies of females. To prevent disturbance of very young pups and their mothers, SSL pups are first marked for long-term mark-recapture studies at approximately 3 weeks of age throughout their range. When the high neonatal mortality rate observed in this study was ignored, the positively biased model-based population trend estimate (2.3%/year) was triple the estimate produced when the 1st-year survival estimate included neonatal mortality (0.7%/year).</t>
  </si>
  <si>
    <t>[Hastings, Kelly K.] Alaska Dept Fish &amp; Game, Div Wildlife Conservat, 333 Raspberry Rd, Anchorage, AK 99518 USA</t>
  </si>
  <si>
    <t>Alaska Department of Fish &amp; Game</t>
  </si>
  <si>
    <t>Hastings, KK (corresponding author), Alaska Dept Fish &amp; Game, Div Wildlife Conservat, 333 Raspberry Rd, Anchorage, AK 99518 USA.</t>
  </si>
  <si>
    <t>kelly.hastings@alaska.gov</t>
  </si>
  <si>
    <t>Alaska Maritime National Wildlife Refuge [358-1564, 358-1769, 358-1888, 14325]; National Marine Fisheries Service, Alaska Region [NA17FX1079, NA04NMF4390170, NA08NMF4390544, NA11NMF4390200]</t>
  </si>
  <si>
    <t>Alaska Maritime National Wildlife Refuge; National Marine Fisheries Service, Alaska Region</t>
  </si>
  <si>
    <t>Special thanks are due L. Jemison for many years of project coordination. Thanks are also due to the Lowrie Island camp leaders: S. Lewis and B. Van Burgh, and Steller sea lion field work coordinators: T. Gage, J. Jenniges, J. King, and G. Snedgen for invaluable contribution. I also thank the many people who collected data from Lowrie Island, particularly J. Carie, T. Lehnhart, T. Visscher, and S. Youngstrom for many years of data collection during the period of this study. This manuscript benefited greatly from reviews by L. Jemison, J. Laake, G. Pendleton, and several anonymous reviewers. This study followed the guidelines of the American Society of Mammalogists for care and use of live animals (Sikes et al. 2016), and animal observation procedures were reviewed and approved under United States Marine Mammal permits issued to ADFG. This work was conducted under permits granted by the Alaska Maritime National Wildlife Refuge to ADFG for work at Lowrie Island and under United States Marine Mammal Permits 358-1564, 358-1769, 358-1888, and 14325. Funding for this research was provided by the National Marine Fisheries Service, Alaska Region, through awards NA17FX1079, NA04NMF4390170, NA08NMF4390544, and NA11NMF4390200 to ADFG.</t>
  </si>
  <si>
    <t>0022-2372</t>
  </si>
  <si>
    <t>1545-1542</t>
  </si>
  <si>
    <t>J MAMMAL</t>
  </si>
  <si>
    <t>J. Mammal.</t>
  </si>
  <si>
    <t>10.1093/jmammal/gyw182</t>
  </si>
  <si>
    <t>EQ4GH</t>
  </si>
  <si>
    <t>WOS:000398033100008</t>
  </si>
  <si>
    <t>Cavan, EL; Trimmer, M; Shelley, F; Sanders, R</t>
  </si>
  <si>
    <t>Cavan, E. L.; Trimmer, M.; Shelley, F.; Sanders, R.</t>
  </si>
  <si>
    <t>Remineralization of particulate organic carbon in an ocean oxygen minimum zone</t>
  </si>
  <si>
    <t>SINKING VELOCITY; MARINE SNOW; RESPIRATION RATES; DEFICIENT ZONE; SURFACE-AREA; ARABIAN SEA; NITROGEN; FLUX; ZOOPLANKTON; MATTER</t>
  </si>
  <si>
    <t>Biological oceanic processes, principally the surface production, sinking and interior remineralization of organic particles, keep atmospheric CO2 lower than if the ocean was abiotic. The remineralization length scale (RLS, the vertical distance over which organic particle flux declines by 63%, affected by particle respiration, fragmentation and sinking rates) controls the size of this effect and is anomalously high in oxygen minimum zones (OMZ). Here we show in the Eastern Tropical North Pacific OMZ 70% of POC remineralization is due to microbial respiration, indicating that the high RLS is the result of lower particle fragmentation by zooplankton, likely due to the almost complete absence of zooplankton particle interactions in OMZ waters. Hence, the sensitivity of zooplankton to ocean oxygen concentrations can have direct implications for atmospheric carbon sequestration. Future expansion of OMZs is likely to increase biological ocean carbon storage and act as a negative feedback on climate change.</t>
  </si>
  <si>
    <t>[Cavan, E. L.; Sanders, R.] Natl Oceanog Ctr, European Way, Southampton SO14 3ZH, Hants, England; [Cavan, E. L.] Univ Southampton, Natl Oceanog Ctr, European Way, Southampton SO14 3ZH, Hants, England; [Trimmer, M.; Shelley, F.] Queen Mary Univ London, Mile End Rd, London E1 4NS, England; [Cavan, E. L.] Univ Tasmania, Inst Marine &amp; Antarctic Studies, Hobart, Tas 7005, Australia</t>
  </si>
  <si>
    <t>University of Southampton; NERC National Oceanography Centre; University of Southampton; NERC National Oceanography Centre; University of London; Queen Mary University London; University of Tasmania</t>
  </si>
  <si>
    <t>Cavan, EL (corresponding author), Natl Oceanog Ctr, European Way, Southampton SO14 3ZH, Hants, England.;Cavan, EL (corresponding author), Univ Southampton, Natl Oceanog Ctr, European Way, Southampton SO14 3ZH, Hants, England.;Cavan, EL (corresponding author), Univ Tasmania, Inst Marine &amp; Antarctic Studies, Hobart, Tas 7005, Australia.</t>
  </si>
  <si>
    <t>emma.cavan@utas.edu.au</t>
  </si>
  <si>
    <t>Trimmer, Mark/HGT-8823-2022; Trimmer, Mark/ABB-2336-2021; Sanders, Richard J/B-8717-2012</t>
  </si>
  <si>
    <t>Trimmer, Mark/0000-0002-9859-5537; Sanders, Richard J/0000-0002-6884-7131; cavan, emma/0000-0003-1099-6705</t>
  </si>
  <si>
    <t>NERC [NE/E01559X/1]; NERC [noc010009, NE/E015263/1] Funding Source: UKRI; Natural Environment Research Council [noc010009, NE/E015263/1] Funding Source: researchfish</t>
  </si>
  <si>
    <t>NERC(UK Research &amp; Innovation (UKRI)Natural Environment Research Council (NERC)); NERC(UK Research &amp; Innovation (UKRI)Natural Environment Research Council (NERC)); Natural Environment Research Council(UK Research &amp; Innovation (UKRI)Natural Environment Research Council (NERC))</t>
  </si>
  <si>
    <t>We thank the Guatemalan government and their Navy for access to their territorial waters. We are also grateful to the crew for their support during cruise JC097 onboard the RRS James Cook. We also thank Annika Moje from Jacobs University, Germany, for analysing the POC samples. Thanks also to Mike Zubkov for his assistance in measuring the sinking rates of particles. This work was funded by a NERC standard grant NE/E01559X/1.</t>
  </si>
  <si>
    <t>10.1038/ncomms14847</t>
  </si>
  <si>
    <t>EO7FZ</t>
  </si>
  <si>
    <t>WOS:000396857900001</t>
  </si>
  <si>
    <t>Ballester-Tomás, L; Prieto, JA; Gil, JV; Baeza, M; Randez-Gil, F</t>
  </si>
  <si>
    <t>Ballester-Tomas, Lidia; Prieto, Jose A.; Gil, Jose V.; Baeza, Marcelo; Randez-Gil, Francisca</t>
  </si>
  <si>
    <t>The Antarctic yeast Candida sake: Understanding cold metabolism impact on wine</t>
  </si>
  <si>
    <t>INTERNATIONAL JOURNAL OF FOOD MICROBIOLOGY</t>
  </si>
  <si>
    <t>Wine yeast; Low temperature; Ethanol; Sorbitol; Wine aroma</t>
  </si>
  <si>
    <t>NON-SACCHAROMYCES YEAST; LOW-TEMPERATURE; ETHANOL TOLERANCE; SUGAR-TRANSPORT; CEREVISIAE; STRAINS; FERMENTATION; EXPRESSION; DIVERSITY; ACETOIN</t>
  </si>
  <si>
    <t>Current winemaking trends include low-temperature fermentations and using non-Saccharomyces yeasts as the most promising tools to produce lower alcohol and increased aromatic complexity wines. Here we explored the oenological attributes of a C. sake strain, H14Cs, isolated in the sub-Antarctic region. As expected, the cold sea water yeast strain showed greater cold growth, Na+-toxicity resistance and freeze tolerance than the S. cerevisiae QA23 strain, which we used as a commercial wine yeast control. C. sake H14Cs was found to be more sensitive to ethanol. The fermentation trials of low-sugar content must demonstrated that C. sake H14Cs allowed the cold-induced lag phase of growth to be eliminated and also notably reduced the ethanol (-30%) and glycerol (-50%) content in wine. Instead C sake produced sorbitol as a compatible osmolyte. Finally, the inspection of the main wine volatile compounds revealed that C. sake produced more higher alcohols than S. cerevisiae. In conclusion, our work evidences that using the Antarctic C. sake H14Cs yeast improves low-temperature must fermentations and has the potential to provide a wine with less ethanol and also particular attributes. (C) 2017 Elsevier B.V. All rights reserved.</t>
  </si>
  <si>
    <t>[Ballester-Tomas, Lidia; Prieto, Jose A.; Gil, Jose V.; Randez-Gil, Francisca] Inst Agroquim Tecnol Alimentos CSIC, Dept Biotechnol, Av Agustin Escardino 7, Valencia 46980, Spain; [Gil, Jose V.] Univ Valencia, Fac Pharm, Food Technol Area, Av Vicente Andres Estella S N,46100 Burjassot, Valencia 46100, Spain; [Baeza, Marcelo] Univ Chile, Fac Ciencias, Dept Ciencias Ecol, Palmeras 3425,Casilla 653, Santiago, Chile</t>
  </si>
  <si>
    <t>Consejo Superior de Investigaciones Cientificas (CSIC); University of Valencia; Universidad de Chile</t>
  </si>
  <si>
    <t>Randez-Gil, F (corresponding author), Inst Agroquim Tecnol Alimentos CSIC, Dept Biotechnol, Av Agustin Escardino 7, Valencia 46980, Spain.</t>
  </si>
  <si>
    <t>randez@iata.csic.es</t>
  </si>
  <si>
    <t>/C-6686-2008; Randez-Gil, Francisca/H-2868-2012; Prieto, Jose Antonio/H-4646-2012; Gil, Jose Vicente/H-4947-2012</t>
  </si>
  <si>
    <t>Randez-Gil, Francisca/0000-0001-8217-3156; Prieto, Jose Antonio/0000-0001-9677-0023; Gil, Jose Vicente/0000-0003-2062-3435; Baeza, Marcelo/0000-0001-8853-395X</t>
  </si>
  <si>
    <t>Comisitin Interministerial de Ciencia y Tecnologia from the Spanish Ministry of Economy and Competitiveness (MINECO) [AGL2010-17516]; Comision Nacional de Investigation y Tecnologia (Conicyt, Chile) [1130333]; Instituto AntArtico Chileno (INACH, Chile) [RT 07-13]; FPI Programme (MINECO)</t>
  </si>
  <si>
    <t>Comisitin Interministerial de Ciencia y Tecnologia from the Spanish Ministry of Economy and Competitiveness (MINECO); Comision Nacional de Investigation y Tecnologia (Conicyt, Chile); Instituto AntArtico Chileno (INACH, Chile); FPI Programme (MINECO)</t>
  </si>
  <si>
    <t>This research was supported by the Comisitin Interministerial de Ciencia y Tecnologia project (AGL2010-17516) from the Spanish Ministry of Economy and Competitiveness (MINECO). M. Baeza is financially supported by grants Fondecyt 1130333 from Comision Nacional de Investigation y Tecnologia (Conicyt, Chile), and RT 07-13 from Instituto AntArtico Chileno (INACH, Chile). LB-T was supported by a pre-doctoral fellowship as part of the FPI Programme (MINECO).</t>
  </si>
  <si>
    <t>0168-1605</t>
  </si>
  <si>
    <t>1879-3460</t>
  </si>
  <si>
    <t>INT J FOOD MICROBIOL</t>
  </si>
  <si>
    <t>Int. J. Food Microbiol.</t>
  </si>
  <si>
    <t>MAR 20</t>
  </si>
  <si>
    <t>10.1016/j.ijfoodmicro.2017.01.009</t>
  </si>
  <si>
    <t>Food Science &amp; Technology; Microbiology</t>
  </si>
  <si>
    <t>EM8ZE</t>
  </si>
  <si>
    <t>WOS:000395599700008</t>
  </si>
  <si>
    <t>Wu, SY; Hou, S</t>
  </si>
  <si>
    <t>Wu, Shuang-Ye; Hou, Shugui</t>
  </si>
  <si>
    <t>Impact of icebergs on net primary productivity in the Southern Ocean</t>
  </si>
  <si>
    <t>ANTARCTIC POLAR FRONT; PINE ISLAND GLACIER; IRON FERTILIZATION; WEST ANTARCTICA; DISSOLVED IRON; CARBON EXPORT; ICE; PHYTOPLANKTON; SEA; DISTRIBUTIONS</t>
  </si>
  <si>
    <t>Productivity in the Southern Ocean (SO) is ironlimited, and supply of iron dissolved from aeolian dust is believed to be the main source from outside the marine environment. However, recent studies show that icebergs could provide a comparable amount of bioavailable iron to the SO as aeolian dust. In addition, small-scale areal studies suggest increased concentrations of chlorophyll, krill, and seabirds surrounding icebergs. Based on previous research, this study aims to examine whether iceberg occurrence has a significant impact on marine productivity at the scale of the SO, using remote sensing data of iceberg occurrences and ocean net primary productivity (NPP) covering the period 2002-2014. The impacts of both large and small icebergs are examined in four major ecological zones of the SO: the continental shelf zone (CSZ), the seasonal ice zone (SIZ), the permanent open ocean zone (POOZ), and the polar front zone (PFZ). We found that the presence of icebergs is associated with elevated levels of NPP, but the differences vary in different zones. Grid cells with small icebergs on average have higher NPP than other cells in most iron-deficient zones: 21% higher for the SIZ, 16% for the POOZ, and 12% for the PFZ. The difference is relatively small in the CSZ where iron is supplied from meltwater and sediment input from the continent. In addition, NPP of grid cells adjacent to large icebergs on average is 10% higher than that of control cells in the vicinity. The difference is larger at higher latitudes, where most large icebergs are concentrated. From 1992 to 2014, there is a significant increasing trend for both small and large icebergs. The increase was most rapid in the early 2000s and has leveled off since then. As the climate continues to warm, the Antarctic Ice Sheet is expected to experience increased mass loss as a whole, which could lead to more icebergs in the region. Based on our study, this could result in a higher level of NPP in the SO as a whole, providing a possible negative feedback for global warming in near future.</t>
  </si>
  <si>
    <t>[Wu, Shuang-Ye; Hou, Shugui] Nanjing Univ, Sch Geog &amp; Ocean Sci, Nanjing 210093, Jiangsu, Peoples R China; [Wu, Shuang-Ye] Univ Dayton, Dept Geol, Dayton, OH 45469 USA</t>
  </si>
  <si>
    <t>Nanjing University; University System of Ohio; University of Dayton</t>
  </si>
  <si>
    <t>Wu, SY; Hou, S (corresponding author), Nanjing Univ, Sch Geog &amp; Ocean Sci, Nanjing 210093, Jiangsu, Peoples R China.;Wu, SY (corresponding author), Univ Dayton, Dept Geol, Dayton, OH 45469 USA.</t>
  </si>
  <si>
    <t>swu001@udayton.edu; shugui@nju.edu.cn</t>
  </si>
  <si>
    <t>Hou, Shugui/0000-0002-0905-3542</t>
  </si>
  <si>
    <t>State Oceanic Administration [CHINARE2012-02-02]; Natural Science Foundation of China [41330526, 41571180]</t>
  </si>
  <si>
    <t>State Oceanic Administration; Natural Science Foundation of China(National Natural Science Foundation of China (NSFC))</t>
  </si>
  <si>
    <t>The research was supported by the State Oceanic Administration (CHINARE2012-02-02) and the Natural Science Foundation of China (41330526 and 41571180). We would like to thank Jean Tournadre from the Laboratoire d'Oceanographie Spatiale for his kind assistance with the Altiberg small iceberg</t>
  </si>
  <si>
    <t>MAR 17</t>
  </si>
  <si>
    <t>10.5194/tc-11-707-2017</t>
  </si>
  <si>
    <t>ER1YD</t>
  </si>
  <si>
    <t>WOS:000398590200002</t>
  </si>
  <si>
    <t>Graham, AGC; Kuhn, G; Meisel, O; Hillenbrand, CD; Hodgson, DA; Ehrmann, W; Wacker, L; Wintersteller, P; Ferreira, CDS; Römer, M; White, D; Bohrmann, G</t>
  </si>
  <si>
    <t>Graham, Alastair G. C.; Kuhn, Gerhard; Meisel, Ove; Hillenbrand, Claus-Dieter; Hodgson, Dominic A.; Ehrmann, Werner; Wacker, Lukas; Wintersteller, Paul; Ferreira, Christian dos Santos; Roemer, Miriam; White, Duanne; Bohrmann, Gerhard</t>
  </si>
  <si>
    <t>Major advance of South Georgia glaciers during the Antarctic Cold Reversal following extensive sub-Antarctic glaciation</t>
  </si>
  <si>
    <t>AMUNDSEN SEA EMBAYMENT; TIERRA-DEL-FUEGO; ICE-SHEET; GEOMORPHIC FEATURES; BELLINGSHAUSEN SEA; CONTINENTAL-SHELF; MAXIMUM; FLOW; DEGLACIATION; QUATERNARY</t>
  </si>
  <si>
    <t>The history of glaciations on Southern Hemisphere sub-polar islands is unclear. Debate surrounds the extent and timing of the last glacial advance and termination on sub-Antarctic South Georgia in particular. Here, using sea-floor geophysical data and marine sediment cores, we resolve the record of glaciation offshore of South Georgia through the transition from the Last Glacial Maximum to Holocene. We show a sea-bed landform imprint of a shelf-wide last glacial advance and progressive deglaciation. Renewed glacier resurgence in the fjords between c. 15,170 and 13,340 yr ago coincided with a period of cooler, wetter climate known as the Antarctic Cold Reversal, revealing a cryospheric response to an Antarctic climate pattern extending into the Atlantic sector of the Southern Ocean. We conclude that the last glaciation of South Georgia was extensive, and the sensitivity of its glaciers to climate variability during the last termination more significant than implied by previous studies.</t>
  </si>
  <si>
    <t>[Graham, Alastair G. C.] Univ Exeter, Coll Life &amp; Environm Sci, Exeter EX4 4RJ, Devon, England; [Kuhn, Gerhard; Meisel, Ove] Helmholtz Zentrum Polar &amp; Meeresforsch, Alfred Wegener Inst, Alten Hafen 26, D-27568 Bremerhaven, Germany; [Hillenbrand, Claus-Dieter; Hodgson, Dominic A.] British Antarctic Survey, Nat Environm Res Council, Madingley Rd, Cambridge CB3 0ET, England; [Ehrmann, Werner] Univ Leipzig, Inst Geophys &amp; Geol, Talstr 35, D-04103 Leipzig, Germany; [Wacker, Lukas] ETH, Lab Ion Beam Phys, Schafmattstr 20, CH-8093 Zurich, Switzerland; [Wintersteller, Paul; Ferreira, Christian dos Santos; Roemer, Miriam; Bohrmann, Gerhard] Univ Bremen, MARUM Ctr Marine Environm Sci, D-28359 Bremen, Germany; [White, Duanne] Univ Canberra, Inst Appl Ecol, Canberra, ACT 2601, Australia; [Meisel, Ove] Vrije Univ Amsterdam, Dept Earth Sci, De Boelelaan 1105, NL-1081 HV Amsterdam, Netherlands</t>
  </si>
  <si>
    <t>University of Exeter; Helmholtz Association; Alfred Wegener Institute, Helmholtz Centre for Polar &amp; Marine Research; UK Research &amp; Innovation (UKRI); Natural Environment Research Council (NERC); NERC British Antarctic Survey; Leipzig University; Swiss Federal Institutes of Technology Domain; ETH Zurich; University of Bremen; University of Canberra; Vrije Universiteit Amsterdam</t>
  </si>
  <si>
    <t>Graham, AGC (corresponding author), Univ Exeter, Coll Life &amp; Environm Sci, Exeter EX4 4RJ, Devon, England.</t>
  </si>
  <si>
    <t>a.graham@exeter.ac.uk</t>
  </si>
  <si>
    <t>Wintersteller, Paul/AAE-9542-2019; White, Duanne A/E-6919-2012; Bohrmann, Gerhard/D-4474-2017</t>
  </si>
  <si>
    <t>White, Duanne/0000-0003-0740-2072; Bohrmann, Gerhard/0000-0001-9976-4948; Kuhn, Gerhard/0000-0001-6069-7485; Romer, Miriam/0000-0003-2540-9286; Ferreira, Christian/0000-0003-3228-7862; Wintersteller, Paul/0000-0002-4834-7965</t>
  </si>
  <si>
    <t>Natural Environment Research Council (NERC) [NE/K000527/1, NE/K000527/2]; British Antarctic Survey 'Ice Sheets' programme; Deutsche Forschungsgemeinschaft (DFG) [BO 1049/19]; Alfred-Wegener-Institute, Helmholtz Centre PACES II (Polar Regions and Coasts in the changing Earth System) programme; European Commission under the 7th Framework Programme through the Action IMCONet (FP7 IRSES) [319718]; NERC [bosc01001, NE/K000527/2, NE/K000527/1, bas0100030] Funding Source: UKRI; Natural Environment Research Council [bas0100030, bosc01001, NE/K000527/2, NE/K000527/1] Funding Source: researchfish</t>
  </si>
  <si>
    <t>Natural Environment Research Council (NERC)(UK Research &amp; Innovation (UKRI)Natural Environment Research Council (NERC)); British Antarctic Survey 'Ice Sheets' programme; Deutsche Forschungsgemeinschaft (DFG)(German Research Foundation (DFG)); Alfred-Wegener-Institute, Helmholtz Centre PACES II (Polar Regions and Coasts in the changing Earth System) programme; European Commission under the 7th Framework Programme through the Action IMCONet (FP7 IRSES)(European Union (EU)); NERC(UK Research &amp; Innovation (UKRI)Natural Environment Research Council (NERC)); Natural Environment Research Council(UK Research &amp; Innovation (UKRI)Natural Environment Research Council (NERC))</t>
  </si>
  <si>
    <t>A.G. was supported by grants NE/K000527/1 and NE/K000527/2 from the Natural Environment Research Council (NERC), and by the British Antarctic Survey 'Ice Sheets' programme. The latter also supported contributions from D.A.H. and C.D.H. Fieldwork was supported by the Deutsche Forschungsgemeinschaft (DFG) in the framework of the priority programme 'Antarctic Research with comparative investigations in Arctic ice areas' by grant BO 1049/19. G.K. was supported by the Alfred-Wegener-Institute, Helmholtz Centre PACES II (Polar Regions and Coasts in the changing Earth System) programme, and by the European Commission under the 7th Framework Programme through the Action IMCONet (FP7 IRSES, action no. 319718).</t>
  </si>
  <si>
    <t>10.1038/ncomms14798</t>
  </si>
  <si>
    <t>EO0QI</t>
  </si>
  <si>
    <t>WOS:000396402600001</t>
  </si>
  <si>
    <t>Chen, L; Santolík, O; Hajos, M; Zheng, L; Zhima, Z; Heelis, R; Hanzelka, M; Horne, RB; Parrot, M</t>
  </si>
  <si>
    <t>Chen, Lunjin; Santolik, Ondrej; Hajos, Mychajlo; Zheng, Liheng; Zhima, Zeren; Heelis, Roderick; Hanzelka, Miroslav; Horne, Richard B.; Parrot, Michel</t>
  </si>
  <si>
    <t>Source of the low-altitude hiss in the ionosphere</t>
  </si>
  <si>
    <t>ionospheric hiss; low-altitude hiss; plasmaspheric hiss; ray tracing</t>
  </si>
  <si>
    <t>DISCRETE CHORUS EMISSIONS; PLASMASPHERIC HISS; DEMETER SPACECRAFT; FIELD EXPERIMENT; PROPAGATION; GENERATION; FREQUENCY; GROWTH; ORIGIN; WAVES</t>
  </si>
  <si>
    <t>We analyze the propagation properties of low-altitude hiss emission in the ionosphere observed by DEMETER (Detection of Electromagnetic Emissions Transmitted from Earthquake Regions). There exist two types of low-altitude hiss: type I emission at high latitude is characterized by vertically downward propagation and broadband spectra, while type II emission at low latitude is featured with equatorward propagation and a narrower frequency band above approximate to f(cH+). Our ray tracing simulation demonstrates that both types of the low-altitude hiss at different latitude are connected and they originate from plasmaspheric hiss and in part chorus emission. Type I emission represents magnetospheric whistler emission that accesses the ionosphere. Equatorward propagation associated with type II emission is a consequence of wave trapping mechanisms in the ionosphere. Two different wave trapping mechanisms are identified to explain the equatorial propagation of Type II emission; one is associated with the proximity of wave frequency and local proton cyclotron frequency, while the other occurs near the ionospheric density peak.</t>
  </si>
  <si>
    <t>[Chen, Lunjin; Zheng, Liheng; Zhima, Zeren; Heelis, Roderick] Univ Texas Dallas, William B Hanson Ctr Space Sci, Dallas, TX USA; [Santolik, Ondrej; Hanzelka, Miroslav] Inst Atmospher Phys, Dept Space Phys, Prague, Czech Republic; [Santolik, Ondrej; Hajos, Mychajlo; Hanzelka, Miroslav] Charles Univ Prague, Fac Math &amp; Phys, Prague, Czech Republic; [Horne, Richard B.] NERC, British Antarctic Survey, Cambridge, England; [Parrot, Michel] LPC2E CNRS, Orleans, France</t>
  </si>
  <si>
    <t>University of Texas System; University of Texas Dallas; Czech Academy of Sciences; Institute of Atmospheric Physics of the Czech Academy of Sciences; Charles University Prague; UK Research &amp; Innovation (UKRI); Natural Environment Research Council (NERC); NERC British Antarctic Survey; Centre National de la Recherche Scientifique (CNRS); Universite de Orleans</t>
  </si>
  <si>
    <t>Chen, L (corresponding author), Univ Texas Dallas, William B Hanson Ctr Space Sci, Dallas, TX USA.</t>
  </si>
  <si>
    <t>lunjin.chen@gmail.com</t>
  </si>
  <si>
    <t>Hayosh, Mykhaylo/G-9461-2014; Zeren, Droma/ABF-7308-2020; Hanzelka, Miroslav/A-2374-2016; Horne, Richard B/U-3764-2019; Chen, Lunjin/L-1250-2013; Santolik, Ondrej/F-7766-2014</t>
  </si>
  <si>
    <t>Hanzelka, Miroslav/0000-0001-9716-5263; Horne, Richard B/0000-0002-0412-6407; Heelis, Roderick/0000-0002-5543-5357; Parrot, Michel/0000-0003-0905-5721; Chen, Lunjin/0000-0003-2489-3571; Santolik, Ondrej/0000-0002-4891-9273</t>
  </si>
  <si>
    <t>NSF grant through the Geospace Environment Modeling program [1405041]; AFOSR [FA9550-16-1-0344]; National Capability funding from the UK Natural Environment Research Council; Praemium Academiae award; [GACR17-07027S]; [LH15304]; Directorate For Geosciences; Div Atmospheric &amp; Geospace Sciences [1405041] Funding Source: National Science Foundation; NERC [bas0100031, NE/P01738X/1] Funding Source: UKRI; Natural Environment Research Council [bas0100031, NE/P01738X/1] Funding Source: researchfish</t>
  </si>
  <si>
    <t>NSF grant through the Geospace Environment Modeling program; AFOSR(United States Department of DefenseAir Force Office of Scientific Research (AFOSR)); National Capability funding from the UK Natural Environment Research Council; Praemium Academiae award; ; ; Directorate For Geosciences; Div Atmospheric &amp; Geospace Sciences(National Science Foundation (NSF)NSF - Directorate for Geosciences (GEO)); NERC(UK Research &amp; Innovation (UKRI)Natural Environment Research Council (NERC)); Natural Environment Research Council(UK Research &amp; Innovation (UKRI)Natural Environment Research Council (NERC))</t>
  </si>
  <si>
    <t>We acknowledge NSF grant 1405041 through the Geospace Environment Modeling program, the AFOSR grant FA9550-16-1-0344, National Capability funding from the UK Natural Environment Research Council, the GACR17-07027S and LH15304 grants, and the Praemium Academiae award. DEMETER data are accessible from https://cdpp-archive.cnes.fr.</t>
  </si>
  <si>
    <t>MAR 16</t>
  </si>
  <si>
    <t>10.1002/2016GL072181</t>
  </si>
  <si>
    <t>EQ6HZ</t>
  </si>
  <si>
    <t>Green Published, Green Accepted, Bronze</t>
  </si>
  <si>
    <t>WOS:000398183700002</t>
  </si>
  <si>
    <t>Mentaschi, L; Vousdoukas, MI; Voukouvalas, E; Dosio, A; Feyen, L</t>
  </si>
  <si>
    <t>Mentaschi, Lorenzo; Vousdoukas, Michalis I.; Voukouvalas, Evangelos; Dosio, Alessandro; Feyen, Luc</t>
  </si>
  <si>
    <t>Global changes of extreme coastal wave energy fluxes triggered by intensified teleconnection patterns</t>
  </si>
  <si>
    <t>NORTH-ATLANTIC OSCILLATION; SEA-SURFACE TEMPERATURE; LOW-FREQUENCY VARIABILITY; EL-NINO; SOUTHERN-HEMISPHERE; CLIMATE PROJECTIONS; CMIP5; PACIFIC; TRENDS; WIND</t>
  </si>
  <si>
    <t>In this study we conducted a comprehensive modeling analysis to identify global trends in extreme wave energy flux (WEF) along coastlines in the 21st century under a high emission pathway (Representative Concentration Pathways 8.5). For the end of the century, results show a significant increase up to 30% in 100year return level WEF for the majority of the coastal areas of the southern temperate zone, while in the Northern Hemisphere large coastal areas are characterized by a significant negative trend. We show that the most significant long-term trends of extreme WEF can be explained by intensification of teleconnection patterns such as the Antarctic Oscillation, El Nino-Southern Oscillation, and North Atlantic Oscillation. The projected changes will have broad implications for ocean engineering applications and disaster risk management. Especially low-lying coastal countries in the Southern Hemisphere will be particularly vulnerable due to the combined effects of projected relative sea level rise and more extreme wave activities.</t>
  </si>
  <si>
    <t>[Mentaschi, Lorenzo; Vousdoukas, Michalis I.; Voukouvalas, Evangelos; Dosio, Alessandro; Feyen, Luc] Joint Res Ctr, European Commiss, Ispra, Italy; [Vousdoukas, Michalis I.] Univ Aegean, Dept Marine Sci, Mitilene, Greece</t>
  </si>
  <si>
    <t>European Commission Joint Research Centre; EC JRC ISPRA Site; University of Aegean</t>
  </si>
  <si>
    <t>Mentaschi, L (corresponding author), Joint Res Ctr, European Commiss, Ispra, Italy.</t>
  </si>
  <si>
    <t>lorenzo.mentaschi@ec.europa.eu</t>
  </si>
  <si>
    <t>Dosio, Alessandro/U-9093-2017; Mentaschi, Lorenzo/JHU-4614-2023; Mentaschi, Lorenzo/ABD-2814-2020; Vousdoukas, Michalis/C-6743-2012; Feyen, Luc/ABD-6195-2021</t>
  </si>
  <si>
    <t>Dosio, Alessandro/0000-0002-6365-9473; Mentaschi, Lorenzo/0000-0002-2967-9593; Mentaschi, Lorenzo/0000-0002-2967-9593; Vousdoukas, Michalis/0000-0003-2655-6181; Voukouvalas, Evangelos/0000-0002-8812-2613</t>
  </si>
  <si>
    <t>EU [603864]; JRC of the European Commission as part of the CoastAlRisk project; JRC of the European Commission as part of the ADAPTATION project; CAPES [88881.068343/2014-01]</t>
  </si>
  <si>
    <t>EU(European Union (EU)); JRC of the European Commission as part of the CoastAlRisk project; JRC of the European Commission as part of the ADAPTATION project; CAPES(Coordenacao de Aperfeicoamento de Pessoal de Nivel Superior (CAPES))</t>
  </si>
  <si>
    <t>This research received funding from the EU Seventh Framework Programme FP7/2007-2013 under grant agreement 603864 (High-End cLimate Impacts and eXtremes; www.helixclimate.eu) and from the JRC of the European Commission as part of the CoastAlRisk and ADAPTATION projects. Support from CAPES for Special Visiting Professor (PVE) under the project 88881.068343/2014-01 is also acknowledged. The data set illustrated in this paper is available through the JRC open access database from this link: http://data.jrc.ec.europa.eu/collection/LISCOAST.</t>
  </si>
  <si>
    <t>10.1002/2016GL072488</t>
  </si>
  <si>
    <t>WOS:000398183700042</t>
  </si>
  <si>
    <t>Ivy, DJ; Solomon, S; Kinnison, D; Mills, MJ; Schmidt, A; Neely, RR</t>
  </si>
  <si>
    <t>Ivy, Diane J.; Solomon, Susan; Kinnison, Doug; Mills, Michael J.; Schmidt, Anja; Neely, Ryan R., III</t>
  </si>
  <si>
    <t>The influence of the Calbuco eruption on the 2015 Antarctic ozone hole in a fully coupled chemistry-climate model</t>
  </si>
  <si>
    <t>VOLCANIC AEROSOL; DEPLETION</t>
  </si>
  <si>
    <t>Recent research has demonstrated that the concentrations of anthropogenic halocarbons have decreased in response to the worldwide phaseout of ozone depleting substances. Yet in 2015 the Antarctic ozone hole reached a historical record daily average size in October. Model simulations with specified dynamics and temperatures based on a reanalysis suggested that the record size was likely due to the eruption of Calbuco but did not allow for fully coupled dynamical or thermal feedbacks. We present simulations of the impact of the 2015 Calbuco eruption on the stratosphere using the Whole Atmosphere Community Climate Model with interactive dynamics and temperatures. Comparisons of the interactive and specified dynamics simulations indicate that chemical ozone depletion due to volcanic aerosols played a key role in establishing the record-sized ozone hole of October 2015. The analysis of an ensemble of interactive simulations with and without volcanic aerosols suggests that the forced response to the eruption of Calbuco was an increase in the size of the ozone hole by 4.5x10(6)km(2).</t>
  </si>
  <si>
    <t>[Ivy, Diane J.; Solomon, Susan] MIT, Dept Earth Atmospher &amp; Planetary Sci, Cambridge, MA 02139 USA; [Kinnison, Doug; Mills, Michael J.] Natl Ctr Atmospher Res, Atmospher Chem Observat &amp; Modeling Lab, POB 3000, Boulder, CO 80307 USA; [Schmidt, Anja; Neely, Ryan R., III] Univ Leeds, Sch Earth &amp; Environm, Leeds, W Yorkshire, England; [Neely, Ryan R., III] Univ Leeds, Natl Ctr Atmospher Sci, Leeds, W Yorkshire, England</t>
  </si>
  <si>
    <t>Massachusetts Institute of Technology (MIT); National Center Atmospheric Research (NCAR) - USA; University of Leeds; UK Research &amp; Innovation (UKRI); Natural Environment Research Council (NERC); NERC National Centre for Atmospheric Science; University of Leeds</t>
  </si>
  <si>
    <t>Ivy, DJ (corresponding author), MIT, Dept Earth Atmospher &amp; Planetary Sci, Cambridge, MA 02139 USA.</t>
  </si>
  <si>
    <t>divy@mit.edu</t>
  </si>
  <si>
    <t>Schmidt, Anja/ABD-7113-2021; Schmidt, Anja/C-9617-2012; Mills, Michael/B-5068-2010; Neely III, Ryan R./F-8702-2010</t>
  </si>
  <si>
    <t>Schmidt, Anja/0000-0001-8759-2843; Mills, Michael/0000-0002-8054-1346; Neely III, Ryan R./0000-0003-4560-4812; Kinnison, Douglas/0000-0002-3418-0834</t>
  </si>
  <si>
    <t>National Science Foundation (NSF) Atmospheric Chemistry [AGS-1539972]; NSF [1338814, 1539972]; University of Leeds; NCAR; Natural Environment Research Council [NE/N006038/1]; National Centre for Atmospheric Science (NCAS); U.S. Department of Energy (DOE); Directorate For Geosciences; Division Of Ocean Sciences [1338814] Funding Source: National Science Foundation; Div Atmospheric &amp; Geospace Sciences; Directorate For Geosciences [1539972] Funding Source: National Science Foundation; Natural Environment Research Council [NE/N006038/1] Funding Source: researchfish; NERC [NE/N006038/1] Funding Source: UKRI</t>
  </si>
  <si>
    <t>National Science Foundation (NSF) Atmospheric Chemistry(National Science Foundation (NSF)); NSF(National Science Foundation (NSF)); University of Leeds; NCAR(National Science Foundation (NSF)NSF - Directorate for Geosciences (GEO)); Natural Environment Research Council(UK Research &amp; Innovation (UKRI)Natural Environment Research Council (NERC)); National Centre for Atmospheric Science (NCAS); U.S. Department of Energy (DOE)(United States Department of Energy (DOE)); Directorate For Geosciences; Division Of Ocean Sciences(National Science Foundation (NSF)NSF - Directorate for Geosciences (GEO)); Div Atmospheric &amp; Geospace Sciences;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</si>
  <si>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D.J.I. was supported by National Science Foundation (NSF) Atmospheric Chemistry grant AGS-1539972. D.K. and S.S.were partially supported by NSF grants 1338814 and 1539972. A. S. was supported by an Academic Research Fellowship from the University of Leeds, an NCAR visiting scientist grant, and Natural Environment Research Council grant NE/N006038/1. Ryan R. Neely III was supported by the National Centre for Atmospheric Science (NCAS) during this work. We would like to acknowledge high-performance computing support from Yellowstone ( ark:/85065/ d7wd3xhc) provided by NCAR's Computational and Information Systems Laboratory, sponsored by the National Science Foundation. The National Center for Atmospheric Research is sponsored by the NSF. Any opinions, findings, and conclusions or recommendations expressed in the publication are those of the author(s) and do not necessarily reflect the views of the NSF. CESM is sponsored by the NSF and the U.S. Department of Energy (DOE). Administration of the CESM is maintained by the Climate and Global Dynamics Division (CGD) at the National Center for Atmospheric Research (NCAR). Computing resources were provided by the Climate Simulation Laboratory at NCAR's Computational and Information Systems Laboratory (CISL), sponsored by the National Science Foundation and other agencies. The data are available on NCAR's Earth System Grid (www. earthsystemgrid. org).</t>
  </si>
  <si>
    <t>10.1002/2016GL071925</t>
  </si>
  <si>
    <t>WOS:000398183700057</t>
  </si>
  <si>
    <t>Huang, J; Jaeglé, L</t>
  </si>
  <si>
    <t>Huang, Jiayue; Jaegle, Lyatt</t>
  </si>
  <si>
    <t>Wintertime enhancements of sea salt aerosol in polar regions consistent with a sea ice source from blowing snow</t>
  </si>
  <si>
    <t>FROST FLOWERS; OPTICAL-PROPERTIES; BOUNDARY-LAYER; TROPOSPHERIC CHEMISTRY; CHEMICAL-COMPOSITION; DRY DEPOSITION; IN-SITU; SURFACE; BROMINE; MARINE</t>
  </si>
  <si>
    <t>Sea salt aerosols (SSA) are generated via air bubbles bursting at the ocean surface as well as by wind mobilization of saline snow and frost flowers over sea-icecovered areas. The relative magnitude of these sources remains poorly constrained over polar regions, affecting our ability to predict their impact on halogen chemistry, cloud formation, and climate. We implement a blowing snow and a frost flower emission scheme in the GEOS-Chem global chemical transport model, which we validate against multiyear (2001-2008) in situ observations of SSA mass concentrations at three sites in the Arctic, two sites in coastal Antarctica, and from the 2008 ICEALOT cruise in the Arctic. A simulation including only open ocean emissions underestimates SSA mass concentrations by factors of 2-10 during winter-spring for all ground-based and ship-based observations. When blowing snow emissions are added, the model is able to reproduce observed wintertime SSA concentrations, with the model bias decreasing from a range of -80 to -34% for the open ocean simulation to 2 to +9% for the simulation with blowing snow emissions. We find that the frost flower parameterization cannot fully explain the high wintertime concentrations and displays a seasonal cycle decreasing too rapidly in early spring. Furthermore, the high day-to-day variability of observed SSA is better reproduced by the blowing snow parameterization. Over the Arctic (&gt;60 degrees N) (Antarctic, &gt;60 degrees S), we calculate that submicron SSA emissions from blowing snow account for 1.0 Tg yr(-1) (2.5 Tg yr(-1)/, while frost flower emissions lead to 0.21 Tg yr(-1) (0.25 Tg yr1/compared to 0.78 Tg yr(-1) (1.0 Tg yr(-1)/from the open ocean. Blowing snow emissions are largest in regions where persistent strong winds occur over sea ice (east of Greenland, over the central Arctic, Beaufort Sea, and the Ross and Weddell seas). In contrast, frost flower emissions are largest where cold air temperatures and open leads are co-located (over the Canadian Arctic Archipelago, coastal regions of Siberia, and off the Ross and Ronne ice shelves). Overall, in situ observations of mass concentrations of SSA suggest that blowing snow is likely to be the dominant SSA source during winter, with frost flowers playing a much smaller role.</t>
  </si>
  <si>
    <t>[Huang, Jiayue; Jaegle, Lyatt] Univ Washington, Dept Atmospher Sci, Seattle, WA 98195 USA</t>
  </si>
  <si>
    <t>Jaeglé, L (corresponding author), Univ Washington, Dept Atmospher Sci, Seattle, WA 98195 USA.</t>
  </si>
  <si>
    <t>jaegle@uw.edu</t>
  </si>
  <si>
    <t>Jaegle, Lyatt/M-6536-2015</t>
  </si>
  <si>
    <t>Jaegle, Lyatt/0000-0003-1866-801X</t>
  </si>
  <si>
    <t>NASA Atmospheric Composition Modeling and Analysis Program [NNX15AE32G]</t>
  </si>
  <si>
    <t>NASA Atmospheric Composition Modeling and Analysis Program(National Aeronautics &amp; Space Administration (NASA))</t>
  </si>
  <si>
    <t>This work was supported by funding from the NASA Atmospheric Composition Modeling and Analysis Program under award NNX15AE32G. The authors wish to thank the NOAA Pacific Marine Environmental Laboratory (PMEL) Atmospheric chemistry group for providing the in situ aerosol observations at Barrow and during the ICEALOT field campaign. We also thank Environment Canada for providing the in situ observations at Alert, the French observation service CESOA (http://www-lgge.obs.ujf-grenoble.fr/CESOA/spip.php?rubrique3) for the Dumont D'Urville observations, and the Norwegian Institute for Air Research (NILU) for the Zeppelin Mountain observations. The authors would like to acknowledge useful discussions with Maurizio Di Pierro, Steve Warren, Cecilia Bitz, and Becky Alexander.</t>
  </si>
  <si>
    <t>10.5194/acp-17-3699-2017</t>
  </si>
  <si>
    <t>EQ2VK</t>
  </si>
  <si>
    <t>WOS:000397929000002</t>
  </si>
  <si>
    <t>Huang, KM; Liu, AZ; Zhang, SD; Yi, F; Huang, CM; Gong, Y; Gan, Q; Zhang, YH; Wang, R</t>
  </si>
  <si>
    <t>Huang, Kai Ming; Liu, Alan Z.; Zhang, Shao Dong; Yi, Fan; Huang, Chun Ming; Gong, Yun; Gan, Quan; Zhang, Ye Hui; Wang, Rui</t>
  </si>
  <si>
    <t>Simultaneous upward and downward propagating inertia-gravity waves in the MLT observed at Andes Lidar Observatory</t>
  </si>
  <si>
    <t>NA LIDAR; MESOPAUSE REGION; UPPER-ATMOSPHERE; RADIOSONDE OBSERVATIONS; TEMPERATURE MAPPER; LOWER STRATOSPHERE; EQUATORIAL WAVES; MESOSPHERE; MIDDLE; WIND</t>
  </si>
  <si>
    <t>Based on the temperature and zonal and meridional winds observed with an Na lidar at Andes Lidar Observatory (30.3 degrees S, 70.7 degrees W) on the night of 20-21 July 2015, we report simultaneous upward and downward propagating inertia-gravity waves (IGWs) in the mesosphere/lower stratosphere (MLT). The ground-based periods of the upward and downward IGWs are about 5.4 h and 4.8 h, respectively. The horizontal and vertical wavelengths are about 935 km and 10.9 km for the 5.4 h IGW and about 1248 km and 22 km for the 4.8 h IGW, respectively. Hodograph analyses indicate that the 5.4 h IGW propagates in the direction of about 23 degrees west of north, while the 4.8 h IGW travels northward with an azimuth of 20 degrees clockwise from north. These wave parameters are in the typical IGW wavelength and period ranges; nevertheless, the downward propagating IGWs in the MLT are rarely reported in previous observations. The ray-tracing analysis suggests that the 5.4 h IGW is likely to originate from the stratospheric jet adjustment over the Antarctic, while the 4.8 h IGW source may be above the MLT because it is unlikely to propagate downward through a reflection in the realistic atmospheric wind field. Although both IGWs do not reach their amplitude thresholds of instability, the Richard number reveals that the dynamical and convective instabilities occur intermittently, which indicates that the instability arising from the multiple-perturbation superposition may have a significant influence on wave saturation and amplitude constraint in the MLT.</t>
  </si>
  <si>
    <t>[Huang, Kai Ming; Zhang, Shao Dong; Yi, Fan; Huang, Chun Ming; Gong, Yun; Gan, Quan] Wuhan Univ, Sch Elect Informat, Wuhan, Peoples R China; [Huang, Kai Ming] Univ Sci &amp; Technol China, Chinese Acad Sci, Key Lab Geospace Environm, Hefei, Peoples R China; [Huang, Kai Ming; Zhang, Shao Dong; Yi, Fan; Huang, Chun Ming; Gong, Yun; Gan, Quan] State Observ Atmospher Remote Sensing, Wuhan, Peoples R China; [Liu, Alan Z.] Embry Riddle Aeronaut Univ, Dept Phys Sci, Daytona Beach, FL USA; [Zhang, Ye Hui] Nanjing Univ Informat Sci &amp; Technol, Coll Hydrometeorol, Nanjing, Jiangsu, Peoples R China; [Wang, Rui] Polar Res Inst China, SOA Key Lab Polar Sci, Shanghai, Peoples R China</t>
  </si>
  <si>
    <t>Wuhan University; Chinese Academy of Sciences; University of Science &amp; Technology of China, CAS; Embry-Riddle Aeronautical University; Nanjing University of Information Science &amp; Technology; Polar Research Institute of China</t>
  </si>
  <si>
    <t>Zhang, SD (corresponding author), Wuhan Univ, Sch Elect Informat, Wuhan, Peoples R China.;Zhang, SD (corresponding author), State Observ Atmospher Remote Sensing, Wuhan, Peoples R China.</t>
  </si>
  <si>
    <t>zsd@whu.edu.cn</t>
  </si>
  <si>
    <t>Liu, Alan/C-3738-2008; Gan, Quan/AAA-2674-2022; Gong, Yun/K-8259-2019; gong, yun/H-4147-2016; zhang, ye/HKN-5128-2023; Zhang, Shaodong/F-9888-2013; Huang, Kai/JVO-5066-2024</t>
  </si>
  <si>
    <t>Liu, Alan/0000-0002-1834-7120; Gan, Quan/0000-0003-3703-5453; gong, yun/0000-0002-1206-2087; Zhang, Shaodong/0000-0003-3345-1927; Wang, Rui/0000-0003-1905-2647; Zhang, Yehui/0000-0002-1448-0119</t>
  </si>
  <si>
    <t>National Natural Science Foundation of China [41474127, 41674151, 41531070, 41521063]; National Basic Research Program of China [2012CB825605]; Specialized Fund for Comprehensive Study and Evaluation of the Polar Environment [CHINARE2016-0203]; Key Laboratory of Geospace Environment, CAS; Div Atmospheric &amp; Geospace Sciences; Directorate For Geosciences [1136278] Funding Source: National Science Foundation</t>
  </si>
  <si>
    <t>National Natural Science Foundation of China(National Natural Science Foundation of China (NSFC)); National Basic Research Program of China(National Basic Research Program of China); Specialized Fund for Comprehensive Study and Evaluation of the Polar Environment; Key Laboratory of Geospace Environment, CAS; Div Atmospheric &amp; Geospace Sciences; Directorate For Geosciences(National Science Foundation (NSF)NSF - Directorate for Geosciences (GEO))</t>
  </si>
  <si>
    <t>We thank the editor and anonymous reviewers for their valuable comments on our paper. This work was jointly supported by the National Natural Science Foundation of China (through grants 41474127, 41674151, 41531070, and 41521063), the National Basic Research Program of China (grant 2012CB825605), the Specialized Fund for Comprehensive Study and Evaluation of the Polar Environment (grant CHINARE2016-0203), and the Open Programmes of Key Laboratory of Geospace Environment, CAS. The lidar data of this study are available at the Andes Lidar Observatory database at http://lidar.erau.edu/data/.</t>
  </si>
  <si>
    <t>10.1002/2016JD026178</t>
  </si>
  <si>
    <t>EQ4QY</t>
  </si>
  <si>
    <t>WOS:000398064200018</t>
  </si>
  <si>
    <t>Bullard, JE</t>
  </si>
  <si>
    <t>Bullard, Joanna E.</t>
  </si>
  <si>
    <t>The distribution and biogeochemical importance of high-latitude dust in the Arctic and Southern Ocean-Antarctic regions</t>
  </si>
  <si>
    <t>IRON; TRANSPORT; LAND; SEA</t>
  </si>
  <si>
    <t>Recent studies suggest that around 5% of global dust emissions come from sources in the high latitudes (&gt;= 50 degrees N and &gt;= 40 degrees S). A substantial proportion of this dust remains within the high latitudes and is deposited in marine and terrestrial environments. Stable air masses and limited atmospheric convection associated with cold climates reduce vertical mixing of dust plumes and can restrict the altitudes at which the deposition of dust originating from high latitudes can take place. Within local high-latitude systems, dust transport pathways facilitate links between different landscape components contributing nutrients and sediments. Dust deposition to the polar areas may also be a critical source of sediments and nutrients that trigger and maintain phytoplankton blooms.</t>
  </si>
  <si>
    <t>[Bullard, Joanna E.] Univ Loughborough, Dept Geog, Loughborough, Leics, England</t>
  </si>
  <si>
    <t>Loughborough University</t>
  </si>
  <si>
    <t>Bullard, JE (corresponding author), Univ Loughborough, Dept Geog, Loughborough, Leics, England.</t>
  </si>
  <si>
    <t>J.E.Bullard@lboro.ac.uk</t>
  </si>
  <si>
    <t>Bullard, Joanna/0000-0002-2030-0188</t>
  </si>
  <si>
    <t>Leverhulme Trust International Network grant [IN-2013-036]</t>
  </si>
  <si>
    <t>Leverhulme Trust International Network grant(Leverhulme Trust)</t>
  </si>
  <si>
    <t>This research was part-funded by a Leverhulme Trust International Network grant (IN-2013-036). The author would like to thank Mark Szegner for his assistance with the figures and Cliff Atkins for his constructive comments on the paper.</t>
  </si>
  <si>
    <t>10.1002/2016JD026363</t>
  </si>
  <si>
    <t>WOS:000398064200032</t>
  </si>
  <si>
    <t>Clausius, E; McMahon, CR; Hindell, MA</t>
  </si>
  <si>
    <t>Clausius, Ella; McMahon, Clive R.; Hindell, Mark A.</t>
  </si>
  <si>
    <t>Five decades on: Use of historical weaning size data reveals that a decrease in maternal foraging success underpins the long-term decline in population of southern elephant seals (Mirounga leonina)</t>
  </si>
  <si>
    <t>MILK CONSUMPTION; BODY-COMPOSITION; GROWTH; PUPS; SURVIVAL; DURATION; MOVEMENTS; RESPONSES; BEHAVIOR; SYSTEM</t>
  </si>
  <si>
    <t>[Clausius, Ella; Hindell, Mark A.] Univ Tasmania, Inst Marine &amp; Antarcti Studies, Ctr Ecol &amp; Biodivers, Hobart, Tas, Australia; [McMahon, Clive R.] Sydney Inst Marine Sci, Mosman, NSW, Australia; [Hindell, Mark A.] Univ Tasmania, Antarctic Climate &amp; Ecosyst CRC, Hobart, Tas, Australia</t>
  </si>
  <si>
    <t>University of Tasmania; Sydney Institute of Marine Science; University of Tasmania</t>
  </si>
  <si>
    <t>Hindell, MA (corresponding author), Univ Tasmania, Inst Marine &amp; Antarcti Studies, Ctr Ecol &amp; Biodivers, Hobart, Tas, Australia.;Hindell, MA (corresponding author), Univ Tasmania, Antarctic Climate &amp; Ecosyst CRC, Hobart, Tas, Australia.</t>
  </si>
  <si>
    <t>McMahon, Clive R/0000-0001-5241-8917; Hindell, Mark/0000-0002-7823-7185</t>
  </si>
  <si>
    <t>Australian Antarctic Division through the National Antarctic Research Expeditions (ANARE)</t>
  </si>
  <si>
    <t>The Australian Antarctic Division through the National Antarctic Research Expeditions (ANARE) supported this research. The funder had no role in study design, data collection and analysis, decision to publish, or preparation of the manuscript.</t>
  </si>
  <si>
    <t>e0173427</t>
  </si>
  <si>
    <t>10.1371/journal.pone.0173427</t>
  </si>
  <si>
    <t>EN9KE</t>
  </si>
  <si>
    <t>WOS:000396318300036</t>
  </si>
  <si>
    <t>Atkinson, A; Hill, SL; Pakhomov, EA; Siegel, V; Anadon, R; Chiba, S; Daly, KL; Downie, R; Fielding, S; Fretwell, P; Gerrish, L; Hosie, G; Jessopp, MJ; Kawaguchi, S; Krafft, BA; Loeb, V; Nishikawa, J; Peat, HJ; Reiss, CS; Ross, RM; Quetin, LB; Schmidt, K; Steinberg, DK; Subramaniam, RC; Tarling, GA; Ward, P</t>
  </si>
  <si>
    <t>Atkinson, Angus; Hill, Simeon L.; Pakhomov, Evgeny A.; Siegel, Volker; Anadon, Ricardo; Chiba, Sanae; Daly, Kendra L.; Downie, Rod; Fielding, Sophie; Fretwell, Peter; Gerrish, Laura; Hosie, GrahamW.; Jessopp, Mark J.; Kawaguchi, So; Krafft, Bjorn A.; Loeb, Valerie; Nishikawa, Jun; Peat, Helen J.; Reiss, Christian S.; Ross, Robin M.; Quetin, Langdon B.; Schmidt, Katrin; Steinberg, Deborah K.; Subramaniam, Roshni C.; Tarling, Geraint A.; Ward, Peter</t>
  </si>
  <si>
    <t>KRILLBASE: a circumpolar database of Antarctic krill and salp numerical densities, 1926-2016</t>
  </si>
  <si>
    <t>SOUTH SHETLAND ISLANDS; SEA-ICE EXTENT; EUPHAUSIA-SUPERBA; ATLANTIC SECTOR; AUSTRAL SUMMER; FOOD-WEB; OCEAN; BIOMASS; ECOSYSTEM; MACROZOOPLANKTON</t>
  </si>
  <si>
    <t>Antarctic krill (Euphausia superba) and salps are major macroplankton contributors to Southern Ocean food webs and krill are also fished commercially. Managing this fishery sustainably, against a backdrop of rapid regional climate change, requires information on distribution and time trends. Many data on the abundance of both taxa have been obtained from net sampling surveys since 1926, but much of this is stored in national archives, sometimes only in notebooks. In order to make these important data accessible we have collated available abundance data (numerical density, no. m(-2)) of postlarval E. superba and salp individual (multiple species, and whether singly or in chains). These were combined into a central database, KRILLBASE, together with environmental information, standardisation and metadata. The aim is to provide a temporal-spatial data resource to support a variety of research such as biogeochemistry, autecology, higher predator foraging and food web modelling in addition to fisheries management and conservation. Previous versions of KRILLBASE have led to a series of papers since 2004 which illustrate some of the potential uses of this database. With increasing numbers of requests for these data we here provide an updated version of KRILLBASE that contains data from 15 194 net hauls, including 12 758 with krill abundance data and 9726 with salp abundance data. These data were collected by 10 nations and span 56 seasons in two epochs (1926-1939 and 1976-2016). Here, we illustrate the seasonal, inter-annual, regional and depth coverage of sampling, and provide both circumpolar-and regional-scale distribution maps. Krill abundance data have been standardised to accommodate variation in sampling methods, and we have presented these as well as the raw data. Information is provided on how to screen, interpret and use KRILLBASE to reduce artefacts in interpretation, with contact points for the main data providers.</t>
  </si>
  <si>
    <t>[Atkinson, Angus] Plymouth Marine Lab, Prospect Pl, Plymouth PL1 3DH, Devon, England; [Hill, Simeon L.; Fielding, Sophie; Fretwell, Peter; Gerrish, Laura; Peat, Helen J.; Tarling, Geraint A.; Ward, Peter] British Antarctic Survey, High Cross,Madingley Rd, Cambridge CB3 OET, England; [Pakhomov, Evgeny A.] Univ British Columbia, Dept Earth Ocean &amp; Atmospher Sci, 2207-2020 Main Mall, Vancouver, BC V6T 1Z4, Canada; [Pakhomov, Evgeny A.] Univ British Columbia, IOF, AERL, 231-2202 Main Mall, Vancouver, BC V6T 1Z4, Canada; [Siegel, Volker] Thunen Inst Sea Fisheries, Palmaille 9, D-22767 Hamburg, Germany; [Anadon, Ricardo] Univ Oviedo, Dept Biol Organism &amp; Syst, C Catedratico Rodrigo Uria S-N, E-33071 Oviedo, Asturias, Spain; [Chiba, Sanae] JAMSTEC, Kanazawa Ku, 3173-25 Showamachi, Yokohama, Kanagawa 2360001, Japan; [Daly, Kendra L.] Univ S Florida, Coll Marine Sci, St Petersburg, FL 33701 USA; [Downie, Rod] World Wildlife Fund, Living Planet Ctr, Rufford House,Brewery Rd, Woking GU2 14LL, Surrey, England; [Hosie, GrahamW.; Schmidt, Katrin] Sir Alister Hardy Fdn Ocean Sci, The Lab, Citadel Hill, Plymouth PL1 2PB, Devon, England; [Jessopp, Mark J.] Univ Coll Cork, MaREI Ctr, Environm Res Inst, Haulbowline Rd, Cork, Ireland; [Kawaguchi, So] Australian Antarctic Div, Channel Highway, Kingston, Tas 7050, Australia; [Krafft, Bjorn A.] Inst Marine Res, POB 1870, N-5817 Bergen, Norway; [Loeb, Valerie] Moss Landing Marine Labs, 8272 Moss Landing Rd, Moss Landing, CA 95039 USA; [Nishikawa, Jun] Tokai Univ, 3-20-1 Orido, Shimizu, Shizuoka 4248610, Japan; [Reiss, Christian S.] NOAA Fisheries, Southwest Fisheries Sci Ctr, Antarctic Ecosyst Res Div, 8901 La Jolla Shores Dr, La Jolla, CA 92037 USA; [Ross, Robin M.; Quetin, Langdon B.] Univ Calif Santa Barbara, Inst Marine Sci, Santa Barbara, CA 93106 USA; [Steinberg, Deborah K.] Virginia Inst Marine Sci, Coll William &amp; Mary, Gloucester Pt, VA 23062 USA; [Subramaniam, Roshni C.] Univ Tasmania, ACE CRC, Private Bag 80, Hobart, Tas 7001, Australia</t>
  </si>
  <si>
    <t>Plymouth Marine Laboratory; UK Research &amp; Innovation (UKRI); Natural Environment Research Council (NERC); NERC British Antarctic Survey; University of British Columbia; University of British Columbia; Johann Heinrich von Thunen Institute; University of Oviedo; Japan Agency for Marine-Earth Science &amp; Technology (JAMSTEC); State University System of Florida; University of South Florida; University College Cork; Australian Antarctic Division; Institute of Marine Research - Norway; Moss Landing Marine Laboratories; Tokai University; National Oceanic Atmospheric Admin (NOAA) - USA; University of California System; University of California Santa Barbara; William &amp; Mary; Virginia Institute of Marine Science; University of Tasmania; Antarctic Climate &amp; Ecosystems Cooperative Research Centre (ACE CRC)</t>
  </si>
  <si>
    <t>Atkinson, A (corresponding author), Plymouth Marine Lab, Prospect Pl, Plymouth PL1 3DH, Devon, England.</t>
  </si>
  <si>
    <t>aat@pml.ac.uk</t>
  </si>
  <si>
    <t>Peat, Helen J/E-9666-2015; Jessopp, Mark/AAI-4786-2020; Kawaguchi, So/N-1795-2017; Fielding, Sophie/E-5137-2012; Atkinson, Angus/HOH-3417-2023; Subramaniam, Roshni/ADZ-6878-2022; Simeon, Hill L/B-2307-2008</t>
  </si>
  <si>
    <t>Jessopp, Mark/0000-0002-2692-3730; Subramaniam, Roshni/0000-0001-7368-8086; Kawaguchi, So/0000-0002-2042-5095; Nishikawa, Jun/0000-0003-1044-0600; Steinberg, Deborah K./0000-0001-9884-4655; Peat, Helen/0000-0003-2017-8597</t>
  </si>
  <si>
    <t>US National Science Foundation [PLR-1440435]; Royal Norwegian Ministry of Fisheries and Coastal affairs; Institute of Marine Research; University of Bergen; Norwegian Antarctic Research Expeditions (NARE); Norwegian Research Council; Statoil Hydro; Norwegian Petroleum Directorate; Antarctic Climate and Ecosystem Cooperative Research Centre; Department for Environment, Food and Rural Affairs [NE/L003279/1]; UK Natural Environment Research Council; Natural Environment Research Council [bas0100035, pml010004, NE/L003279/1, bas010011] Funding Source: researchfish; NERC [NE/L003279/1, bas010011, bas0100035, pml010004] Funding Source: UKRI</t>
  </si>
  <si>
    <t>US National Science Foundation(National Science Foundation (NSF)); Royal Norwegian Ministry of Fisheries and Coastal affairs; Institute of Marine Research; University of Bergen; Norwegian Antarctic Research Expeditions (NARE); Norwegian Research Council(Research Council of Norway); Statoil Hydro; Norwegian Petroleum Directorate; Antarctic Climate and Ecosystem Cooperative Research Centre; Department for Environment, Food and Rural Affairs(Department for Environment, Food &amp; Rural Affairs (DEFRA)); 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</si>
  <si>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are greatly indebted to the crews and scientists who have collected thousands of net samples over the last 90 years, analysed the catches, and then provided data in a format that is useable. Boris Trotsenko was a major facilitator in rescuing old Soviet Union data. Marie-Fanny Racault accessed satellite temperature climatology data and Janet Silk helped with spatial data checks. We are grateful to Peter Rothery for the original standardisation of the krill density data. D. K. Steinberg acknowledges the US National Science Foundation (grant PLR-1440435). B. A. Krafft was supported by the Royal Norwegian Ministry of Fisheries and Coastal affairs, the Institute of Marine Research, the University of Bergen, the Norwegian Antarctic Research Expeditions (NARE), the Norwegian Research Council, Statoil Hydro and the Norwegian Petroleum Directorate. In the last 5 years the funding to update the database was via the Antarctic Climate and Ecosystem Cooperative Research Centre (for R. C. Subramaniam) and the UK Natural Environment Research Council and Department for Environment, Food and Rural Affairs grant NE/L003279/1, Marine Ecosystems Research Program (for Angus Atkinson). After this the final production of the database and creation of this data paper was funded by the World Wildlife Fund.</t>
  </si>
  <si>
    <t>10.5194/essd-9-193-2017</t>
  </si>
  <si>
    <t>EQ2GT</t>
  </si>
  <si>
    <t>WOS:000397887400001</t>
  </si>
  <si>
    <t>Golledge, NR; Levy, RH; McKay, RM; Naish, TR</t>
  </si>
  <si>
    <t>Golledge, N. R.; Levy, R. H.; McKay, R. M.; Naish, T. R.</t>
  </si>
  <si>
    <t>East Antarctic ice sheet most vulnerable to Weddell Sea warming</t>
  </si>
  <si>
    <t>TEMPERATURE VARIABILITY; SURFACE; RETREAT; SHELF; CONSISTENT; DRIVEN; MODEL; WATER; BED</t>
  </si>
  <si>
    <t>Models predict considerable spatial variability in the magnitude of future climate change around Antarctica, suggesting that some sectors of the continent may be more affected by these changes than others. Furthermore, the geometry of the bedrock topography underlying the East and West Antarctic ice sheets, together with regional differences in ice thickness, mean that certain ice drainage basins may respond more or less sensitively to environmental forcings. Here we use an ensemble of idealized climates to drive ice-sheet simulations that explore regional and continental-scale thresholds, allowing us to identify a hierarchy of catchment vulnerabilities based on differences in long-term catchment-averaged ice loss. Considering this hierarchy in the context of recent observations and climate scenarios forecast for 2100 CE, we conclude that the majority of future ice loss from East Antarctica, both this century and over subsequent millennia, will likely come from the Recovery subglacial basin in the eastern Weddell Sea.</t>
  </si>
  <si>
    <t>[Golledge, N. R.; McKay, R. M.; Naish, T. R.] Victoria Univ Wellington, Antarct Res Ctr, Wellington, New Zealand; [Golledge, N. R.; Levy, R. H.] GNS Sci, Lower Hutt, New Zealand</t>
  </si>
  <si>
    <t>Victoria University Wellington; GNS Science - New Zealand</t>
  </si>
  <si>
    <t>Golledge, NR (corresponding author), Victoria Univ Wellington, Antarct Res Ctr, Wellington, New Zealand.;Golledge, NR (corresponding author), GNS Sci, Lower Hutt, New Zealand.</t>
  </si>
  <si>
    <t>nicholas.golledge@vuw.ac.nz</t>
  </si>
  <si>
    <t>McKay, Robert/N-2449-2015; Levy, Richard H/E-2477-2011</t>
  </si>
  <si>
    <t>McKay, Robert/0000-0002-5602-6985; Golledge, Nicholas/0000-0001-7676-8970; Levy, Richard/0000-0002-8783-0167; Naish, Tim/0000-0002-1185-9932</t>
  </si>
  <si>
    <t>Royal Society of New Zealand [RDF-VUW1501, VUW1203]; Antarctic Research Centre (Victoria University of Wellington); New Zealand Ministry for Business, Innovation and Employment [CO5X1001]; GNS Science; NASA grants [NNX13AM16G, NNX13AK27G]; NASA [NNX13AK27G, 471916, 469331, NNX13AM16G] Funding Source: Federal RePORTER</t>
  </si>
  <si>
    <t>Royal Society of New Zealand(Royal Society of New Zealand); Antarctic Research Centre (Victoria University of Wellington); New Zealand Ministry for Business, Innovation and Employment(New Zealand Ministry of Business, Innovation and Employment (MBIE)); GNS Science; NASA grants; NASA(National Aeronautics &amp; Space Administration (NASA))</t>
  </si>
  <si>
    <t>E. Gasson, D. Kowalewski, C. Fogwill, and Z. Thomas are gratefully acknowledged for contributions to an earlier project from which this work subsequently evolved. C. Khroulev and PISM developers are thanked for valuable assistance with the ice sheet model. We are grateful to J. Sutter and an anonymous referee for comments that improved the clarity of the manuscript. This work was funded by contracts RDF-VUW1501 and VUW1203 of the Royal Society of New Zealand, with support from the Antarctic Research Centre (Victoria University of Wellington), New Zealand Ministry for Business, Innovation and Employment contract CO5X1001, and GNS Science. Development of PISM is supported by NASA grants NNX13AM16G and NNX13AK27G. Data presented in this paper are available from the author on request.</t>
  </si>
  <si>
    <t>10.1002/2016GL072422</t>
  </si>
  <si>
    <t>WOS:000398183700034</t>
  </si>
  <si>
    <t>Arthern, RJ; Williams, CR</t>
  </si>
  <si>
    <t>Arthern, Robert J.; Williams, C. Rosie</t>
  </si>
  <si>
    <t>The sensitivity of West Antarctica to the submarine melting feedback</t>
  </si>
  <si>
    <t>SEA-LEVEL RISE; ICE-SHEET; THWAITES GLACIER; PINE ISLAND; FLOW; COLLAPSE; THICKNESS; RETREAT; SURFACE; ZONES</t>
  </si>
  <si>
    <t>We use an ice sheet model with realistic initial conditions to forecast how the Amundsen Sea sector of West Antarctica responds to recently observed rates of submarine melting. In these simulations, we isolate the effects of a positive feedback, driven by submarine melt in new ocean cavities flooded during retreat, by allowing the present climate, calving front and melting beneath existing ice shelves to persist over the 21st century. Even without additional forcing from changes in climate, ice shelf collapse, or ice cliff collapse, the model predicts slow, sustained retreat of West Antarctica, driven by the marine ice sheet instability and current levels of ocean-driven melting. When observed rates of melting are included in new subglacial ocean cavities, the simulated sea level contribution increases, and for sufficiently intense melting it accelerates over time. Conditional Bayesian probabilities for sea level contributions can be derived but will require improved predictions of ocean heat delivery.</t>
  </si>
  <si>
    <t>[Arthern, Robert J.; Williams, C. Rosie] NERC, British Antarct Survey, Cambridge, England</t>
  </si>
  <si>
    <t>Arthern, RJ (corresponding author), NERC, British Antarct Survey, Cambridge, England.</t>
  </si>
  <si>
    <t>rart@bas.ac.uk</t>
  </si>
  <si>
    <t>Natural Environment Research Council; British Antarctic Survey 'Polar Science for Planet Earth' Programme; NERC grant [NE/L005212/1]; Natural Environment Research Council [bas0100034, NE/L005212/1] Funding Source: researchfish; NERC [NE/L005212/1, bas0100034] Funding Source: UKRI</t>
  </si>
  <si>
    <t>Natural Environment Research Council(UK Research &amp; Innovation (UKRI)Natural Environment Research Council (NERC)); British Antarctic Survey 'Polar Science for Planet Earth' Programme; NERC grant(UK Research &amp; Innovation (UKRI)Natural Environment Research Council (NERC)); Natural Environment Research Council(UK Research &amp; Innovation (UKRI)Natural Environment Research Council (NERC)); NERC(UK Research &amp; Innovation (UKRI)Natural Environment Research Council (NERC))</t>
  </si>
  <si>
    <t>The research was funded by the Natural Environment Research Council, including NERC grant NE/L005212/1 and the British Antarctic Survey 'Polar Science for Planet Earth' Programme. We are extremely grateful to providers of satellite data: we used velocity data from E. Rignot, J. Mouginot, and B. Scheuchl. 2011. MEaSUREs InSAR-Based Antarctica Ice Velocity Map. Boulder, Colorado USA: National Snow and Ice Data Center (https://doi.org/10.5067/MEASURES/CRYOSPHERE/nsidc-0484.001); we used rates of elevation change from H. Pritchard's processing of NASA ICESat elevation data ( ICESat elevation data are available at http://nsidc.org/data/icesat/index.html). ALBMAP and Bedmap2 data sets are at http://doi.pangaea.de/10.1594/PANGAEA.734145 and https://secure.antarctica.ac.uk/data/bedmap2/respectively. We acknowledge very useful discussions with Richard Hindmarsh, Hilmar Gudmundsson, and Dan Goldberg. We are extremely grateful to Stephen Cornford and an anonymous reviewer for suggestions that led to numerous improvements in the paper.</t>
  </si>
  <si>
    <t>10.1002/2017GL072514</t>
  </si>
  <si>
    <t>WOS:000398183700035</t>
  </si>
  <si>
    <t>Zhang, TT; Li, TY; Cheng, H; Edwards, RL; Shen, CC; Spötl, C; Li, HC; Han, LY; Li, JY; Huang, CX; Zhao, X</t>
  </si>
  <si>
    <t>Zhang, Tao-Tao; Li, Ting-Yong; Cheng, Hai; Edwards, R. Lawrence; Shen, Chuan-Chou; Spoetl, Christoph; Li, Hong-Chun; Han, Li-Yin; Li, Jun-Yun; Huang, Chun-Xia; Zhao, Xin</t>
  </si>
  <si>
    <t>Stalagmite-inferred centennial variability of the Asian summer monsoon in southwest China between 58 and 791 ka BP</t>
  </si>
  <si>
    <t>Stalagmite delta O-18; Asian summer monsoon; Greenland interstadials; Heinrich event 6; Southern Hemisphere</t>
  </si>
  <si>
    <t>MILLENNIAL-SCALE VARIABILITY; NORTH-ATLANTIC CLIMATE; LAST GLACIAL MAXIMUM; INDIAN-OCEAN CLIMATE; HIGH-RESOLUTION; OXYGEN-ISOTOPE; WINTER MONSOON; INTERANNUAL VARIABILITY; ANTARCTIC OSCILLATION; TEMPERATURE-CHANGES</t>
  </si>
  <si>
    <t>We use a new spliced stalagmite oxygen isotope record from Yangkou Cave and Xinya Cave, Chongqing, southwest China, to reconstruct the centennial-millennial-scale changes in Asian Summer Monsoon (ASM) intensity between 58.0 and 79.3 thousand years before present (ka BP, before AD 1950). This multidecadally resolved record shows four strong ASM periods, corresponding to Greenland Interstadials (GIS) 17-20, and three weak ASM episodes, among which, the one starting at 61.5 +/- 0.2 ka BP and ending at 59.4 +/- 0.2 ka BP that may correlate with Heinrich Event 6. The close agreement of climate events between China and Greenland supports the notion that the ASM is dominantly governed by high-latitude forcings in the Northern Hemisphere. The short-lived interstadial GIS 18, however, lasted for over 3 kyr in the records derived from ASM region, reflecting a gradual decline of ASM intensity, which coincides with a millennial-scale warming trend in Antarctica. This suggests an additional forcing of the ASM by the Southern Hemisphere, which also affected GIS 8-12, H4 and H5, as shown by previous speleothem studies from the ASM region. (C) 2017 Elsevier Ltd. All rights reserved.</t>
  </si>
  <si>
    <t>[Zhang, Tao-Tao; Li, Ting-Yong; Han, Li-Yin; Li, Jun-Yun; Huang, Chun-Xia; Zhao, Xin] Southwest Univ, Chongqing Key Lab Karst Environm, Sch Geog Sci, Chongqing 400715, Peoples R China; [Zhang, Tao-Tao; Li, Ting-Yong] Chinese Acad Sci, Inst Earth Environm, State Key Lab Loess &amp; Quaternary Geol, Xian 710075, Peoples R China; [Zhang, Tao-Tao; Li, Ting-Yong] Minist Land &amp; Resources China, Field Sci Observat &amp; Res Base Karst Ecoenvironm N, Chongqing 408435, Peoples R China; [Cheng, Hai] Xi An Jiao Tong Univ, Inst Global Environm Change, Xian 710049, Peoples R China; [Edwards, R. Lawrence] Univ Minnesota, Dept Earth Sci, Minneapolis, MN 55455 USA; [Shen, Chuan-Chou; Li, Hong-Chun] Natl Taiwan Univ, Dept Geosci, Taipei 10617, Taiwan; [Spoetl, Christoph] Univ Innsbruck, Inst Geol, A-6020 Innsbruck, Austria</t>
  </si>
  <si>
    <t>Southwest University - China; Chinese Academy of Sciences; Institute of Earth Environment, CAS; Ministry of Natural Resources of the People's Republic of China; Xi'an Jiaotong University; University of Minnesota System; University of Minnesota Twin Cities; National Taiwan University; University of Innsbruck</t>
  </si>
  <si>
    <t>Li, TY (corresponding author), Southwest Univ, Sch Geog Sci, 2 Tiansheng Rd, Chongqing 400715, Peoples R China.</t>
  </si>
  <si>
    <t>cdlty@swu.edu.cn</t>
  </si>
  <si>
    <t>Li, HongChun/AAJ-4053-2021; Shen, Chuan-Chou/JCE-1989-2023; Shen, Chuan-Chou/H-9642-2013; CHENG, HAI/H-3413-2017; lin, ke/GZM-8300-2022; Edwards, R. Lawrence/I-3124-2014; ZHANG, TAO/ITV-6162-2023; Edwards, Richard/JAX-3732-2023</t>
  </si>
  <si>
    <t>Li, HongChun/0000-0001-9614-7119; Shen, Chuan-Chou/0000-0003-2833-2771; Shen, Chuan-Chou/0000-0003-2833-2771; CHENG, HAI/0000-0002-5305-9458;</t>
  </si>
  <si>
    <t>NSFC [41172165, 41302138, 41440020]; Fundamental Research Funds for the Central Universities [XDJK2013A012, XDJK2014C010]; Karst Dynamics Laboratory, MLR [KDL201301]; Karst Dynamics Laboratory, GZAR [KDL201301]; open project of State Key Laboratory of Loess and Quaternary Geology [SKLLQG1310]; Taiwan MOST [103-2119-M-002-022]</t>
  </si>
  <si>
    <t>NSFC(National Natural Science Foundation of China (NSFC)); Fundamental Research Funds for the Central Universities(Fundamental Research Funds for the Central Universities); Karst Dynamics Laboratory, MLR; Karst Dynamics Laboratory, GZAR; open project of State Key Laboratory of Loess and Quaternary Geology; Taiwan MOST</t>
  </si>
  <si>
    <t>This research was financially supported by the NSFC (Nos. 41172165, 41302138, and 41440020), the Fundamental Research Funds for the Central Universities (Nos. XDJK2013A012 and XDJK2014C010), Karst Dynamics Laboratory, MLR and GZAR (No. KDL201301) and the open project of State Key Laboratory of Loess and Quaternary Geology (No. SKLLQG1310) to T.-Y. Li and J.-Y. Li. This study was also supported by a Taiwan MOST grant (103-2119-M-002-022 to C.-C.S.).</t>
  </si>
  <si>
    <t>MAR 15</t>
  </si>
  <si>
    <t>10.1016/j.quascirev.2017.02.003</t>
  </si>
  <si>
    <t>EP4UA</t>
  </si>
  <si>
    <t>WOS:000397374200001</t>
  </si>
  <si>
    <t>Arndt, JE; Jokat, W; Dorschel, B</t>
  </si>
  <si>
    <t>Arndt, Jan Erik; Jokat, Wilfried; Dorschel, Boris</t>
  </si>
  <si>
    <t>The last glaciation and deglaciation of the Northeast Greenland continental shelf revealed by hydro-acoustic data</t>
  </si>
  <si>
    <t>Submarine glacial landforms; LGM ice extent; Ice flow; Ice retreat; Swath bathymetry; Northeast Greenland ice stream; Arctic</t>
  </si>
  <si>
    <t>ANTARCTIC ICE-SHEET; LAYER BENEATH; FLOW; DYNAMICS; SEA; GLACIER; OCEAN; SEDIMENTATION; CONSTRAINTS; PLEISTOCENE</t>
  </si>
  <si>
    <t>About 16% of the Greenland Ice Sheet drains in the area of the Northeast Greenland shelf between 76 degrees N and 80.5 degrees N via marine terminating glaciers. Most of it is via the Northeast Greenland Ice Stream, the largest ice stream of Greenland. During ice ages, the ice sheet extended onto the continental shelf and modern-day cross-shelf troughs were filled by ice streams. In this study, high-resolution hydro-acoustic data acquired during three decades of research were jointly investigated to reveal the past glacial conditions. Our data shows that Westwind Trough and Norske Trough were filled by fast flowing ice streams that extended to the shelf edge during the last glacial maximum. In between the cross-shelf troughs, ice domes resided on shallow banks that may have contributed about a decimetre to global sea level. Most probably these ice domes initiated fast ice flow through sinks in the inter-trough area. In Westwind Trough, ice sheet retreat to the inner shelf after the last glacial maximum was intermittent. In contrast, in Norske Trough the ice sheet retreat appears relatively rapid with no evidences for phases of grounding line stabilization. Probably during the Younger Dryas, the ice sheet readvanced to a mid-shelf position in both troughs documented by grounding zone wedges. During this time, a thick ice shelf was present in Norske Trough releasing tabular icebergs. Ice sheet retreat from the mid-shelf to the coastline during Holocene deglaciation was rapid. (C) 2017 Elsevier Ltd. All rights reserved.</t>
  </si>
  <si>
    <t>[Arndt, Jan Erik; Jokat, Wilfried; Dorschel, Boris] Helmholtz Ctr Polar &amp; Marine Res, Alfred Wegener Inst, Bremerhaven, Germany</t>
  </si>
  <si>
    <t>Arndt, JE (corresponding author), Handelshafen 12, D-27570 Bremerhaven, Germany.</t>
  </si>
  <si>
    <t>Jan.Erik.Arndt@awi.de</t>
  </si>
  <si>
    <t>Jokat, Wilfried/0000-0002-7793-5854; Arndt, Jan Erik/0000-0002-9413-1612</t>
  </si>
  <si>
    <t>Alfred Wegener Institute Helmholtz Centre for Polar and Marine Research</t>
  </si>
  <si>
    <t>We thank all captains, crews and scientists involved in collecting the data used in this study. We also thank J.P. Klages and F. Niessen (AWI) for providing comments on a preliminary draft of the manuscript. We thank two anonymous reviewers for providing detailed comments on the manuscript. This research was funded by the Alfred Wegener Institute Helmholtz Centre for Polar and Marine Research.</t>
  </si>
  <si>
    <t>10.1016/j.quascirev.2017.01.018</t>
  </si>
  <si>
    <t>WOS:000397374200004</t>
  </si>
  <si>
    <t>Baker, A; Pedentchouk, N; Routh, J; Roychoudhury, AN</t>
  </si>
  <si>
    <t>Baker, Andrea; Pedentchouk, Nikolai; Routh, Joyanto; Roychoudhury, Alakendra N.</t>
  </si>
  <si>
    <t>Climatic variability in Mfabeni peatlands (South Africa) since the late Pleistocene</t>
  </si>
  <si>
    <t>Holocene; Pleistocene; Paleoclimatology; Southern Africa; Stable isotopes; Continental biomarkers; Peatland</t>
  </si>
  <si>
    <t>LAKE ST-LUCIA; VEGETATION CHANGE; ISOTOPIC COMPOSITION; LAST DEGLACIATION; FUNCTIONAL TYPES; ATMOSPHERIC CO2; NEW-ZEALAND; DYNAMICS; C-3; RECORD</t>
  </si>
  <si>
    <t>It has been postulated that a bipolar seesaw interhemispheric mechanism dominated the relationship between the Northern and Southern hemisphere climates since the late Pleistocene. A key test for this proposition would be to undertake palaeoenvironmental studies on terrestrial archives in climatically sensitive regions. Southern Africa's contemporary C-3 and C-4 terrestrial plant distributions display a definitive geographical pattern dictated by different growing season rainfall and temperature zones; however, the region is generally archive poor due to its overall semi-arid climate and high relief topography. The Mfabeni peatland, with a basal age of c. 47 k yrs calibrated before present (kcal yr BP), is one of the oldest continuous coastal peat deposits in Southern Africa. Molecular leaf wax isotopes (delta C-13(wax)) were generated for a 810 cm long core, and combined with previously published bulk geochemical (delta C-13(bulk), %TOC), palynological, and stratigraphic data, to reconstruct the late Pleistocene and Holocene palaeoenvironments. We interpreted environmental shifts associated with the Heinrich 4, Last Glacial Maximum, deglacial and Holocene periods, which are consistent with adjacent Indian Ocean sea surface temperature records. However, the other shorter climate perturbations during the Heinrich 5, 3, 2, 1, Antarctic cold reversal and Younger Dryas, were muted, most likely due to local hydrological overprinting on the Mfabeni record. A general anti-phase sequence was observed between the Mfabeni record and better established Northern Hemisphere events, underpinning the bipolar seesaw interhemispheric mechanism proposed for global climate forcing since the Late Pleistocene. (C) 2017 Elsevier Ltd. All rights reserved.</t>
  </si>
  <si>
    <t>[Baker, Andrea; Roychoudhury, Alakendra N.] Univ Stellenbosch, Dept Earth Sci, Stellenbosch, South Africa; [Pedentchouk, Nikolai] Univ East Anglia, Sch Environm Sci, Norwich, Norfolk, England; [Routh, Joyanto] Linkoping Univ, Dept Themat Studies Environm Change, Linkoping, Sweden</t>
  </si>
  <si>
    <t>Stellenbosch University; University of East Anglia; Linkoping University</t>
  </si>
  <si>
    <t>Baker, A (corresponding author), Univ Stellenbosch, Dept Earth Sci, Private Bag 11, ZA-7602 Matieland, South Africa.</t>
  </si>
  <si>
    <t>beensknees@gmail.com</t>
  </si>
  <si>
    <t>Pedentchouk, Nikolai/C-9935-2011</t>
  </si>
  <si>
    <t>Pedentchouk, Nikolai/0000-0002-2923-966X; Routh, Joyanto/0000-0001-7184-1593; Roychoudhury, Alakendra/0000-0002-5627-8891</t>
  </si>
  <si>
    <t>Swedish Research Link-South Africa program [348-2009-6500]; National Research Foundation; InKaba yeAfrica</t>
  </si>
  <si>
    <t>Swedish Research Link-South Africa program; National Research Foundation; InKaba yeAfrica</t>
  </si>
  <si>
    <t>Alistair Clulow assisted with field access and site identification. A Russian peat corer was supplied by Piet-Louis Grundling. iSi-mangaliso Authority and Ezemvelo KZN Wildlife granted park access and sampling permits. The project was supported through a bilateral funding agreement by the Swedish Research Link-South Africa program (Grant 348-2009-6500). Student support was provided by the National Research Foundation and InKaba yeAfrica. This is an Inkaba ye Africa publication no. 160 and AEON publication no. 153.</t>
  </si>
  <si>
    <t>10.1016/j.quascirev.2017.02.009</t>
  </si>
  <si>
    <t>WOS:000397374200005</t>
  </si>
  <si>
    <t>Turney, CSM; Fogwill, CJ; Palmer, JG; van Sebille, E; Thomas, Z; McGlone, M; Richardson, S; Wilmshurst, JM; Fenwick, P; Zunz, V; Goosse, H; Wilson, KJ; Carter, L; Lipson, M; Jones, RT; Harsch, M; Clark, G; Marzinelli, E; Rogers, T; Rainsley, E; Ciasto, L; Waterman, S; Thomas, ER; Visbeck, M</t>
  </si>
  <si>
    <t>Turney, Chris S. M.; Fogwill, Christopher J.; Palmer, Jonathan G.; van Sebille, Erik; Thomas, Zoe; McGlone, Matt; Richardson, Sarah; Wilmshurst, Janet M.; Fenwick, Pavla; Zunz, Violette; Goosse, Hugues; Wilson, Kerry-Jayne; Carter, Lionel; Lipson, Mathew; Jones, Richard T.; Harsch, Melanie; Clark, Graeme; Marzinelli, Ezequiel; Rogers, Tracey; Rainsley, Eleanor; Ciasto, Laura; Waterman, Stephanie; Thomas, Elizabeth R.; Visbeck, Martin</t>
  </si>
  <si>
    <t>Tropical forcing of increased Southern Ocean climate variability revealed by a 140-year subantarctic temperature reconstruction</t>
  </si>
  <si>
    <t>SEALS MIROUNGA-LEONINA; CAMPBELL-ISLAND; ANNULAR MODE; POPULATION-DYNAMICS; ROCKHOPPER PENGUINS; SURFACE; ICE; TRENDS; OSCILLATION; SYSTEM</t>
  </si>
  <si>
    <t>Occupying about 14% of the world's surface, the Southern Ocean plays a fundamental role in ocean and atmosphere circulation, carbon cycling and Antarctic ice-sheet dynamics. Unfortunately, high interannual variability and a dearth of instrumental observations before the 1950s limits our understanding of how marine-atmosphere-ice domains interact on multi-decadal timescales and the impact of anthropogenic forcing. Here we integrate climate-sensitive tree growth with ocean and atmospheric observations on southwest Pacific subantarctic islands that lie at the boundary of polar and subtropical climates (52-54 ffi S). Our annually resolved temperature reconstruction captures regional change since the 1870s and demonstrates a significant increase in variability from the 1940s, a phenomenon predating the observational record. Climate reanalysis and modelling show a parallel change in tropical Pacific sea surface temperatures that generate an atmospheric Rossby wave train which propagates across a large part of the Southern Hemisphere during the austral spring and summer. Our results suggest that modern observed high interannual variability was established across the mid-twentieth century, and that the influence of contemporary equatorial Pacific temperatures may now be a permanent feature across the mid-to high latitudes.</t>
  </si>
  <si>
    <t>[Turney, Chris S. M.; Fogwill, Christopher J.; Palmer, Jonathan G.; Thomas, Zoe; Lipson, Mathew; Waterman, Stephanie] Univ New South Wales, Sch Biol Earth &amp; Environm Sci, Climate Change Res Ctr, Sydney, NSW, Australia; [Turney, Chris S. M.; Fogwill, Christopher J.; Palmer, Jonathan G.; Thomas, Zoe] Univ New South Wales, Palaeontol Geobiol &amp; Earth Arch Res Ctr, Sch Biol Earth &amp; Environm Sci, Sydney, NSW, Australia; [van Sebille, Erik; Lipson, Mathew; Waterman, Stephanie] Univ New South Wales, ARC Ctr Excellence Climate Syst Sci, New South Wales, Australia; [van Sebille, Erik] Imperial Coll London, Grantham Inst, London, England; [van Sebille, Erik] Imperial Coll London, Dept Phys, London, England; [McGlone, Matt; Richardson, Sarah; Wilmshurst, Janet M.] Landcare Res, POB 69040, Lincoln 7640, New Zealand; [Wilmshurst, Janet M.] Univ Auckland, Sch Environm, Auckland, New Zealand; [Fenwick, Pavla] Gondwana Tree Ring Lab, POB 14, Canterbury 7546, New Zealand; [Zunz, Violette; Goosse, Hugues] Catholic Univ Louvain, Earth &amp; Life Inst, Georges Lemaitre Ctr Earth &amp; Climate Res, Pl Pasteur 3, B-1348 Louvain, Belgium; [Zunz, Violette] Vrije Univ Brussels, Earth Syst Sci &amp; Dept Geografie, Brussels, Belgium; [Wilson, Kerry-Jayne] West Coast Penguin Trust, POB 70, Charleston 7865, New Zealand; [Carter, Lionel] Univ Victoria, Antarct Res Ctr, Wellington, New Zealand; [Jones, Richard T.] Univ Exeter, Geog Coll Life &amp; Environm Sci, Exeter EX4 4RJ, Devon, England; [Harsch, Melanie] Univ Washington, Dept Biol, Seattle, WA USA; [Clark, Graeme; Marzinelli, Ezequiel; Rogers, Tracey] Univ New South Wales, Evolut &amp; Ecol Res Ctr, Sch Biol Earth &amp; Environm Sci, Sydney, NSW, Australia; [Marzinelli, Ezequiel] Sydney Inst Marine Sci, Chowder Bay Rd, Mosman, NSW 2088, Australia; [Rainsley, Eleanor] Univ Wollongong, Wollongong Isotope Geochronol Lab, Sch Earth &amp; Environm Sci, Wollongong, NSW 2522, Australia; [Ciasto, Laura] Univ Bergen, Geophys Inst, Bergen, Norway; [Ciasto, Laura] Bjerknes Ctr Climate Res, Bergen, Norway; [Waterman, Stephanie] Univ British Columbia, Dept Earth Ocean &amp; Atmospher Sci, Vancouver, BC, Canada; [Thomas, Elizabeth R.] British Antarctic Survey, Cambridge, England; [Visbeck, Martin] GEOMAR Helmholtz Ctr Ocean Res Kiel, Kiel, Germany; [Visbeck, Martin] Univ Kiel, Kiel, Germany</t>
  </si>
  <si>
    <t>University of New South Wales Sydney; University of New South Wales Sydney; University of New South Wales Sydney; Imperial College London; Imperial College London; Landcare Research - New Zealand; University of Auckland; Universite Catholique Louvain; Vrije Universiteit Brussel; Victoria University Wellington; University of Exeter; University of Washington; University of Washington Seattle; University of New South Wales Sydney; Sydney Institute of Marine Science; University of Wollongong; University of Bergen; Bjerknes Centre for Climate Research; University of British Columbia; UK Research &amp; Innovation (UKRI); Natural Environment Research Council (NERC); NERC British Antarctic Survey; Helmholtz Association; GEOMAR Helmholtz Center for Ocean Research Kiel; University of Kiel</t>
  </si>
  <si>
    <t>Turney, CSM (corresponding author), Univ New South Wales, Sch Biol Earth &amp; Environm Sci, Climate Change Res Ctr, Sydney, NSW, Australia.;Turney, CSM (corresponding author), Univ New South Wales, Palaeontol Geobiol &amp; Earth Arch Res Ctr, Sch Biol Earth &amp; Environm Sci, Sydney, NSW, Australia.</t>
  </si>
  <si>
    <t>c.turney@unsw.edu.au</t>
  </si>
  <si>
    <t>Marzinelli, Ezequiel/AAH-2906-2019; van Sebille, Erik/F-6781-2010; Visbeck, Martin H/B-6541-2016; Palmer, Jonathan/J-7834-2012; Lipson, Mathew/AAP-6977-2021; Fogwill, Chris/AAW-3502-2021; Waterman, Stephanie/AAY-6033-2020; Wilmshurst, Janet/O-8611-2019; Fogwill, Christopher/HPF-1150-2023; Thomas, Elizabeth Ruth/ADF-3660-2022; Rogers, Tracey L/C-3419-2008; Thomas, Zoe/D-1656-2016; Turney, Chris/P-8701-2018; Clark, Graeme/M-6448-2017</t>
  </si>
  <si>
    <t>Marzinelli, Ezequiel/0000-0002-3762-3389; Visbeck, Martin H/0000-0002-0844-834X; Palmer, Jonathan/0000-0002-6665-4483; Fogwill, Chris/0000-0002-6471-1106; Waterman, Stephanie/0000-0001-5797-1092; Wilmshurst, Janet/0000-0002-4474-8569; Thomas, Elizabeth Ruth/0000-0002-3010-6493; Lipson, Mathew/0000-0001-5322-1796; van Sebille, Erik/0000-0003-2041-0704; Thomas, Zoe/0000-0002-2323-4366; Rogers, Tracey/0000-0002-7141-4177; Turney, Chris/0000-0001-6733-0993; Clark, Graeme/0000-0002-0230-6631</t>
  </si>
  <si>
    <t>Australasian Antarctic Expedition; Australian Research Council [FL100100195, FT120100004, DE130101336, DP130104156]; University of New South Wales; Natural Environment Research Council [bas0100034] Funding Source: researchfish; NERC [bas0100034] Funding Source: UKRI</t>
  </si>
  <si>
    <t>Australasian Antarctic Expedition; Australian Research Council(Australian Research Council); University of New South Wales; Natural Environment Research Council(UK Research &amp; Innovation (UKRI)Natural Environment Research Council (NERC)); NERC(UK Research &amp; Innovation (UKRI)Natural Environment Research Council (NERC))</t>
  </si>
  <si>
    <t>A large thanks to the captain and crew of the MV Akademik Shokalskiy, and Henk Haazen and Kali Kahn on the Tiama for all their help in the field. Thanks also to Lisa Alexander (CCRC) for the analysis of meteorological datasets and to Jean-Baptiste Sallee, who kindly provided the location of the main fronts of the ACC (Fig. 1). This work was supported by the Australasian Antarctic Expedition 2013-2014, the Australian Research Council (FL100100195, FT120100004, DE130101336, and DP130104156), and the University of New South Wales. Research on the New Zealand subantarctic Campbell Island was undertaken under Department of Conservation National Authorization Numbers 37687-FAU and 39761-RES. Kathy Allen and three anonymous reviewers kindly provided valuable and constructive criticism which improved an earlier version of this paper.</t>
  </si>
  <si>
    <t>10.5194/cp-13-231-2017</t>
  </si>
  <si>
    <t>EO5LM</t>
  </si>
  <si>
    <t>Green Published, gold, Green Submitted, Green Accepted</t>
  </si>
  <si>
    <t>WOS:000396734600001</t>
  </si>
  <si>
    <t>Krot, AN; Nagashima, K; van Kooten, EMM; Bizzarro, M</t>
  </si>
  <si>
    <t>Krot, Alexander N.; Nagashima, Kazuhide; van Kooten, Elishevah M. M.; Bizzarro, Martin</t>
  </si>
  <si>
    <t>High-temperature rims around calcium-aluminum-rich inclusions from the CR, CB and CH carbonaceous chondrites</t>
  </si>
  <si>
    <t>Ca,Al-rich inclusions; Wark-Lovering rims; High-temperature rims; CB chondrites; CH chondrites; CR chondrites; Oxygen isotopes</t>
  </si>
  <si>
    <t>OXYGEN-ISOTOPIC COMPOSITIONS; EARLY SOLAR-SYSTEM; REFRACTORY INCLUSIONS; SELF-DIFFUSION; CHONDRULES; OLIVINE; ORIGIN; METAL; ANOMALIES; PETROLOGY</t>
  </si>
  <si>
    <t>We describe the mineralogy, petrology and oxygen isotopic compositions of high-temperature rims around mineralogically pristine calcium-aluminum-rich inclusions ( CAIs) from the CR, CB and CH carbonaceous chondrites. In CR chondrites, nearly all CAIs are surrounded by single-or multi-layered rims composed of CAI-like minerals; relict CAIs inside chondrules in which the rims were resorbed by the host chondrule melt ( Aleon et al., 2002; Makide et al., 2009) are the only exception. A complete multi-layered rim sequence (from inside outward: spinel + hibonite + perovskite -&gt; melilite -&gt; anorthite replacing melilite -&gt; Al-diopside -&gt; forsterite) is rarely observed; Al-diopside similar to forsterite rims are more common. The CR CAIs and all rim layers are uniformly O-16-rich (Delta O-17 similar to -24 parts per thousand), indicating formation in a O-16-rich gaseous reservoir. The mineralogy, petrology and O-16-rich compositions of these rims suggest formation by evaporation/ condensation, melting (?), and thermal annealing in the formation region of the host CAIs. We define such rims as the primordial Wark-Lovering (WL) rims. In CH chondrites, most CAIs are uniformly O-16-rich and surrounded by the primordial WL rims. One of the O-16-rich CAIs is surrounded by an anorthite-Al-diopside WL rim showing a range of Delta(17) O values, from similar to -24 parts per thousand to similar to -6 parts per thousand; Delta(17) O decreases towards the CAI core. We infer that this rim experienced incomplete melting and O-isotope exchange in an O-16-poor nebular gas, most likely during chondrule formation. Most CAIs in CB chondrites and about 10 parts per thousand of CAIs in CH chondrites are uniformly O-16-depleted igneous inclusions; Delta O-17 values between individual CAIs vary from similar to 12 parts per thousand to similar to 5 parts per thousand. These CAIs have diverse mineralogies (grossite-rich, hibonite-rich, melilite-rich, spinel-rich, and Al, Ti-diopside +/- forsterite-rich), but are surrounded by the mineralogically similar igneous rims composed of +/- melilite, Al-diopside and Ca-rich forsterite (0.5-1.4 wt% CaO). The igneous rims and the host igneous CAIs have identical (within uncertainties of our SIMS measurements) O-isotope compositions, suggesting that they crystallized from isotopically similar, but chemically distinct melts. We suggest that the uniformly O-16-depleted igneous rims around the uniformly O-16-depleted igneous CAIs in CB and CH chondrites formed during melting of pre-existing CAIs in an impact-generated plume invoked for the origin of CB chondrites (Krot et al., 2005), followed by O-isotope exchange with an O-16-poor plume gas (Delta O-17 similar to -2 parts per thousand), condensation of gaseous SiO and Mg into CAI melt, and its subsequent crystallization. We conclude that high-temperature rims around CAIs from CR, CH and CB chondrites recorded thermal processing in gaseous reservoirs with different oxygen isotopic compositions. In contrast to the isotopically heterogeneous WL rims around CV CAIs, our data provide no evidence that CAIs were transported between O-16-rich and O-16-poor gaseous reservoirs multiple times. We suggest instead that oxygen-isotope heterogeneity in the CV WL rims resulted from a fluid- rock interaction on the CV parent asteroid. (C) 2016 Elsevier Ltd. All rights reserved.</t>
  </si>
  <si>
    <t>[Krot, Alexander N.; Nagashima, Kazuhide] Univ Hawaii Manoa, Sch Ocean Earth Sci &amp; Technol, Hawaii Inst Geophys &amp; Planetol, Honolulu, HI 96822 USA; [Krot, Alexander N.; van Kooten, Elishevah M. M.; Bizzarro, Martin] Univ Copenhagen, Ctr Star &amp; Planet Format, DK-1350 Copenhagen, Denmark; [Krot, Alexander N.; van Kooten, Elishevah M. M.; Bizzarro, Martin] Univ Copenhagen, Nat Hist Museum Denmark, DK-1350 Copenhagen, Denmark</t>
  </si>
  <si>
    <t>University of Hawaii System; University of Hawaii Manoa; University of Copenhagen; University of Copenhagen</t>
  </si>
  <si>
    <t>Krot, AN (corresponding author), Univ Hawaii Manoa, Sch Ocean Earth Sci &amp; Technol, Hawaii Inst Geophys &amp; Planetol, Honolulu, HI 96822 USA.</t>
  </si>
  <si>
    <t>sasha@higp.hawaii.edu</t>
  </si>
  <si>
    <t>Bizzarro, Martin/M-7474-2019</t>
  </si>
  <si>
    <t>Bizzarro, Martin/0000-0001-9966-2124; Nagashima, Kazuhide/0000-0002-9322-3187; van Kooten, Elishevah/0000-0003-3333-4421</t>
  </si>
  <si>
    <t>National Aeronautics and Space Administration (NASA) [NNX10AH76G]; NASA Emerging Worlds [14-EW14_ 2-0049]</t>
  </si>
  <si>
    <t>National Aeronautics and Space Administration (NASA)(National Aeronautics &amp; Space Administration (NASA)); NASA Emerging Worlds</t>
  </si>
  <si>
    <t>The Meteorite Working Group is thanked for the loan of meteorites from the Antarctic Meteorite Collections. The authors also thank Dr. Edward R. D. Scott and Dr. Guy Libourel for helpful discussions. This material is based upon work supported by the National Aeronautics and Space Administration (NASA) Cosmochemistry grant NNX10AH76G (ANK, PI) and NASA Emerging Worlds grant 14-EW14_ 2-0049 ( ANK, PI). We dedicate this paper to Ian Douglass Hutcheon.</t>
  </si>
  <si>
    <t>10.1016/j.gca.2016.09.031</t>
  </si>
  <si>
    <t>EO6HR</t>
  </si>
  <si>
    <t>WOS:000396793300010</t>
  </si>
  <si>
    <t>Marr, KR; Madden, MEE; Soreghan, GS; Hall, BL</t>
  </si>
  <si>
    <t>Marr, Kristen R.; Madden, Megan E. Elwood; Soreghan, Gerilyn S.; Hall, Brenda L.</t>
  </si>
  <si>
    <t>Chemical weathering trends in fine-grained ephemeral stream sediments of the McMurdo Dry Valleys, Antarctica</t>
  </si>
  <si>
    <t>Chemical weathering; Antarctica; Polar streams; BET surface area; Hyporheic zone; Mineral dissolution; Cold-based glacier</t>
  </si>
  <si>
    <t>SOUTHERN VICTORIA LAND; BET SURFACE-AREA; TAYLOR VALLEY; ICE-SHEET; TRANSANTARCTIC MOUNTAINS; POLAR DESERT; EXCHANGE CONTROLS; MELTWATER STREAM; WRIGHT VALLEY; AEOLIAN FLUX</t>
  </si>
  <si>
    <t>We investigated chemical weathering trends within the fine-grained (&lt;63 mu m; silt and clay) fraction of sediments collected from meltwater streams emanating from glaciers in the McMurdo Dry Valleys (MDV; Wright and Taylor Valleys) by integrating grain size, BET surface area, and whole-rock geochemistry. While both valleys currently host cold-based glaciers, the sediment underlying the ephemeral glacial streams was deposited under differing glacial conditions. In Wright Valley (Clark Glacier stream), Brownworth and Trilogy drifts were deposited via cold-based glaciation, whereas the Ross Sea drift that underlies Delta Stream in Taylor Valley likely reflects contributions from wet-based ice. Wright Valley stream sediments are typically coarser grained and have a higher silt content as compared to Taylor Valley sediments. These sediments consist primarily of pyroxenes, quartz, and feldspars, with the percentages of pyroxenes and quartz systematically increasing downstream. The percentage of phyllosilicates ranges from 4 to 18% and decreases with downstream distance. In contrast, Taylor Valley sediments (Delta Stream) are finer-grained and exhibit lower percentages of both pyroxene and quartz and a significantly higher percentage of phyllosilicates (30-43%). Concentrations of all mineral phases remain relatively consistent in abundance with downstream transport in the Delta Stream transect as compared to Clark Glacier stream sediments. Standard chemical weathering indices, such as the Chemical Index of Alteration (CIA), indicate that chemical weathering is occurring within the silt and clay fractions of Antarctic stream sediments and is particularly pronounced in Delta Stream sediments that have BET surface area measurements &gt;40 m(2)/g. Utilization of MFW (mafic-felsic-weathered) and A-CN-K (Al2O3-CaO + Na2O-K2O plots, however, are more effective in discerning the extent and nature of chemical weathering in these stream systems. Ca and Na depletion observed within the sediments exhibiting the highest surface area in Delta Stream suggest that chemical weathering may result in pitting and/or incongruent dissolution of pyroxenes and feldspars, as well as the development of amorphous and/or nanophase weathering products. In contrast, Clark Glacier stream sediments do not have similar leaching trends in the fine-grained sediment fraction and exhibit minimal weathering overall. This may suggest that fine-grained material is being trapped on top of the Clark Glacier surface and has not yet been transported into the weathering environment of the hyporheic zone due to timing of sampling. Alternatively, complete dissolution of very fine-grained sediment could be occurring in this stream transect, and is therefore not preserved in the fine sediment fraction. Overall, the magnitude of chemical weathering observed between the two stream systems is ultimately related to the nature of the underlying drift (cold and wet based drift deposition), dispersal patterns of eolian fines, and variable stream discharge rates. Thus, incorporation of local fine-grained sediment derived from the underlying glacial drift deposits and distributed via the varying wind regimes within the hyper-arid climate into active stream channels may facilitate incongruent mineral dissolution and development of weathering products, and ultimately influence the composition and concentration of meltwater stream solutes. Published by Elsevier B.V.</t>
  </si>
  <si>
    <t>[Marr, Kristen R.; Madden, Megan E. Elwood; Soreghan, Gerilyn S.] Univ Oklahoma, Sch Geol &amp; Geophys, 100 E Boyd St,Suite 710, Norman, OK 73072 USA; [Hall, Brenda L.] Univ Maine, Sch Earth &amp; Climate Sci, Bryand Global Sci Ctr 303, Orono, ME 04469 USA; [Hall, Brenda L.] Univ Maine, Climate Change Inst, Bryand Global Sci Ctr 303, Orono, ME 04469 USA</t>
  </si>
  <si>
    <t>University of Oklahoma System; University of Oklahoma - Norman; University of Maine System; University of Maine Orono; University of Maine System; University of Maine Orono</t>
  </si>
  <si>
    <t>Marr, KR (corresponding author), US Geol Survey, Denver, CO 80225 USA.</t>
  </si>
  <si>
    <t>kmarra@usgs.gov</t>
  </si>
  <si>
    <t>Elwood Madden, Megan/C-3381-2009</t>
  </si>
  <si>
    <t>Elwood Madden, Megan/0000-0002-6735-4554; Soreghan, Gerilyn/0000-0001-6925-5675</t>
  </si>
  <si>
    <t>NSF [ANT-0842639, EAR-12252162]</t>
  </si>
  <si>
    <t>Financial support for this work was provided by NSF # ANT-0842639 and # EAR-12252162. Any opinions, findings, and conclusions or recommendations expressed in this material are those of the authors and do not necessarily reflect the view of the National Science Foundation. The authors thank A. Stumpf (University of Oklahoma) for sampling assistance during the 2009-2010 Antarctic field season and S. Braddock (University of Maine) for collecting supplementary samples in Taylor Valley during the 2012-2013 field season. Additionally, the authors thank M. Irwinsky, J. DiGiulio, V. Priegnitz, J. Westrop, J. Miller, and R. Funderberg (University of Oklahoma) for assistance with sample processing and analyses, and A. Boehlke, B. Benzell, and B. Betterton (USGS) for assistance with clay XRD preparation and analyses. The authors also thank A. Elwood Madden for helpful discussions pertaining to clay mineralogy and BET surface area measurements. Lastly, the authors thank S. Lecce, J. Levy, and two anonymous reviewers for substantial comments and suggestions that significantly improved the manuscript.</t>
  </si>
  <si>
    <t>10.1016/j.geomorph.2016.12.016</t>
  </si>
  <si>
    <t>EL3YO</t>
  </si>
  <si>
    <t>WOS:000394556800002</t>
  </si>
  <si>
    <t>Calcium-aluminum-rich inclusions recycled during formation of porphyritic chondrules from CH carbonaceous chondrites</t>
  </si>
  <si>
    <t>CH chondrites; Chondrules; Refractory inclusions; Oxygen isotopes; Relict grains</t>
  </si>
  <si>
    <t>OXYGEN ISOTOPIC COMPOSITIONS; EARLY SOLAR-SYSTEM; REFRACTORY INCLUSIONS; CONTEMPORANEOUS FORMATION; ELEMENT ABUNDANCES; MELILITE CRYSTALS; I. MINERALOGY; IGNEOUS RIMS; METAL; MAGNESIUM</t>
  </si>
  <si>
    <t>We report on the mineralogy, petrography, and O-isotope compositions of similar to 60 Ca, Al-rich inclusions (CAIs) incompletely melted during formation of porphyritic chondrules from the CH metal-rich carbonaceous chondrites and Isheyevo (CH/CB). These include (i) relict polymineralic CAIs in porphyritic chondrules, (ii) CAIs surrounded by chondrule-like igneous rims, (iii) igneous pyroxene-rich and Type C-like CAIs, and (iv) plagioclase-rich chondrules with clusters of relict spinel grains. Al-26-Mg-26 systematics were measured in 10 relict CAIs and 11 CAI-bearing plagioclase-rich chondrules. Based on the mineralogy, the CH CAIs incompletely melted during chondrule formation can be divided into grossite-rich (n = 13), hiboniterich (n = 11), spinel +/- melilite-rich (n = 33; these include plagioclase-rich chondrules with clusters of relict spinel grains) types. Mineralogical observations indicate that these CAIs were mixed with different proportions of ferromagnesian silicates and experienced incomplete melting and gas-melt interaction during chondrule formation. These processes resulted in partial or complete destruction of the CAI Wark-Lovering rims, replacement of melilite by Na-bearing plagioclase, and dissolution and overgrowth of nearly end-member spinel by chromium-and iron-bearing spinel. Only two relict CAIs and two CAIbearing chondrules show resolvable excess of radiogenic Mg-26; the inferred initial Al-26/Al-27 ratios are (1.7 +/- 1.3) X 10(-6), (3.7 +/- 3.1) x 10(7), (1.9 +/- 0.9) X 10(6) and (4.9 +/- 2.6) X 10(6). There is a large range of Delta O-17 among the CH CAIs incompletely melted during chondrule formation, from similar to-37%(infinity) to similar to-5%(infinity); the unmelted minerals in individual CAIs, however, are isotopically uniform and systematically O-16-enriched relative to the host chondrules and chondrule-like igneous rims, which have Delta O-17 ranging from similar to-7%(infinity) to similar to+ 4%(infinity). Most of the CH CAIs incompletely melted during chondrule formation are mineralogically and isotopically similar to the CH CAIs surrounded by Wark-Lovering rims and apparently unaffected by chondrule melting. The mineralogy and O-isotope compositions of the CH CAI-bearing chondrules are similar to those of the CH porphyritic chondrules without relict CAIs. We conclude that CH porphyritic chondrules formed by incomplete melting of isotopically diverse solid precursors, including mineralogically and isotopically unique CAIs commonly observed only in CH chondrites. Therefore, the CH porphyritic chondrules must have formed in a distinct disk region, where the CH CAIs were present at the time of chondrule formation. Because most CH CAIs avoided chondrule melting, we infer that chondrule formation was highly localized. These observations preclude formation of CH porphyritic chondrules by splashing of molten planetesimals, by impact processing of differentiated planetesimals, and by large scale nebular shocks, e.g., shocks driven by disk gravitational instabilities or by X-ray flares. Instead, they are consistent with small-scale chondrule-forming mechanisms proposed in the literature, such as nebular processing of dust balls by bow shocks and by current sheets. (C) 2016 Elsevier Ltd. All rights reserved.</t>
  </si>
  <si>
    <t>[Krot, Alexander N.; Nagashima, Kazuhide] Univ Hawaii Manoa, Sch Ocean &amp; Earth Sci &amp; Technol, Hawaii Inst Geophys &amp; Planetol, Honolulu, HI 96822 USA; [Krot, Alexander N.; van Kooten, Elishevah M. M.; Bizzarro, Martin] Univ Copenhagen, Geol Museum, Ctr Star &amp; Planet Format, Oster Voldgade 5-7, DK-1350 Copenhagen, Denmark</t>
  </si>
  <si>
    <t>University of Hawaii System; University of Hawaii Manoa; University of Copenhagen</t>
  </si>
  <si>
    <t>Krot, AN (corresponding author), Univ Hawaii Manoa, Sch Ocean &amp; Earth Sci &amp; Technol, Hawaii Inst Geophys &amp; Planetol, Honolulu, HI 96822 USA.;Krot, AN (corresponding author), Univ Copenhagen, Geol Museum, Ctr Star &amp; Planet Format, Oster Voldgade 5-7, DK-1350 Copenhagen, Denmark.</t>
  </si>
  <si>
    <t>National Aeronautics and Space Administration (NASA) Cosmochemistry [NNX10AH76G]; NASA Emerging Worlds [NNX15AH38G]; NASA [804135, NNX15AH38G] Funding Source: Federal RePORTER</t>
  </si>
  <si>
    <t>National Aeronautics and Space Administration (NASA) Cosmochemistry; NASA Emerging Worlds; NASA(National Aeronautics &amp; Space Administration (NASA))</t>
  </si>
  <si>
    <t>The Meteorite Working Group is thanked for the loan of meteorites from the Antarctic Meteorite Collections. The authors also thank Dr. Edward R. D. Scott for helpful discussions, Drs. Glenn MacPherson, Shoichi Itoh, and Noriyuki Kawasaki for their detailed reviews and suggestions which helped to improve the manuscript. Editorial handling and constructive suggestions by Dr. Chris Herd are highly appreciated. This material is based upon work supported by the National Aeronautics and Space Administration (NASA) Cosmochemistry grant NNX10AH76G (ANK, PI) and NASA Emerging Worlds grant NNX15AH38G (ANK, PI). We dedicate this paper to our good friend and colleague Dr. Ian Douglass Hutcheon, who pioneered the use of ion microprobe for studying compound CAI-chondrule objects.</t>
  </si>
  <si>
    <t>10.1016/j.gca.2016.09.001</t>
  </si>
  <si>
    <t>WOS:000396793300011</t>
  </si>
  <si>
    <t>Schrader, DL; Nagashima, K; Krot, AN; Ogliore, RC; Yin, QZ; Amelin, Y; Stirling, CH; Kaltenbach, A</t>
  </si>
  <si>
    <t>Schrader, Devin L.; Nagashima, Kazuhide; Krot, Alexander N.; Ogliore, Ryan C.; Yin, Qing-Zhu; Amelin, Yuri; Stirling, Claudine H.; Kaltenbach, Angela</t>
  </si>
  <si>
    <t>Distribution of 26Al in the CR chondrite chondrule-forming region of the protoplanetary disk</t>
  </si>
  <si>
    <t>Al-26; Chronology; Oxygen isotopes; CR chondrite; Renazzo; Chondrule; Accretion</t>
  </si>
  <si>
    <t>EARLY SOLAR-SYSTEM; ALUMINUM-RICH INCLUSIONS; O-ISOTOPE COMPOSITION; SHORT-LIVED BE-10; CARBONACEOUS CHONDRITES; HETEROGENEOUS DISTRIBUTION; AL-26-MG-26 SYSTEMATICS; ABSOLUTE CHRONOLOGY; II CHONDRULES; ALLENDE</t>
  </si>
  <si>
    <t>We report on the mineralogy, petrography, and in situ measured oxygen-and magnesium-isotope compositions of eight porphyritic chondrules (seven FeO-poor and one FeO-rich) from the Renazzo-like carbonaceous (CR) chondrites Graves Nunataks 95229, Grosvenor Mountains 03116, Pecora Escarpment 91082, and Queen Alexandra Range 99177, which experienced minor aqueous alteration and very mild thermal metamorphism. We find no evidence that these processes modified the oxygen-or Al-Mg isotope systematics of chondrules in these meteorites. Olivine, low-Ca pyroxene, and plagioclase within an individual chondrule have similar O-isotope compositions, suggesting crystallization from isotopically uniform melts. The only exceptions are relict grains in two of the chondrules; these grains are O-16-enriched relative to phenocrysts of the host chondrules. Only the FeO-rich chondrule shows a resolvable excesses of Mg-26, corresponding to an inferred initial Al-26/Al-27 ratio [(Al-26/Al-27)(0)] of (2.5 +/- 1.6) X 10(-6) (+/- 2SE). Combining these results with the previously reported Al-Mg isotope systematics of CR chondrules (Nagashima et al., 2014, Geochem. J. 48, 561), 7 of 22 chondrules (32%) measured show resolvable excesses of Mg-26; the presence of excess Mg-26 does not correlate with the FeO content of chondrule silicates. In contrast, virtually all chondrules in weakly metamorphosed (petrologic type 3.0-3.1) unequilibrated ordinary chondrites (UOCs), Ornans-like carbonaceous (CO) chondrites, and the ungrouped carbonaceous chondrite Acfer 094 show resolvable excesses of Mg-26. The inferred (Al-26/Al-27)(0) in CR chondrules with resolvable excesses of Mg-26 range from (1.0 +/- 0.4) X 10(-6) to (6.3 +/- 0.9) X 10(-6), which is typically lower than (Al-26/Al-27)(0) in the majority of chondrules from UOCs, COs, and Acfer 094. Based on the inferred (Al-26/Al-27)(0), three populations of CR chondrules are recognized; the population characterized by low (Al-26/Al-27)(0) (&lt; 3 X 10(-6)) is dominant. There are no noticeable trends with major and minor element or O-isotope compositions between these populations. The weighted mean (Al-26/Al-27)(0) of 22CR chondrules measured is (1.8 +/- 0.3) X 10(-6). An apparent agreement between the Al-26-Mg-26 ages (using weighted mean value) and the revised (using U-238/U-235 ratio for bulk CR chondrites of 137.7789 +/- 0.0085) Pb-207-Pb-206 age of a set of chondrules from CR chondrites (Amelin et al., 2002, Science 297, 1678) is consistent with the initial Al-26/(27) Al ratio in the CR chondrite chondrule-forming region at the canonical level (similar to 5.2 X 10(-5)), allowing the use of Al-26-Mg-26 systematics as a chronometer for CR chondrules. To prove chronological significance of Al-26 for CR chondrules, measurements of Al-Mg and U-Pb isotope systematics on individual chondrules are required. The presence of several generations among CR chondrules indicates some chondrules that accreted into the CR chondrite parent asteroid avoided melting by later chondrule-forming events, suggesting chondrule-forming processes may have occurred on relatively limited spatial scales. Accretion of the CR chondrite parent body occurred at &gt; 4(-0.3)(+0.5) Ma after the formation of CAIs with the canonical Al-26/(27) Al ratio, although rapid accretion after formation of the major population of CR chondrules is not required by our data. (C) 2016 Elsevier Ltd. All rights reserved.</t>
  </si>
  <si>
    <t>[Schrader, Devin L.; Nagashima, Kazuhide; Krot, Alexander N.; Ogliore, Ryan C.] Univ Hawaii Manoa, Sch Ocean &amp; Earth Sci &amp; Technol, Hawaii Inst Geophys &amp; Planetol, Honolulu, HI 96822 USA; [Yin, Qing-Zhu] Univ Calif Davis, Dept Earth &amp; Planetary Sci, One Shields Ave, Davis, CA 95616 USA; [Amelin, Yuri] Australian Natl Univ, Res Sch Earth Sci, Canberra, ACT 2601, Australia; [Stirling, Claudine H.; Kaltenbach, Angela] Univ Otago, Dept Chem, POB 56, Dunedin 9054, New Zealand; [Stirling, Claudine H.; Kaltenbach, Angela] Univ Otago, Ctr Trace Element Anal, POB 56, Dunedin 9054, New Zealand</t>
  </si>
  <si>
    <t>University of Hawaii System; University of Hawaii Manoa; University of California System; University of California Davis; Australian National University; University of Otago; University of Otago</t>
  </si>
  <si>
    <t>yang, qing/JBR-8440-2023; Schrader, Devin L/H-6293-2012; Yin, Qing/HNC-6727-2023; Yin, Qing-Zhu/B-8198-2009</t>
  </si>
  <si>
    <t>Schrader, Devin/0000-0001-5282-232X; Nagashima, Kazuhide/0000-0002-9322-3187</t>
  </si>
  <si>
    <t>NSF; NASA [NNX11AJ51G, NNX08AH77G, NNX10AH76G, NNX07AM62G]; Royal Society of New Zealand Marsden [UOO0718]; NASA [NNX11AJ51G, 143993, NNX08AH77G, 100020] Funding Source: Federal RePORTER</t>
  </si>
  <si>
    <t>NSF(National Science Foundation (NSF)); NASA(National Aeronautics &amp; Space Administration (NASA)); Royal Society of New Zealand Marsden(Royal Society of New ZealandMarsden Fund (NZ)); NASA(National Aeronautics &amp; Space Administration (NASA))</t>
  </si>
  <si>
    <t>For supplying the samples that were necessary for this work, the authors would like to thank: the Smithsonian Institution, the members of the Meteorite Working Group, and Cecilia Satterwhite and Kevin Righter (NASA, Johnson Space Center).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thank M. Chaussidon for kindly providing the 313 orthopyroxene standard and A. Thomen for assistance with the SIMS. We also thank E. Hellebrand and J. Davidson for constructive discussions and help with the EPMA. Constructive comments by Andrew Davis, three anonymous reviewers, and Associate Editor S. Weyer significantly improved the quality of the manuscript. This research was funded in part by NASA grants, NNX11AJ51G (Q.- Z. Yin, PI), NNX08AH77G (K. Nagashima, PI), NNX10AH76G (A. N. Krot, PI), NNX07AM62G (R. C. Ogliore), and Royal Society of New Zealand Marsden Grant UOO0718 (C. H. Stirling, PI).</t>
  </si>
  <si>
    <t>10.1016/j.gca.2016.06.023</t>
  </si>
  <si>
    <t>WOS:000396793300015</t>
  </si>
  <si>
    <t>Zhou, DY; Liu, YX; Xu, ZL; Yin, FW; Song, L; Wan, XL; Song, YK; Zhu, BW</t>
  </si>
  <si>
    <t>Zhou, Da-Yong; Liu, Yu-Xin; Xu, Zhi-Li; Yin, Fa-Wen; Song, Liang; Wan, Xiu-Lin; Song, Yu-Kun; Zhu, Bei-Wei</t>
  </si>
  <si>
    <t>Effects of long-term intake of Antarctic krill oils on artery blood pressure in spontaneously hypertensive rats</t>
  </si>
  <si>
    <t>JOURNAL OF THE SCIENCE OF FOOD AND AGRICULTURE</t>
  </si>
  <si>
    <t>krill oil; omega-3 long-chain polyunsaturated fatty acids; astaxanthin; spontaneously hypertensive rats; antihypertensive effect</t>
  </si>
  <si>
    <t>FISH-OIL; ASTAXANTHIN; SUPPLEMENTATION; DISEASE; BURDEN; ACID; DIET</t>
  </si>
  <si>
    <t>BACKGROUND: In recent years, there has been a noticeable increase in research on krill oil (KO) for its health benefits. However, the action of KO in lowering blood pressure (BP) has not been studied yet. Therefore the aim of this study was to assess the ability of long-term KO supplementation to lower systolic BP (SBP) in spontaneously hypertensive rats (SHRs) and Sprague Dawley (SD) rats. RESULTS: Comparedwith the blank control (BC) SHRs administered edible soybean oil, the high-dose (500mgkg(-1) body weight (BW)) KO-supplemented SHRs in the 2nd, 3rd, 4th and 5th weeks following oral administration, the mid-dose (100mgkg(-1) BW) KO-supplemented SHRs in the 4th and 5th weeks following oral administration and the low-dose (20mg kg(-1) BW) KO-supplemented SHRs in the 5th week following oral administration showed significantly lower SBP (P &lt; 0.05). However, supplementation of KO had no significant effect on the SBP of healthy SD rats. Meanwhile, 5 weeks of KO administration significantly increased the serum levels of nitric oxide (NO) and total NO synthase of SHRs (P &lt; 0.05). CONCLUSION: KO has an antihypertensive effect in SHRs that is associated with an NO-relatedmechanism. (C) 2016 Society of Chemical Industry</t>
  </si>
  <si>
    <t>[Zhou, Da-Yong; Liu, Yu-Xin; Yin, Fa-Wen; Song, Liang; Wan, Xiu-Lin; Song, Yu-Kun; Zhu, Bei-Wei] Dalian Polytech Univ, Sch Food Sci &amp; Technol, Dalian 116034, Peoples R China; [Zhou, Da-Yong; Song, Liang; Zhu, Bei-Wei] Natl Engn Res Ctr Seafood, Dalian 116034, Peoples R China; [Zhou, Da-Yong] Mem Univ Newfoundland, Dept Biochem, St John, NF A1B 3X9, Canada; [Xu, Zhi-Li] Liaoning Univ Tradit Chinese Med, Sch Pharm, Dalian 116600, Peoples R China</t>
  </si>
  <si>
    <t>Dalian Polytechnic University; Dalian Polytechnic University; Memorial University Newfoundland; Liaoning University of Traditional Chinese Medicine</t>
  </si>
  <si>
    <t>Zhu, BW (corresponding author), Dalian Polytech Univ, Sch Food Sci &amp; Technol, Dalian 116034, Peoples R China.;Xu, ZL (corresponding author), Liaoning Univ Tradit Chinese Med, Sch Pharm, Dalian 116600, Peoples R China.</t>
  </si>
  <si>
    <t>xu_zhili@126.com; zhubeiwei@163.com</t>
  </si>
  <si>
    <t>Song, Yukun/GZK-5353-2022; liu, yuxin/GRY-3592-2022</t>
  </si>
  <si>
    <t>XU, Zhili/0000-0003-4764-8595</t>
  </si>
  <si>
    <t>National High Technology Research and Development Program of China (863 Program) [2011AA090801, 2011AA100803]; Program for Liaoning Excellent Talents in University [LR2015006]; Project of Distinguished Professor of Liaoning Province [2015-153]; Liaoning Provincial Natural Science Foundation of China [2015020781]; Program for Dalian High-Level Innovative Talent [2015R0007]; Organization Project for National Engineering Research Center of Seafood - Ministry of Science and Technology of the People's Republic of China [2012FU125X03]</t>
  </si>
  <si>
    <t>National High Technology Research and Development Program of China (863 Program)(National High Technology Research and Development Program of China); Program for Liaoning Excellent Talents in University; Project of Distinguished Professor of Liaoning Province; Liaoning Provincial Natural Science Foundation of China; Program for Dalian High-Level Innovative Talent; Organization Project for National Engineering Research Center of Seafood - Ministry of Science and Technology of the People's Republic of China</t>
  </si>
  <si>
    <t>This work was financially supported by 'The National High Technology Research and Development Program of China (863 Program)' (2011AA090801 and 2011AA100803), 'Program for Liaoning Excellent Talents in University' (LR2015006), 'Project of Distinguished Professor of Liaoning Province' (2015-153), 'Liaoning Provincial Natural Science Foundation of China' (2015020781), 'Program for Dalian High-Level Innovative Talent' (2015R0007) and 'Organization Project for National Engineering Research Center of Seafood funded by Ministry of Science and Technology of the People's Republic of China' (2012FU125X03).</t>
  </si>
  <si>
    <t>0022-5142</t>
  </si>
  <si>
    <t>1097-0010</t>
  </si>
  <si>
    <t>J SCI FOOD AGR</t>
  </si>
  <si>
    <t>J. Sci. Food Agric.</t>
  </si>
  <si>
    <t>10.1002/jsfa.7840</t>
  </si>
  <si>
    <t>Agriculture, Multidisciplinary; Chemistry, Applied; Food Science &amp; Technology</t>
  </si>
  <si>
    <t>Agriculture; Chemistry; Food Science &amp; Technology</t>
  </si>
  <si>
    <t>EP5HJ</t>
  </si>
  <si>
    <t>WOS:000397409300011</t>
  </si>
  <si>
    <t>Giles, AB</t>
  </si>
  <si>
    <t>Giles, A. B.</t>
  </si>
  <si>
    <t>The Mertz Glacier Tongue, East Antarctica. Changes in the past 100 years and its cyclic nature - Past, present and future</t>
  </si>
  <si>
    <t>REMOTE SENSING OF ENVIRONMENT</t>
  </si>
  <si>
    <t>Antarctica Satellite remote sensing; Feature tracking; Mertz Glacier Tongue</t>
  </si>
  <si>
    <t>MASS-BALANCE; ICE; BEHAVIOR; IMAGERY</t>
  </si>
  <si>
    <t>The Mertz Glacier Tongue (MGT) in East Antarctica has been studied since 1911. Early expeditions produced maps using ground or ship-based observations followed later by vertical and/or oblique aerial photography from aircraft. In the modern era, extensive digital satellite imagery is available which has also been supplemented by the resurrection and scanning of some historic U.S., now 'declassified', film-based satellite images. Much of the MGT became detached and drifted away following the collision by the B-9B iceberg in February 2010 and a similar sequence, or extension-detachment cycle, must have occurred some-time after Mawson's 1911-1914 observations. All the available information on the position, shape or appearance of the MGT has been re-examined in an attempt to comprehensively study its past, present and possible future motion. Feature tracking cross correlation methods have been applied for suitably detailed image pairs to accurately measure the MGT advance velocity. The derived mean rate for 1947-2010 is 1180 +/- 14 m y(-1) with an accompanying ice-front loss rate of similar to 190 m y(-1). A simple model for the MGT exhibits a similar to 73 year quasi-periodic cycle of rebirth, growth and demise which will affect the volume of bottom water produced in the nearby polynya. Some evidence for this cyclic oceanographic change has recently been reported from regional sediment data. Somewhat speculatively, the model suggests a date of similar to 1937 for the previous MGT break-off and around or before similar to 2083 for the next. With the MGT being primed to brealc-off every similar to 73 years, the precise date being governed by unpredictable external events such as collisions by large icebergs, such cycles have probably occurred for many thousands of years. (C) 2017 Elsevier Inc. All rights reserved.</t>
  </si>
  <si>
    <t>[Giles, A. B.] Univ Tasmania, Antarctic Climate &amp; Ecosyst CRC, Private Bag 80, Hobart, Tas 7001, Australia</t>
  </si>
  <si>
    <t>Giles, AB (corresponding author), Univ Tasmania, Antarctic Climate &amp; Ecosyst CRC, Private Bag 80, Hobart, Tas 7001, Australia.</t>
  </si>
  <si>
    <t>Bany.Giles@utas.edu.au</t>
  </si>
  <si>
    <t>Australian Government's Cooperative Research Centres Programme at the Antarctic Climate and Ecosystems Cooperative Research Centre (ACE CRC); ACE CRC structure; ESA projects AO [4123, 4129]; Australian Antarctic Science Project [4116]; International Space Science Institute (ISSI), Bern, Switzerland</t>
  </si>
  <si>
    <t>Australian Government's Cooperative Research Centres Programme at the Antarctic Climate and Ecosystems Cooperative Research Centre (ACE CRC)(Australian GovernmentDepartment of Industry, Innovation and ScienceCooperative Research Centres (CRC) Programme); ACE CRC structure; ESA projects AO; Australian Antarctic Science Project; International Space Science Institute (ISSI), Bern, Switzerland</t>
  </si>
  <si>
    <t>This work was carried out with the support of the Australian Government's Cooperative Research Centres Programme at the Antarctic Climate and Ecosystems Cooperative Research Centre (ACE CRC). The author thanks the Australian Antarctic Division for funding through the ACE CRC structure. Special thanks are due to Rob Massom for comment and encouragement. Thanks are also due to Gerd Wendler for providing the JERS-1 image from 1993, Massimo Frezzotti for communication on the KATE 200 image from 1984, Benoit Legresy for access to a Landsat 7 image stack and David Smith of the Australian Antarctic Data Centre for assistance in obtaining copies of the various Australian maps and digitised scans of Highjump photographs from their archives. The referees also provided helpful comments and suggestions which improved the text. All Envisat ASAR data are courtesy of the European Space Agency. Radarsat SAR imagery was obtained from the NASA Alaska Satellite Facility (ASF). Landsat imagery was obtained from the NASA Land Processes DAAC. This research was supported by ESA projects AO 4123 and AO 4129, and contributes to Australian Antarctic Science Project 4116. The International Space Science Institute (ISSI), Bern, Switzerland, is also acknowledged for supporting this study via Projects 137 and 169.</t>
  </si>
  <si>
    <t>0034-4257</t>
  </si>
  <si>
    <t>1879-0704</t>
  </si>
  <si>
    <t>REMOTE SENS ENVIRON</t>
  </si>
  <si>
    <t>Remote Sens. Environ.</t>
  </si>
  <si>
    <t>10.1016/j.rse.2017.01.003</t>
  </si>
  <si>
    <t>EP4OT</t>
  </si>
  <si>
    <t>WOS:000397360500003</t>
  </si>
  <si>
    <t>Allen, MA; Cavicchioli, R</t>
  </si>
  <si>
    <t>Allen, Michelle A.; Cavicchioli, Ricardo</t>
  </si>
  <si>
    <t>Microbial communities of aquatic environments on Heard Island characterized by pyrotag sequencing and environmental data</t>
  </si>
  <si>
    <t>ORGANIC-MATTER; GEN. NOV.; PHYTOPLANKTON BLOOM; BACTERIAL DIVERSITY; MARINE-BACTERIA; EAST ANTARCTICA; COMB. NOV.; GROUP-II; CARBON; SEA</t>
  </si>
  <si>
    <t>Heard Island in the Southern Ocean is a biological hotspot that is suffering the effects of climate change. Significant glacier retreat has generated proglacial lagoons, some of which are open to the ocean. We used pyrotag sequencing of SSU rRNA genes and environmental data to characterize microorganisms from two pools adjacent to animal breeding areas, two glacial lagoons and Atlas Cove (marine site). The more abundant taxa included Actinobacteria, Bacteroidetes and Proteobacteria, ciliates and picoflagellates (e.g. Micromonas), and relatively few Archaea. Seal Pool, which is rich in organic matter, was characterized by a heterotrophic degradative community, while the less eutrophic Atlas Pool had more eucaryotic primary producers. Brown Lagoon, with the lowest nutrient levels, had Eucarya and Bacteria predicted to be oligotrophs, possess small cell sizes, and have the ability to metabolize organic matter. The marine influence on Winston Lagoon was evident by its salinity and the abundance of marine-like Gammaproteobacteria, while also lacking typical marine eucaryotes indicating the system was still functioning as a distinct niche. This is the first microbiology study of Heard Island and revealed that communities are distinct at each location and heavily influenced by local environmental factors.</t>
  </si>
  <si>
    <t>[Allen, Michelle A.; Cavicchioli, Ricardo] Univ New South Wales, Sch Biotechnol &amp; Biomol Sci, Sydney, NSW 2052, Australia</t>
  </si>
  <si>
    <t>Cavicchioli, Ricardo/D-4341-2013</t>
  </si>
  <si>
    <t>Cavicchioli, Ricardo/0000-0001-8989-6402; Allen, Michelle/0000-0002-8852-1454</t>
  </si>
  <si>
    <t>Australian Research Council [DP1095504]; Australian Antarctic Science program [2899]; Australian Research Council [DP1095504] Funding Source: Australian Research Council</t>
  </si>
  <si>
    <t>Australian Research Council(Australian Research Council); Australian Antarctic Science program; Australian Research Council(Australian Research Council)</t>
  </si>
  <si>
    <t>This work was supported by the Australian Research Council (DP1095504) and the Australian Antarctic Science program (project 2899). We thank Mark Brown, John Rich, Federico Lauro and the expeditioners and crew of Aurora Australis for assistance with collecting, documenting ( including photographs) and processing of water samples, Suhaila Mohd Omar for extracting DNA from sample biomass, and Timothy Williams for critical comments on the manuscript. We acknowledge Gary Miller, Stephen Brown and the Australian Antarctic Division for provision of photographs, and the Australian Antarctic Data Centre and the Australian Geographic Cartographic Division for provision of maps and images used to construct Fig. 1, and David Smith from the Australian Antarctic Division for valuable assistance with resourcing the content for Fig. 1.</t>
  </si>
  <si>
    <t>MAR 14</t>
  </si>
  <si>
    <t>10.1038/srep44480</t>
  </si>
  <si>
    <t>EN6NZ</t>
  </si>
  <si>
    <t>WOS:000396122000001</t>
  </si>
  <si>
    <t>McHuron, EA; Mangel, M; Schwarz, LK; Costa, DP</t>
  </si>
  <si>
    <t>McHuron, E. A.; Mangel, M.; Schwarz, L. K.; Costa, D. P.</t>
  </si>
  <si>
    <t>Energy and prey requirements of California sea lions under variable environmental conditions</t>
  </si>
  <si>
    <t>Bioenergetic model; Marine mammal; Zalophus californianus; California Current</t>
  </si>
  <si>
    <t>ANTARCTIC FUR SEALS; FORAGING ENERGETICS; FOOD-REQUIREMENTS; MILK CONSUMPTION; MARINE MAMMALS; FETAL-GROWTH; VARIABILITY; LACTATION; BEHAVIOR; PUPS</t>
  </si>
  <si>
    <t>Quantifying energy demands and prey consumption of marine mammals is important to understand the population dynamics of species and their ecological role in marine ecosystems. We developed a bioenergetic model to quantify the energy and prey requirements of adult female California sea lions Zalophus californianus, an abundant predator that has recently experienced several years of poor reproductive success presumably associated with oceanographic changes. We also examined how changes in at-sea field metabolic rates and the proportion of time at sea-2 mechanisms that female otariids use to compensate for changes in prey availability affected energy requirements. Mean gross energy requirements (+/- SD) ranged from 12 500 +/- 1900 to 21 000 +/- 2200 MJ yr(-1), depending on reproductive status, resulting in prey consumption estimates of 1700-3000 to 2900-5000 kg prey yr(-1), respectively. California sea lions had energy requirements that were 3 to 4 times higher than phocid seals because of high metabolic rates and the considerable cost of lactation. Behavioral changes resulted in a 3 to 25% change in energy requirements, depending on the type and magnitude of the change, time period, and lactation status. Energy requirements may therefore increase during periods of reduced prey availability, assuming that a female does not reduce milk energy delivery to her pup. These results highlight the importance of considering behavioral responses to environmental conditions when developing and applying results from bioenergetic models to understand the relationships between energy requirements, prey availability, and reproductive success.</t>
  </si>
  <si>
    <t>[McHuron, E. A.; Costa, D. P.] Univ Calif Santa Cruz, Dept Ecol &amp; Evolutionary Biol, 115 McAllister Way, Santa Cruz, CA 95060 USA; [Mangel, M.] Univ Calif Santa Cruz, Dept Appl Math &amp; Stat, 1156 High St, Santa Cruz, CA 95064 USA; [Mangel, M.] Univ Bergen, Dept Biol, Theoret Ecol Grp, Thormohlens Gate 53A, N-9020 Bergen, Norway; [Schwarz, L. K.] Inst Marine Sci, Long Marine Lab, 115 McAllister Way, Santa Cruz, CA 95060 USA</t>
  </si>
  <si>
    <t>University of California System; University of California Santa Cruz; University of California System; University of California Santa Cruz; University of Bergen</t>
  </si>
  <si>
    <t>McHuron, EA (corresponding author), Univ Calif Santa Cruz, Dept Ecol &amp; Evolutionary Biol, 115 McAllister Way, Santa Cruz, CA 95060 USA.</t>
  </si>
  <si>
    <t>emchuron@ucsc.edu</t>
  </si>
  <si>
    <t>Carlos, Universidade Federal de São/W-8832-2019; Costa, Daniel Paul/E-2616-2013</t>
  </si>
  <si>
    <t>Carlos, Universidade Federal de São/0000-0002-0334-3899; Costa, Daniel Paul/0000-0002-0233-5782</t>
  </si>
  <si>
    <t>E&amp;P Sound and Marine Life Joint Industry Programme of the International Association of Oil and Gas Producers [22 07-23]</t>
  </si>
  <si>
    <t>E&amp;P Sound and Marine Life Joint Industry Programme of the International Association of Oil and Gas Producers</t>
  </si>
  <si>
    <t>We thank J. Maresh and S. Melin for providing unpublished data on elephant seal energetics and California sea lion behavior during the post-weaning and early lactation periods. This work was supported by contract No. 22 07-23 from the E&amp;P Sound and Marine Life Joint Industry Programme of the International Association of Oil and Gas Producers to D.P.C. and L.K.S.</t>
  </si>
  <si>
    <t>MAR 13</t>
  </si>
  <si>
    <t>10.3354/meps12041</t>
  </si>
  <si>
    <t>EQ1IJ</t>
  </si>
  <si>
    <t>WOS:000397823100016</t>
  </si>
  <si>
    <t>Moon, W; Wettlaufer, JS</t>
  </si>
  <si>
    <t>Moon, Woosok; Wettlaufer, John S.</t>
  </si>
  <si>
    <t>A unified nonlinear stochastic time series analysis for climate science</t>
  </si>
  <si>
    <t>ARCTIC SEA-ICE; ANNUAL CYCLE; EL-NINO; ENSO; PREDICTABILITY; MODEL; CIRCULATION; PERSISTENCE; PREDICTION; ATMOSPHERE</t>
  </si>
  <si>
    <t>Earth's orbit and axial tilt imprint a strong seasonal cycle on climatological data. Climate variability is typically viewed in terms of fluctuations in the seasonal cycle induced by higher frequency processes. We can interpret this as a competition between the orbitally enforced monthly stability and the fluctuations/noise induced by weather. Here we introduce a new time-series method that determines these contributions from monthly-averaged data. We find that the spatio-temporal distribution of the monthly stability and the magnitude of the noise reveal key fingerprints of several important climate phenomena, including the evolution of the Arctic sea ice cover, the El Nino Southern Oscillation (ENSO), the Atlantic Nino and the Indian Dipole Mode. In analogy with the classical destabilising influence of the ice-albedo feedback on summertime sea ice, we find that during some time interval of the season a destabilising process operates in all of these climate phenomena. The interaction between the destabilisation and the accumulation of noise, which we term the memory effect, underlies phase locking to the seasonal cycle and the statistical nature of seasonal predictability.</t>
  </si>
  <si>
    <t>[Moon, Woosok] Ctr Math Sci, Dept Appl Math &amp; Theoret Phys, Inst Theoret Geophys, Wilberforce Rd, Cambridge CB3 0WA, England; [Wettlaufer, John S.] Yale Univ, New Haven, CT 06520 USA; [Wettlaufer, John S.] Univ Oxford, Math Inst, Oxford, England; [Wettlaufer, John S.] Royal Inst Technol, Nordita, SE-10691 Stockholm, Sweden; [Wettlaufer, John S.] Stockholm Univ, SE-10691 Stockholm, Sweden; [Moon, Woosok] British Antarctic Survey, Madingley Rd, Cambridge CB3 OET, England</t>
  </si>
  <si>
    <t>University of Cambridge; Yale University; University of Oxford; Nordic Institute for Theoretical Physics; Royal Institute of Technology; Stockholm University; UK Research &amp; Innovation (UKRI); Natural Environment Research Council (NERC); NERC British Antarctic Survey</t>
  </si>
  <si>
    <t>Moon, W (corresponding author), Ctr Math Sci, Dept Appl Math &amp; Theoret Phys, Inst Theoret Geophys, Wilberforce Rd, Cambridge CB3 0WA, England.;Wettlaufer, JS (corresponding author), Yale Univ, New Haven, CT 06520 USA.;Wettlaufer, JS (corresponding author), Univ Oxford, Math Inst, Oxford, England.;Wettlaufer, JS (corresponding author), Royal Inst Technol, Nordita, SE-10691 Stockholm, Sweden.;Wettlaufer, JS (corresponding author), Stockholm Univ, SE-10691 Stockholm, Sweden.;Moon, W (corresponding author), British Antarctic Survey, Madingley Rd, Cambridge CB3 OET, England.</t>
  </si>
  <si>
    <t>wooon@bas.ac.uk; john.wettlaufer@yale.edu</t>
  </si>
  <si>
    <t>Wettlaufer, John/AAZ-9949-2021</t>
  </si>
  <si>
    <t>NASA Graduate Research Fellowship; Herchel-Smith postdoctoral fellowship; NASA [NNH13ZDA001N-CRYO]; Swedish Research Council [6382013-9243]; Royal Society Wolfson Research Merit; National Science Foundation; Office of Naval Research [OCE-1332750]</t>
  </si>
  <si>
    <t>NASA Graduate Research Fellowship; Herchel-Smith postdoctoral fellowship; NASA(National Aeronautics &amp; Space Administration (NASA)); Swedish Research Council(Swedish Research Council); Royal Society Wolfson Research Merit(Royal Society); National Science Foundation(National Science Foundation (NSF)); Office of Naval Research(Office of Naval Research)</t>
  </si>
  <si>
    <t>W. M. acknowledges a NASA Graduate Research Fellowship and a Herchel-Smith postdoctoral fellowship for support. J. S. W. acknowledges NASA Grant NNH13ZDA001N-CRYO, Swedish Research Council grant no. 6382013-9243, and a Royal Society Wolfson Research Merit Award for support. Both authors acknowledge the 2015 Geophysical Fluid Dynamics Summer Study Program at the Woods Hole Oceanographic Institution, which is supported by the National Science Foundation and the Office of Naval Research under OCE-1332750.</t>
  </si>
  <si>
    <t>10.1038/srep44228</t>
  </si>
  <si>
    <t>EN5MT</t>
  </si>
  <si>
    <t>WOS:000396050400001</t>
  </si>
  <si>
    <t>Song, MO; Lee, CH</t>
  </si>
  <si>
    <t>Song, Min Ok; Lee, Chang-Ho</t>
  </si>
  <si>
    <t>A new and five rare bdelloids from Korea</t>
  </si>
  <si>
    <t>ZOOTAXA</t>
  </si>
  <si>
    <t>biogeography; Philodina koreana n.sp.; Rotifera; taxonomy</t>
  </si>
  <si>
    <t>BODY-SIZE; MICROSCOPIC ANIMALS; ROTIFERS; TEMPERATURE; RECORDS; MONOGONONT; DNA</t>
  </si>
  <si>
    <t>A taxonomic study on bdelloid rotifers collected from various terrestrial habitats at six different locations in Korea yielded 12 new Korean records and a new species, Philodina koreana n.sp. Among the 12 new Korean records, eight species and two subspecies are new to Asia. These new Asian records include five rare species with poorly known distributions. Philodina childi Milne and P. scabra Milne were rediscovered in Korea almost 100 years after the original descriptions from South Africa. Our study is the first to report Habrotrocha longicalcarata Berzins outside its type locality. Macrotrachela nixa Donner has previously been reported only from New Zealand and the Antarctic after description from Spain. Finally, H. solida Donner is recorded outside Europe for the first time. Here, we provide a description of the new species and discuss the taxonomy and distribution of these five rare species. In addition, a partial sequence of mitochondrial cytochrome c oxidase subunit I gene (mtCOX1) for P. koreana n.sp. as well as a taxonomic key for the Philodina species recorded from Korea to date are also provided here.</t>
  </si>
  <si>
    <t>[Song, Min Ok; Lee, Chang-Ho] Gangneung Wonju Natl Univ, Dept Biol, Gangwon Do 25457, South Korea</t>
  </si>
  <si>
    <t>Kangnung Wonju National University</t>
  </si>
  <si>
    <t>Song, MO (corresponding author), Gangneung Wonju Natl Univ, Dept Biol, Gangwon Do 25457, South Korea.</t>
  </si>
  <si>
    <t>rotisong@gmail.com</t>
  </si>
  <si>
    <t>National Institute of Biological Resources (NIBR) - Ministry of Environment (MOE) of the Republic of Korea [NIBR201501201, NIBR201601201]</t>
  </si>
  <si>
    <t>National Institute of Biological Resources (NIBR) - Ministry of Environment (MOE) of the Republic of Korea(Ministry of Environment (ME), Republic of Korea)</t>
  </si>
  <si>
    <t>We are very grateful to Dr. Jersabek, Dr. Segers and the other reviewer for their careful reviews and invaluable suggestions. This work was supported by grants from the National Institute of Biological Resources (NIBR), funded by the Ministry of Environment (MOE) of the Republic of Korea (NIBR201501201, NIBR201601201) (M. O. Song).</t>
  </si>
  <si>
    <t>1175-5326</t>
  </si>
  <si>
    <t>1175-5334</t>
  </si>
  <si>
    <t>Zootaxa</t>
  </si>
  <si>
    <t>10.11646/zootaxa.4242.3.6</t>
  </si>
  <si>
    <t>EN3NC</t>
  </si>
  <si>
    <t>WOS:000395914200006</t>
  </si>
  <si>
    <t>Pereira, JM; Paiva, VH; Xavier, JC</t>
  </si>
  <si>
    <t>Pereira, Jorge M.; Paiva, Vitor H.; Xavier, Jose C.</t>
  </si>
  <si>
    <t>Using seabirds to map the distribution of elusive pelagic cephalopod species</t>
  </si>
  <si>
    <t>Southern Ocean; Stomach temperature probes; Wandering albatrosses; Cephalopods; Prey distribution</t>
  </si>
  <si>
    <t>WANDERING ALBATROSSES; SOUTH GEORGIA; DIOMEDEA-EXULANS; PATAGONIAN TOOTHFISH; FORAGING ECOLOGY; STOMACH-CONTENTS; PREY; OCEAN; INFORMATION; STRATEGIES</t>
  </si>
  <si>
    <t>The distribution of oceanic cephalopod species is not fully understood but seabirds, which feed on cephalopods and cover vast oceanic areas, might work as samplers and mappers of the occurrence of this elusive group. We tracked 17 wandering albatrosses Diomedea exulans at Bird Island, South Georgia (54 degrees S, 38 degrees W) over the austral winter (breeding period) with GPS- loggers, activity recorders and stomach temperature probes. At logger retrieval, diet composition was accessed via stomach flushings of the tagged individuals. Wandering albatrosses captured circumpolar and rarer oceanic squid in all water masses of the Southern Ocean (i.e. Antarctic, sub-Antarctic and subtropical waters), complementing much of the knowledge about the cephalopod distribution in the Atlantic sector of the Southern Ocean. Some cephalopod species showed a distribution range wider than expected, with oceanic fronts not functioning as ecological barriers as previously thought. This suggests they might be capable of overcoming these frontal regimes and even take advantage of their dynamics as migration pathways.</t>
  </si>
  <si>
    <t>[Pereira, Jorge M.; Paiva, Vitor H.; Xavier, Jose C.] Univ Coimbra, Fac Ciencias &amp; Tecnol, MARE Marine &amp; Environm Sci Ctr, Dept Ciencias Vida, P-3000456 Coimbra, Portugal; [Xavier, Jose C.] NERC, British Antarctic Survey, Madingley Rd, Cambridge CB3 0ET, England</t>
  </si>
  <si>
    <t>Universidade de Coimbra; UK Research &amp; Innovation (UKRI); Natural Environment Research Council (NERC); NERC British Antarctic Survey</t>
  </si>
  <si>
    <t>Pereira, JM (corresponding author), Univ Coimbra, Fac Ciencias &amp; Tecnol, MARE Marine &amp; Environm Sci Ctr, Dept Ciencias Vida, P-3000456 Coimbra, Portugal.</t>
  </si>
  <si>
    <t>jormi93@gmail.com</t>
  </si>
  <si>
    <t>Xavier, José/KFB-6739-2024; Pereira, Jorge Miguel/I-5814-2016; Paiva, Vitor H./J-1092-2019; Paiva, Vitor Hugo/GRX-9179-2022</t>
  </si>
  <si>
    <t>Pereira, Jorge Miguel/0000-0002-7594-3535; Paiva, Vitor H./0000-0001-6368-9579; /0000-0002-9621-6660</t>
  </si>
  <si>
    <t>Investigator 'Fundacao para a Ciencia e Tecnologia' (FCT) program [IF/00616/2013]; FCT fellowship [SFRH/BPD/85024/2012]; MARE [UID/MAR/04292/2013]; NERC [bas010011] Funding Source: UKRI; Natural Environment Research Council [bas010011] Funding Source: researchfish</t>
  </si>
  <si>
    <t>Investigator 'Fundacao para a Ciencia e Tecnologia' (FCT) program; FCT fellowship(Fundacao para a Ciencia e a Tecnologia (FCT)); MARE; NERC(UK Research &amp; Innovation (UKRI)Natural Environment Research Council (NERC)); Natural Environment Research Council(UK Research &amp; Innovation (UKRI)Natural Environment Research Council (NERC))</t>
  </si>
  <si>
    <t>We thank Richard Phillips and Derren Fox and the team of research assistants of the British Antarctic Survey. J.C.X. is supported by the Investigator 'Fundacao para a Ciencia e Tecnologia' (FCT) program (IF/00616/2013) and V.H.P. by an FCT fellowship (SFRH/BPD/85024/2012). This work is part of the SCAR AnT-ERA, ICED, PROPOLAR, BAS-CEPH programs and had the support of the strategic project UID/MAR/04292/2013 granted to MARE.</t>
  </si>
  <si>
    <t>10.3354/meps12020</t>
  </si>
  <si>
    <t>WOS:000397823100018</t>
  </si>
  <si>
    <t>Swann, GEA; Pike, J; Leng, MJ; Sloane, HJ; Snelling, AM</t>
  </si>
  <si>
    <t>Swann, George E. A.; Pike, Jennifer; Leng, Melanie J.; Sloane, Hilary J.; Snelling, Andrea M.</t>
  </si>
  <si>
    <t>Temporal controls on silicic acid utilisation along the West Antarctic Peninsula</t>
  </si>
  <si>
    <t>SEA-ICE; SOUTHERN-OCEAN; MARINE DIATOM; PALMER DEEP; ISOTOPES; HOLOCENE; WATERS; FRACTIONATION; ASSEMBLAGES; VARIABILITY</t>
  </si>
  <si>
    <t>The impact of climatic change along the Antarctica Peninsula has been widely debated in light of atmospheric/oceanic warming and increases in glacial melt over the past half century. Particular concern exists over the impact of these changes on marine ecosystems, not only on primary producers but also on higher trophic levels. Here we present a record detailing of the historical controls on the biogeochemical cycling of silicic acid [Si(OH)(4)] on the west Antarctica Peninsula margin, a region in which the modern phytoplankton environment is constrained by seasonal sea ice. We demonstrate that Si(OH)(4) cycling through the Holocene alternates between being primarily regulated by sea ice or glacial discharge from the surrounding grounded ice sheet. With further climate-driven change and melting forecast for the twenty-first century, our findings document the potential for biogeochemical cycling and multi-trophic interactions along the peninsula to be increasingly regulated by glacial discharge, altering food-web interactions.</t>
  </si>
  <si>
    <t>[Swann, George E. A.; Leng, Melanie J.] Univ Nottingham, Sch Geog, Ctr Environm Geochem, Univ Pk, Nottingham NG7 2RD, England; [Swann, George E. A.; Leng, Melanie J.; Sloane, Hilary J.] British Geol Survey, Ctr Environm Geochem, Nottingham NG12 5GG, England; [Pike, Jennifer] Cardiff Univ, Sch Earth &amp; Ocean Sci, Main Bldg,Pk Pl, Cardiff CF10 3AT, Wales; [Leng, Melanie J.; Sloane, Hilary J.; Snelling, Andrea M.] British Geol Survey, NERC Isotope Geosci Facil, Nottingham NG12 5GG, England</t>
  </si>
  <si>
    <t>University of Nottingham; UK Research &amp; Innovation (UKRI); Natural Environment Research Council (NERC); NERC British Geological Survey; Cardiff University; UK Research &amp; Innovation (UKRI); Natural Environment Research Council (NERC); NERC British Geological Survey</t>
  </si>
  <si>
    <t>Swann, GEA (corresponding author), Univ Nottingham, Sch Geog, Ctr Environm Geochem, Univ Pk, Nottingham NG7 2RD, England.;Swann, GEA (corresponding author), British Geol Survey, Ctr Environm Geochem, Nottingham NG12 5GG, England.</t>
  </si>
  <si>
    <t>george.swann@nottingham.ac.uk</t>
  </si>
  <si>
    <t>Swann, George/B-2794-2011; Pike, Jennifer/D-2589-2009</t>
  </si>
  <si>
    <t>Swann, George/0000-0002-4750-9504; Pike, Jennifer/0000-0001-9415-6003; , Andrea/0000-0002-6535-6716; Leng, Melanie/0000-0003-1115-5166</t>
  </si>
  <si>
    <t>Natural Environment Research Council [IP-1234-0511, NE/G004137/1, NE/G004811/1]; NERC Isotope Geosciences Facilities Steering Committee (NIGFSC) [IP-1234-0511]; NERC [NE/G004811/1, NE/G004137/1] Funding Source: UKRI; Natural Environment Research Council [NE/G004137/1, NE/G004811/1] Funding Source: researchfish</t>
  </si>
  <si>
    <t>Natural Environment Research Council(UK Research &amp; Innovation (UKRI)Natural Environment Research Council (NERC)); NERC Isotope Geosciences Facilities Steering Committee (NIGFSC); NERC(UK Research &amp; Innovation (UKRI)Natural Environment Research Council (NERC)); Natural Environment Research Council(UK Research &amp; Innovation (UKRI)Natural Environment Research Council (NERC))</t>
  </si>
  <si>
    <t>This work was supported by the Natural Environment Research Council (grant numbers IP-1234-0511, NE/G004137/1, NE/G004811/1). We thank the staff at the IODP Gulf Coast Core Repository for providing samples and assistance with sampling ODP Site 1098, and three anonymous reviewers who provided valuable and constructive comments on the manuscript. This research was supported by a NERC Isotope Geosciences Facilities Steering Committee (NIGFSC) grant (IP-1234-0511) in addition to Natural Environment Research Council (NERC) grants NE/G004137/1 to M.J.L. and G.E.A.S., and NE/G004811/1 to J.P.</t>
  </si>
  <si>
    <t>10.1038/ncomms14645</t>
  </si>
  <si>
    <t>EN7WX</t>
  </si>
  <si>
    <t>WOS:000396214000001</t>
  </si>
  <si>
    <t>Raisbeck, GM; Cauquoin, A; Jouzel, J; Landais, A; Petit, JR; Lipenkov, VY; Beer, J; Synal, HA; Oerter, H; Johnsen, SJ; Steffensen, JP; Svensson, A; Yiou, F</t>
  </si>
  <si>
    <t>Raisbeck, Grant M.; Cauquoin, Alexandre; Jouzel, Jean; Landais, Amaelle; Petit, Jean-Robert; Lipenkov, Vladimir Y.; Beer, Juerg; Synal, Hans-Arno; Oerter, Hans; Johnsen, Sigfus J.; Steffensen, Jorgen P.; Svensson, Anders; Yiou, Francoise</t>
  </si>
  <si>
    <t>An improved north-south synchronization of ice core records around the 41 kyr 10Be peak</t>
  </si>
  <si>
    <t>CLIMATE-CHANGE; ANTARCTIC ICE; TEMPERATURE RECONSTRUCTION; CHRONOLOGY AICC2012; LAST DEGLACIATION; SOLAR-ACTIVITY; GREENLAND; AGE; ISOTOPE; CYCLE</t>
  </si>
  <si>
    <t>Using new high-resolution Be-10 measurements in the NGRIP, EDML and Vostok ice cores, together with previously published data from EDC, we present an improved synchronization between Greenland and Antarctic ice cores during the Laschamp geomagnetic excursion similar to 41 kyr ago. We estimate the precision of this synchronization to be +/- 20 years, an order of magnitude better than previous work. We discuss the implications of this new synchronization for making improved estimates of the depth difference between ice and enclosed gas of the same age (Delta depth), difference between age of ice and enclosed gas at the same depth (Delta age) in the EDC and EDML ice cores, spectral properties of the Be-10 profiles and phasing between Dansgaard-Oeschger-10 (in NGRIP) and AIM-10 (in EDML and EDC).</t>
  </si>
  <si>
    <t>[Raisbeck, Grant M.; Yiou, Francoise] Univ Paris Saclay, CNRS, CSNSM, Bats 104 108,91405 Campus, Orsay, France; [Cauquoin, Alexandre; Jouzel, Jean; Landais, Amaelle] UVSQ, CNRS, CEA, LSCE, CEA Saclay Orme Merisiers, F-91191 Gif Sur Yvette, France; [Petit, Jean-Robert] CNRS, LGGE, BP 96, F-38402 St Martin Dheres, France; [Lipenkov, Vladimir Y.] Arct &amp; Antarct Res Inst, 38 Bering St, St Petersburg 199397, Russia; [Beer, Juerg] Eawag, Uberlandstrasse 133,Postfach 611, CH-8600 Dubendorf, Switzerland; [Synal, Hans-Arno] Swiss Fed Inst Technol, Lab Ion Beam Phys, CH-8093 Zurich, Switzerland; [Oerter, Hans] Alfred Wegener Inst Polar &amp; Marine Res, D-27570 Bremerhaven, Germany; [Johnsen, Sigfus J.; Steffensen, Jorgen P.; Svensson, Anders] Univ Copenhagen, Ctr Ice &amp; Climate, Niels Bohr Inst, Copenhagen, Denmark</t>
  </si>
  <si>
    <t>Universite Paris Saclay; Centre National de la Recherche Scientifique (CNRS); Universite Paris Cite; CEA; Centre National de la Recherche Scientifique (CNRS); Universite Paris Saclay; Universite Paris Cite; Communaute Universite Grenoble Alpes; Universite Grenoble Alpes (UGA); Centre National de la Recherche Scientifique (CNRS); Swiss Federal Institutes of Technology Domain; Swiss Federal Institute of Aquatic Science &amp; Technology (EAWAG); Swiss Federal Institutes of Technology Domain; ETH Zurich; Helmholtz Association; Alfred Wegener Institute, Helmholtz Centre for Polar &amp; Marine Research; University of Copenhagen; Niels Bohr Institute</t>
  </si>
  <si>
    <t>Raisbeck, GM (corresponding author), Univ Paris Saclay, CNRS, CSNSM, Bats 104 108,91405 Campus, Orsay, France.</t>
  </si>
  <si>
    <t>grant.raisbeck@csnsm.in2p3.fr</t>
  </si>
  <si>
    <t>Synal, Hans-Arno/AAD-4556-2019; Cauquoin, Alexandre/HCH-9930-2022; Cauquoin, Alexandre/N-4579-2015; Svensson, Anders/A-2643-2010; Synal, Hans-Arno/JYQ-3205-2024; Steffensen, Jorgen Peder/JFS-7831-2023</t>
  </si>
  <si>
    <t>Synal, Hans-Arno/0000-0001-5621-3089; Cauquoin, Alexandre/0000-0002-4620-4696; Cauquoin, Alexandre/0000-0002-4620-4696; Svensson, Anders/0000-0002-4364-6085; Steffensen, Jorgen Peder/0000-0002-5516-1093; LANDAIS, Amaelle/0000-0002-5620-5465</t>
  </si>
  <si>
    <t>EPICA; European Project for Ice Coring in Antarctica; joint European Science Foundation-European Commission scientific program; EU; European Research Council under the European Union's Seventh Framework Programme /ERC [30604]</t>
  </si>
  <si>
    <t>EPICA; European Project for Ice Coring in Antarctica; joint European Science Foundation-European Commission scientific program; EU(European Union (EU)); European Research Council under the European Union's Seventh Framework Programme /ERC(European Research Council (ERC))</t>
  </si>
  <si>
    <t>This project was initiated during discussions between the first author and Sigfus Johnsen at an EPICA meeting at San Feliu, Spain, in 2003. Sigfus was always a strong supporter of 10Be measurements in ice cores, and enthusiastically responded positively to the idea of using high-resolution NGRIP samples to overcome limitations encountered with GRIP samples. We therefore dedicate this paper to Sigfus' memory. We thank C. Buizert and an anonymous reviewer for helpful comments. We would like to acknowledge the many people involved in logistics, drill development and implementation, ice core processing and analysis; without them this work would not have been possible. This includes NorthGRIP, directed and organized by the Department of Geophysics at the Niels Bohr Institute for Astronomy, Physics and Geophysics, University of Copenhagen, and supported by funding agencies and institutions from participating countries, and EPICA, the European Project for Ice Coring in Antarctica, a joint European Science Foundation-European Commission scientific program, funded by the EU and by national contributions from Belgium, Denmark, France, Germany, Italy, the Netherlands, Norway, Sweden, Switzerland, and the UK. We thank all Russian and French participants of the Vostok drilling, field work and ice sampling. The research leading to these results has received funding from the European Research Council under the European Union's Seventh Framework Programme (FP7/20072013)/ERC grant agreement no. 30604.</t>
  </si>
  <si>
    <t>MAR 10</t>
  </si>
  <si>
    <t>10.5194/cp-13-217-2017</t>
  </si>
  <si>
    <t>EO5LF</t>
  </si>
  <si>
    <t>WOS:000396733900001</t>
  </si>
  <si>
    <t>Clark, GF; Stark, JS; Palmer, AS; Riddle, MJ; Johnston, EL</t>
  </si>
  <si>
    <t>Clark, G. F.; Stark, J. S.; Palmer, A. S.; Riddle, M. J.; Johnston, E. L.</t>
  </si>
  <si>
    <t>The Roles of Sea-Ice, Light and Sedimentation in Structuring Shallow Antarctic Benthic Communities (vol 12, e0168391, 2017)</t>
  </si>
  <si>
    <t>Stark, Jonathan/ABF-4025-2020; Johnston, Emma/AAC-2878-2022</t>
  </si>
  <si>
    <t>Stark, Jonathan/0000-0002-4268-8072; Johnston, Emma/0000-0002-2117-366X</t>
  </si>
  <si>
    <t>MAR 9</t>
  </si>
  <si>
    <t>e0173939</t>
  </si>
  <si>
    <t>10.1371/journal.pone.0173939</t>
  </si>
  <si>
    <t>EN6AW</t>
  </si>
  <si>
    <t>WOS:000396087900040</t>
  </si>
  <si>
    <t>Rodríguez, JP; Fernández-Gracia, J; Thums, M; Hindell, MA; Sequeira, AMM; Meekan, MG; Costa, DP; Guinet, C; Harcourt, RG; McMahon, CR; Muelbert, M; Duarte, CM; Eguíluz, VM</t>
  </si>
  <si>
    <t>Rodriguez, Jorge P.; Fernandez-Gracia, Juan; Thums, Michele; Hindell, Mark A.; Sequeira, Ana M. M.; Meekan, Mark G.; Costa, Daniel P.; Guinet, Christophe; Harcourt, Robert G.; McMahon, Clive R.; Muelbert, Monica; Duarte, Carlos M.; Eguiluz, Victor M.</t>
  </si>
  <si>
    <t>Big data analyses reveal patterns and drivers of the movements of southern elephant seals</t>
  </si>
  <si>
    <t>MIROUNGA-LEONINA; MARINE PREDATOR; FORAGING SUCCESS; SCALING LAWS; LEVY; TRACKING; BEHAVIOR; PREDICTABILITY; ECOLOGY; MASS</t>
  </si>
  <si>
    <t>The growing number of large databases of animal tracking provides an opportunity for analyses of movement patterns at the scales of populations and even species. We used analytical approaches, developed to cope with big data, that require no 'a priori' assumptions about the behaviour of the target agents, to analyse a pooled tracking dataset of 272 elephant seals (Mirounga leonina) in the Southern Ocean, that was comprised of &gt;500,000 location estimates collected over more than a decade. Our analyses showed that the displacements of these seals were described by a truncated power law distribution across several spatial and temporal scales, with a clear signature of directed movement. This pattern was evident when analysing the aggregated tracks despite a wide diversity of individual trajectories. We also identified marine provinces that described the migratory and foraging habitats of these seals. Our analysis provides evidence for the presence of intrinsic drivers of movement, such as memory, that cannot be detected using common models of movement behaviour. These results highlight the potential for big data techniques to provide new insights into movement behaviour when applied to large datasets of animal tracking.</t>
  </si>
  <si>
    <t>[Rodriguez, Jorge P.; Eguiluz, Victor M.] UIB, CSIC, IFISC, E-07122 Palma De Mallorca, Spain; [Fernandez-Gracia, Juan] Harvard TH Chan Sch Publ Hlth, Dept Epidemiol, Boston, MA USA; [Thums, Michele; Meekan, Mark G.] Univ Western Australia M470, Indian Ocean Marine Res Ctr, Australian Inst Marine Sci, 35 Stirling Highway, Crawley, WA 6009, Australia; [Hindell, Mark A.] Univ Tasmania, Sch Zool, Private Bag 05, Hobart, Tas 7001, Australia; [Sequeira, Ana M. M.] Univ Western Australia, Sch Anim Biol, IOMRC, M470,35 Stirling Highway, Crawley, WA 6009, Australia; [Sequeira, Ana M. M.] Univ Western Australia, Sch Anim Biol, UWA Oceans Inst, M470,35 Stirling Highway, Crawley, WA 6009, Australia; [Costa, Daniel P.] Univ Calif Santa Cruz, Dept Ecol &amp; Evolutionary Biol, Santa Cruz, CA 95060 USA; [Guinet, Christophe] Univ La Rochelle, Ctr Etud Biol Chize, CNRS, UMR 7372, F-79360 Villiers En Bois, France; [Harcourt, Robert G.] Macquarie Univ, Dept Biol Sci, Sydney, NSW 2109, Australia; [McMahon, Clive R.] Sydney Inst Marine Sci, 19 Chowder Bay Rd, Mosman, NSW 2088, Australia; [Muelbert, Monica] Inst Oceanog, Caixa Postal 474, BR-96201900 Rio Grande, RS, Brazil; [Duarte, Carlos M.] KAUST, RSRC, Thuwal 239556900, Saudi Arabia</t>
  </si>
  <si>
    <t>Consejo Superior de Investigaciones Cientificas (CSIC); Universitat de les Illes Balears; CSIC-UIB - Instituto de Fisica Interdisciplinar y Sistemas Complejos (IFISC); Harvard University; Harvard T.H. Chan School of Public Health; Australian Institute of Marine Science; University of Western Australia; University of Tasmania; University of Western Australia; University of Western Australia; University of California System; University of California Santa Cruz; La Rochelle Universite; Centre National de la Recherche Scientifique (CNRS); CNRS - Institute of Ecology &amp; Environment (INEE); Macquarie University; Sydney Institute of Marine Science; King Abdullah University of Science &amp; Technology</t>
  </si>
  <si>
    <t>Rodríguez, JP (corresponding author), UIB, CSIC, IFISC, E-07122 Palma De Mallorca, Spain.</t>
  </si>
  <si>
    <t>jorge@ifisc.uib-csic.es</t>
  </si>
  <si>
    <t>Guinet, Christophe/AAR-8457-2020; Eguíluz, Víctor M./B-9655-2008; Rodriguez, Jorge P./O-8873-2014; Duarte Quesada, Carlos Manuel/ABD-6208-2021; Sequeira, Ana M M/AAE-9741-2021; McMahon, Clive R/D-5713-2013; Duarte, Carlos M/A-7670-2013; Muelbert, Monica/T-3935-2019; Hindell, Mark A/K-1131-2013; Costa, Daniel Paul/E-2616-2013; Fernandez-Gracia, Juan/S-4344-2018; Thums, Michele/A-3850-2013</t>
  </si>
  <si>
    <t>Eguíluz, Víctor M./0000-0003-1133-1289; Rodriguez, Jorge P./0000-0001-6593-5032; Sequeira, Ana M M/0000-0001-6906-799X; McMahon, Clive R/0000-0001-5241-8917; Duarte, Carlos M/0000-0002-1213-1361; Hindell, Mark/0000-0002-7823-7185; Costa, Daniel Paul/0000-0002-0233-5782; Meekan, Mark/0000-0002-3067-9427; Harcourt, Robert/0000-0003-4666-2934; Fernandez-Gracia, Juan/0000-0001-9728-7666; Thums, Michele/0000-0002-8669-8440</t>
  </si>
  <si>
    <t>IOMRC (UWA/AIMS/CSIRO) collaborative Postdoctoral Fellowship (Australia); ARC [DE170100841]; FPU program of MECD (Spain); NIH [U54GM088558-06]; CNPq; SPASIMM [FIS2016-80067-P]; King Abdullah University of Science and Technology (KAUST)</t>
  </si>
  <si>
    <t>IOMRC (UWA/AIMS/CSIRO) collaborative Postdoctoral Fellowship (Australia); ARC(Australian Research Council); FPU program of MECD (Spain)(German Research Foundation (DFG)); NIH(United States Department of Health &amp; Human ServicesNational Institutes of Health (NIH) - USA); CNPq(Conselho Nacional de Desenvolvimento Cientifico e Tecnologico (CNPQ)); SPASIMM; King Abdullah University of Science and Technology (KAUST)(King Abdullah University of Science &amp; Technology)</t>
  </si>
  <si>
    <t>Data from Macquarie Island, Davis and Casey Stations was sourced from the Integrated Marine Observing System (IMOS) - IMOS is a national collaborative research infrastructure, supported by Australian Government. The Australian Antarctic Division provided logistical support for those deployments. A.M.M.S. was supported by an IOMRC (UWA/AIMS/CSIRO) collaborative Postdoctoral Fellowship (Australia) and by ARC grant DE170100841; J.P.R. acknowledges support by the FPU program of MECD (Spain); J.F.G. is supported by NIH grant U54GM088558-06 (Lipsitch); M.M. acknowledges support from CNPq; V.M.E. acknowledges support from SPASIMM (FIS2016-80067-P (AEI/FEDER, UE)). Research reported in this publication was supported by research funding from King Abdullah University of Science and Technology (KAUST).</t>
  </si>
  <si>
    <t>MAR 8</t>
  </si>
  <si>
    <t>10.1038/s41598-017-00165-0</t>
  </si>
  <si>
    <t>FA2TC</t>
  </si>
  <si>
    <t>WOS:000405292700001</t>
  </si>
  <si>
    <t>Di Natale, G; Palchetti, L; Bianchini, G; Del Guasta, M</t>
  </si>
  <si>
    <t>Di Natale, Gianluca; Palchetti, Luca; Bianchini, Giovanni; Del Guasta, Massimo</t>
  </si>
  <si>
    <t>Simultaneous retrieval of water vapour, temperature and cirrus clouds properties from measurements of far infrared spectral radiance over the Antarctic Plateau</t>
  </si>
  <si>
    <t>BULK SCATTERING PROPERTIES; CLIMATE MODEL BIASES; RADIATIVE PROPERTIES; OPTICAL-PROPERTIES; ACCURATE PARAMETERIZATION; TECHNICAL NOTE; ICE CLOUDS; ATMOSPHERE; IMPACT; REGION</t>
  </si>
  <si>
    <t>The possibility separating the contributions of the atmospheric state and ice clouds by using spectral infrared measurements is a fundamental step to quantifying the cloud effect in climate models. A simultaneous retrieval of cloud and atmospheric parameters from infrared wideband spectra will allow the disentanglement of the spectral interference between these variables. In this paper, we describe the development of a code for the simultaneous retrieval of atmospheric state and ice cloud parameters, and its application to the analysis of the spectral measurements acquired by the Radiation Explorer in the Far Infrared - Prototype for Applications and Development (REFIR-PAD) spectroradiometer, which has been in operation at Concordia Station on the Antarctic Plateau since 2012. The code performs the retrieval with a computational time that is comparable with the instrument acquisition time. Water vapour and temperature profiles and the cloud optical and microphysical properties, such as the generalised effective diameter and the ice water path, are retrieved by exploiting the 230-980 cm 1 spectral band. To simulate atmospheric radiative transfer, the Line-By-Line Radiative Transfer Model (LBLRTM) has been integrated with a specifically developed subroutine based on the delta-Eddington two-stream approximation, whereas the single-scattering properties of cirrus clouds have been derived from a database for hexagonal column habits. In order to detect ice clouds, a backscattering and depolarisation lidar, co-located with REFIR-PAD has been used, allowing us to infer the position and the cloud thickness to be used in the retrieval. A climatology of the vertical profiles of water vapour and temperature has been performed by using the daily radiosounding available at the station at 12: 00 UTC. The climatology has been used to build an a priori profile correlation to con-strain the fitting procedure. An optimal estimation method with the Levenberg-Marquardt approach has been used to perform the retrieval. In most cases, the retrieved humidity and temperature profiles show a good agreement with the radiosoundings, demonstrating that the simultaneous retrieval of the atmospheric state is not biased by the presence of cirrus clouds. Finally, the retrieved cloud parameters allow us to study the relationships between cloud temperature and optical depth and between effective particle diameter and ice water content. These relationships are similar to the statistical correlations measured on the Antarctic coast at Dumont d'Urville and in the Arctic region.</t>
  </si>
  <si>
    <t>[Di Natale, Gianluca; Palchetti, Luca; Bianchini, Giovanni; Del Guasta, Massimo] Ist Nazl Ottica CNR, Sesto Fiorentino, Italy</t>
  </si>
  <si>
    <t>Consiglio Nazionale delle Ricerche (CNR); Istituto Nazionale di Ottica (INO-CNR)</t>
  </si>
  <si>
    <t>Palchetti, L (corresponding author), Ist Nazl Ottica CNR, Sesto Fiorentino, Italy.</t>
  </si>
  <si>
    <t>luca.palchetti@ino.it</t>
  </si>
  <si>
    <t>Di Natale, Gianluca/AAL-4498-2021; Bianchini, Giovanni/ABD-3585-2020; PALCHETTI, LUCA/O-1270-2015</t>
  </si>
  <si>
    <t>Di Natale, Gianluca/0000-0002-9149-7926; Bianchini, Giovanni/0000-0002-5400-7721; PALCHETTI, LUCA/0000-0003-4022-8125</t>
  </si>
  <si>
    <t>Italian National Program for Research in Antarctica PNRA (Programma Nazionale di Ricerche in Antartide) [2009/A04.03, 2013/AC3.01, 2013/AC3.06]</t>
  </si>
  <si>
    <t>Italian National Program for Research in Antarctica PNRA (Programma Nazionale di Ricerche in Antartide)</t>
  </si>
  <si>
    <t>The deployment of REFIR-PAD in Antarctica was supported by the Italian National Program for Research in Antarctica PNRA (Programma Nazionale di Ricerche in Antartide) under the following projects: 2009/A04.03, 2013/AC3.01 and 2013/AC3.06. The authors are grateful to the research group of the Institute of Applied Physics Nello Carrara (CNR-Florence) composed by Bruno Carli, Simone Ceccherini, Marco Gai, Samuele Del Bianco, Ugo Cortesi, Marco Ridolfi, Piera Raspollini, Flavio Barbara, and Luca Sgheri of the Institute for the Applications of Calculus (CNR-Florence). for the precious and fruitful discussions.</t>
  </si>
  <si>
    <t>10.5194/amt-10-825-2017</t>
  </si>
  <si>
    <t>EN7SX</t>
  </si>
  <si>
    <t>WOS:000396203600003</t>
  </si>
  <si>
    <t>Yagova, N; Nosikova, N; Baddeley, L; Kozyreva, O; Lorentzen, DA; Pilipenko, V; Johnsen, MG</t>
  </si>
  <si>
    <t>Yagova, Nadezda; Nosikova, Natalia; Baddeley, Lisa; Kozyreva, Olga; Lorentzen, Dag A.; Pilipenko, Vyacheslav; Johnsen, Magnar G.</t>
  </si>
  <si>
    <t>Non-triggered auroral substorms and long-period (1-4 mHz) geomagnetic and auroral luminosity pulsations in the polar cap</t>
  </si>
  <si>
    <t>Magnetospheric physics (auroral phenomena)</t>
  </si>
  <si>
    <t>FIELD LINE RESONANCES; SOLAR-WIND; MAGNETOSPHERIC SUBSTORMS; FREQUENCY-RANGE; ONSET; DISTURBANCES; PARAMETERS; PHASE; WAVES; BOUNDARY</t>
  </si>
  <si>
    <t>A study is undertaken into parameters of the polar auroral and geomagnetic pulsations in the frequency range 1-4 mHz (Pc5/Pi3) during quiet geomagnetic intervals preceding auroral substorms and non-substorm background variations. Special attention is paid to substorms that occur under parameters of the interplanetary magnetic field (IMF) conditions typical for undisturbed days (non-triggered substorms). The spectral parameters of pulsations observed in auroral luminosity as measured by a meridian scanning photometer (Svalbard) in the polar cap and near the polar boundary of the auroral oval are studied and compared with those for the geomagnetic pulsations measured by the magnetometer network IMAGE in the same frequency range. It is found that Pc5/Pi3 power spectral density (PSD) is higher during pre-substorm time intervals than for non-substorm days and that specific variations of pulsation parameters (substorm precursors) occur during the last 2-4 pre-substorm hours.</t>
  </si>
  <si>
    <t>[Yagova, Nadezda; Nosikova, Natalia; Kozyreva, Olga; Pilipenko, Vyacheslav] Schmidt Inst Phys Earth, Moscow, Russia; [Nosikova, Natalia] Natl Res Nucl Univ MEPhI, Moscow, Russia; [Baddeley, Lisa; Lorentzen, Dag A.] Univ Ctr Svalbard, Svalbard, Norway; [Baddeley, Lisa; Lorentzen, Dag A.] Univ Bergen, Birkeland Ctr Space Sci, Bergen, Norway; [Baddeley, Lisa; Lorentzen, Dag A.] British Antarctic Survey, Cambridge, England; [Pilipenko, Vyacheslav] Russian Acad Sci, Space Res Inst, Moscow, Russia; [Johnsen, Magnar G.] UiT Arctic Univ Norway, Tromso Geophys Observ, Tromso, Norway</t>
  </si>
  <si>
    <t>Russian Academy of Sciences; Schmidt Institute of Physics of the Earth of the Russian Academy of Sciences; National Research Nuclear University MEPhI (Moscow Engineering Physics Institute); University Centre Svalbard (UNIS); University of Bergen; UK Research &amp; Innovation (UKRI); Natural Environment Research Council (NERC); NERC British Antarctic Survey; Russian Academy of Sciences; Space Research Institute of the Russian Academy of Sciences; UiT The Arctic University of Tromso</t>
  </si>
  <si>
    <t>Yagova, N (corresponding author), Schmidt Inst Phys Earth, Moscow, Russia.</t>
  </si>
  <si>
    <t>nyagova@yandex.ru</t>
  </si>
  <si>
    <t>Baddeley, Lisa/ABD-4414-2020; Yagova, Nadezda/AAF-8102-2019; Yagova, Nadezda/AAZ-5025-2020; Kozyreva, Olga/X-5174-2019; Pilipenko, Vyacheslav/K-9747-2015</t>
  </si>
  <si>
    <t>Baddeley, Lisa/0000-0003-1246-0488; Yagova, Nadezda/0000-0003-0678-8743; Kozyreva, Olga/0000-0003-0825-151X; Pilipenko, Vyacheslav/0000-0003-3056-7465; Nosikova, Nataliya/0000-0002-1256-5645; Johnsen, Magnar G./0000-0002-2776-0750</t>
  </si>
  <si>
    <t>Research Council of Norway [195385]; PolarProg research program under the Research Council of Norway [246725]; NERC [bas0100031] Funding Source: UKRI; Natural Environment Research Council [bas0100031] Funding Source: researchfish</t>
  </si>
  <si>
    <t>Research Council of Norway(Research Council of Norway); PolarProg research program under the Research Council of Norway; NERC(UK Research &amp; Innovation (UKRI)Natural Environment Research Council (NERC)); Natural Environment Research Council(UK Research &amp; Innovation (UKRI)Natural Environment Research Council (NERC))</t>
  </si>
  <si>
    <t>The authors thank A. K. Sinha for helpful discussions. The IMAGE magnetometer stations NAL and TRO are owned and operated by Tromso Geophysical Observatory. The Longyearbyen MSP is owned and operated by the University Centre in Svalbard and partly funded by the Research Council of Norway (project number 195385). This research was partly funded by the PolarProg research program under the Research Council of Norway (project number 246725).</t>
  </si>
  <si>
    <t>10.5194/angeo-35-365-2017</t>
  </si>
  <si>
    <t>EN7TC</t>
  </si>
  <si>
    <t>WOS:000396204100001</t>
  </si>
  <si>
    <t>Bayon, G; De Deckker, P; Magee, JW; Germain, Y; Bermell, S; Tachikawa, K; Norman, MD</t>
  </si>
  <si>
    <t>Bayon, Germain; De Deckker, Patrick; Magee, John W.; Germain, Yoan; Bermell, Sylvain; Tachikawa, Kazuyo; Norman, Marc D.</t>
  </si>
  <si>
    <t>Extensive wet episodes in Late Glacial Australia resulting from high-latitude forcings</t>
  </si>
  <si>
    <t>MEGAFAUNAL EXTINCTION; SUMMER MONSOON; CLIMATE; SEDIMENTS; VARIABILITY; GREENLAND; SR</t>
  </si>
  <si>
    <t>Millennial-scale cooling events termed Heinrich Stadials punctuated Northern Hemisphere climate during the last glacial period. Latitudinal shifts of the intertropical convergence zone (ITCZ) are thought to have rapidly propagated these abrupt climatic signals southward, influencing the evolution of Southern Hemisphere climates and contributing to major reorganisation of the global oceanatmosphere system. Here, we use neodymium isotopes from a marine sediment core to reconstruct the hydroclimatic evolution of subtropical Australia between 90 to 20 thousand years ago. We find a strong correlation between our sediment provenance proxy data and records for western Pacific tropical precipitations and Australian palaeolakes, which indicates that Northern Hemisphere cooling phases were accompanied by pronounced excursions of the ITCZ and associated rainfall as far south as about 32 degrees S. Comparatively, however, each of these humid periods lasted substantially longer than the mean duration of Heinrich Stadials, overlapping with subsequent warming phases of the southern highlatitudes recorded in Antarctic ice cores. In addition to ITCZ-driven hydroclimate forcing, we infer that changes in Southern Ocean climate also played an important role in regulating late glacial atmospheric patterns of the Southern Hemisphere subtropical regions.</t>
  </si>
  <si>
    <t>[Bayon, Germain; Germain, Yoan; Bermell, Sylvain] IFREMER, Unite Rech Geosci Marines, Brest, France; [Bayon, Germain] Royal Museum Cent Africa, Dept Earth Sci, Tervuren, Belgium; [De Deckker, Patrick; Magee, John W.; Norman, Marc D.] Australian Natl Univ, Res Sch Earth Sci, Canberra, ACT, Australia; [Tachikawa, Kazuyo] Aix Marseille Univ, CNRS, IRD, Coll France,CEREGE, Aix En Provence, France</t>
  </si>
  <si>
    <t>Ifremer; Royal Museum for Central Africa; Australian National University; Institut de Recherche pour le Developpement (IRD); Aix-Marseille Universite; Centre National de la Recherche Scientifique (CNRS); Universite PSL; College de France</t>
  </si>
  <si>
    <t>Bayon, G (corresponding author), IFREMER, Unite Rech Geosci Marines, Brest, France.;Bayon, G (corresponding author), Royal Museum Cent Africa, Dept Earth Sci, Tervuren, Belgium.</t>
  </si>
  <si>
    <t>gbayon@ifremer.fr</t>
  </si>
  <si>
    <t>Bayon, Germain/F-9754-2010; Norman, Marc D/A-2244-2008</t>
  </si>
  <si>
    <t>Bayon, Germain/0000-0002-6791-4953; Norman, Marc/0000-0002-1357-5415</t>
  </si>
  <si>
    <t>IEF Marie Curie fellowship [FP7-PEOPLE-2012-IEF 327778]</t>
  </si>
  <si>
    <t>IEF Marie Curie fellowship(Marie Curie Actions)</t>
  </si>
  <si>
    <t>We thank the crews of R/V Marion Dufresne, especially Yvon Balut, and all participants of the AUSCAN cruise (MD131; PI: P.D.D.) for their assistance at sea. This work was funded via an IEF Marie Curie fellowship to G.B. (Grant No. FP7-PEOPLE-2012-IEF 327778).</t>
  </si>
  <si>
    <t>10.1038/srep44054</t>
  </si>
  <si>
    <t>EN1KF</t>
  </si>
  <si>
    <t>gold, Green Submitted, Green Published</t>
  </si>
  <si>
    <t>WOS:000395768200001</t>
  </si>
  <si>
    <t>Hanvey, JS; Lewis, PJ; Lavers, JL; Crosbie, ND; Pozo, K; Clarke, BO</t>
  </si>
  <si>
    <t>Hanvey, Joanne S.; Lewis, Phoebe J.; Lavers, Jennifer L.; Crosbie, Nicholas D.; Pozo, Karla; Clarke, Bradley O.</t>
  </si>
  <si>
    <t>A review of analytical techniques for quantifying microplastics in sediments</t>
  </si>
  <si>
    <t>ANALYTICAL METHODS</t>
  </si>
  <si>
    <t>SMALL-PLASTIC DEBRIS; PERSISTENT ORGANIC POLLUTANTS; MARINE-SEDIMENTS; BEACH SEDIMENTS; QUANTITATIVE-ANALYSIS; SPATIAL-DISTRIBUTION; RAMAN-SPECTROSCOPY; MEDITERRANEAN SEA; SYNTHETIC-FIBERS; SANDY BEACHES</t>
  </si>
  <si>
    <t>In this review the analytical techniques for measuring microplastics in sediment have been evaluated. Four primary areas of the analytical process have been identified that include (1) sampling, (2) extraction, (3) quantitation and (4) quality assurance/quality control (QAQC). Each of those sections have their own subject specific challenges and require further method development and harmonisation. The most common approach to extracting microplastics from sediments is density separation. Following extraction, visual counting with an optical microscope is the most common technique for quantifying microplastics; a technique that is labour intensive and prone to human error. Spectroscopy (FTIR; Raman) are the most commonly applied techniques for identifying polymers collected through visual sorting. Improvements and harmonisation on size fractions, sampling approaches, extraction protocols and units for reporting plastic abundance would aid comparison of data generated by different research teams. Further, we advocate the development of strong QAQC procedures to be adopted like other fields of analytical chemistry. Finally, inter-laboratory proficiency testing is recommended to give an indication of the variation and reliability in measurements reported in the scientific literature that may be under- or overestimations of environmental burdens.</t>
  </si>
  <si>
    <t>[Hanvey, Joanne S.; Lewis, Phoebe J.; Clarke, Bradley O.] RMIT Univ, Sch Sci, Ctr Environm Sustainabil &amp; Remediat, GPO Box 2476, Melbourne, Vic 3001, Australia; [Lavers, Jennifer L.] Univ Tasmania, Inst Marine &amp; Antarctic Studies, 20 Castray Esplanade, Battery Point, Tas 7004, Australia; [Crosbie, Nicholas D.] Melbourne Water, 990 LaTrobe St, Melbourne, Vic, Australia; [Pozo, Karla] Univ Catolica Santisima Concepcion, Fac Ciencias, Alonso de Ribera 2850, Concepcion, Chile; [Pozo, Karla] Masaryk Univ, Fac Sci, RECETOX Res Ctr Tox Cpds Environm, Kamenice 753-5,Pavilon A29, Brno 62500, Czech Republic</t>
  </si>
  <si>
    <t>Melbourne Genomics Health Alliance; Royal Melbourne Institute of Technology (RMIT); University of Tasmania; Melbourne Genomics Health Alliance; Universidad Catolica de la Santisima Concepcion; Masaryk University Brno</t>
  </si>
  <si>
    <t>Clarke, BO (corresponding author), RMIT Univ, Sch Sci, Ctr Environm Sustainabil &amp; Remediat, GPO Box 2476, Melbourne, Vic 3001, Australia.</t>
  </si>
  <si>
    <t>bradley.clarke@rmit.edu.au</t>
  </si>
  <si>
    <t>Clarke, Bradley/U-9333-2017; Crosbie, Nicholas D/T-5247-2019; Raju, Nethaji/J-9085-2018; Pozo, Karla/D-3822-2012; Lavers, Jennifer/O-4831-2017; Lavers, Jennifer/IWM-5417-2023</t>
  </si>
  <si>
    <t>Clarke, Bradley/0000-0002-4559-9585; Crosbie, Nicholas D/0000-0002-0319-4248; Lavers, Jennifer/0000-0001-7596-6588; Lewis, Phoebe/0000-0002-6162-850X; Pozo, Karla/0000-0001-7747-7518</t>
  </si>
  <si>
    <t>1759-9660</t>
  </si>
  <si>
    <t>1759-9679</t>
  </si>
  <si>
    <t>ANAL METHODS-UK</t>
  </si>
  <si>
    <t>Anal. Methods</t>
  </si>
  <si>
    <t>MAR 7</t>
  </si>
  <si>
    <t>10.1039/c6ay02707e</t>
  </si>
  <si>
    <t>Chemistry, Analytical; Food Science &amp; Technology; Spectroscopy</t>
  </si>
  <si>
    <t>Chemistry; Food Science &amp; Technology; Spectroscopy</t>
  </si>
  <si>
    <t>EN4TK</t>
  </si>
  <si>
    <t>WOS:000395999600007</t>
  </si>
  <si>
    <t>Provencher, JF; Bond, AL; Avery-Gomm, S; Borrelle, SB; Rebolledo, ELB; Hammer, S; Kuhn, S; Lavers, JL; Mallory, ML; Trevail, A; van Franeker, JA</t>
  </si>
  <si>
    <t>Provencher, Jennifer F.; Bond, Alexander L.; Avery-Gomm, Stephanie; Borrelle, Stephanie B.; Rebolledo, Elisa L. Bravo; Hammer, Sjurour; Kuhn, Susanne; Lavers, Jennifer L.; Mallory, Mark L.; Trevail, Alice; van Franeker, Jan A.</t>
  </si>
  <si>
    <t>Quantifying ingested debris in marine megafauna: a review and recommendations for standardization</t>
  </si>
  <si>
    <t>SHORT-TAILED SHEARWATERS; FLESH-FOOTED SHEARWATERS; PLASTIC INGESTION; PUFFINUS-TENUIROSTRIS; NORTHERN FULMARS; POLYCHLORINATED-BIPHENYLS; TOXIC-CHEMICALS; RESIN PELLETS; SKUA PELLETS; SEABIRDS</t>
  </si>
  <si>
    <t>Plastic pollution has become one of the largest environmental challenges we currently face. The United Nations Environment Program (UNEP) has listed it as a critical problem, comparable to climate change, demonstrating both the scale and degree of the environmental problem. Mortalities due to entanglement in plastic fishing nets and bags have been reported for marine mammals, turtles and seabirds, and to date over 690 marine species have been reported to ingest plastics. The body of literature documenting plastic ingestion by marine megafauna (i. e. seabirds, turtles, fish and marine mammals) has grown rapidly over the last decade, and it is expected to continue grow as researchers explore the ecological impacts of marine pollution. Unfortunately, a cohesive approach by the scientific community to quantify plastic ingestion by wildlife is lacking, which is now hindering spatial and temporal comparisons between and among species/ organisms. Here, we discuss and propose standardized techniques, approaches and metrics for reporting debris ingestion that are applicable to most large marine vertebrates. As a case study, we examine how the use of standardized methods to report ingested debris in Northern Fulmars (Fulmarus glacialis) has enabled long term and spatial trends in plastic pollution to be studied. Lastly, we outline standardized metric recommendations for reporting ingested plastics in marine megafauna, with the aim to harmonize the data that are available to facilitate large- scale comparisons and meta-analyses of plastic accumulation in a variety of taxa. If standardized methods are adopted, future plastic ingestion research will be better able to inform questions related to the impacts of plastics across taxonomic, ecosystem and spatial scales.</t>
  </si>
  <si>
    <t>[Provencher, Jennifer F.] Carleton Univ, Dept Biol, 1125 Colonel By Dr, Ottawa, ON K1A 0H3, Canada; [Provencher, Jennifer F.; Mallory, Mark L.] Acadia Univ, Dept Biol, 33 Westwood Ave, Wolfville, NS B4P 2R6, Canada; [Bond, Alexander L.] Royal Soc Protect Birds, RSPB Ctr Conservat Sci, Sandy SG19 2DL, Beds, England; [Avery-Gomm, Stephanie] Univ Queensland, Ctr Biodivers &amp; Conservat Sci, St Lucia, Qld 4067, Australia; [Borrelle, Stephanie B.] Auckland Univ Technol, Inst Appl Ecol New Zealand, Private Bag 92006, Auckland 1142, New Zealand; [Rebolledo, Elisa L. Bravo; Kuhn, Susanne; van Franeker, Jan A.] Wageningen Marine Res, Ankerpk 27, NL-1781 AG Den Helder, Netherlands; [Hammer, Sjurour] Univ Glasgow, Inst Biodivers Anim Hlth &amp; Comparat Med, Graham Kerr Bldg, Glasgow G12 8QQ, Lanark, Scotland; [Lavers, Jennifer L.] Univ Tasmania, Inst Marine &amp; Antarctic Studies, 20 Castray Esplanade, Battery Point, Tas 7004, Australia; [Trevail, Alice] Univ Liverpool, Dept Environm Sci, Nicholson Bldg, Liverpool L69 3GP, Merseyside, England</t>
  </si>
  <si>
    <t>Carleton University; Acadia University; Royal Society for Protection of Birds; University of Queensland; Auckland University of Technology; Wageningen University &amp; Research; University of Glasgow; University of Tasmania; University of Liverpool</t>
  </si>
  <si>
    <t>Provencher, JF (corresponding author), Carleton Univ, Dept Biol, 1125 Colonel By Dr, Ottawa, ON K1A 0H3, Canada.;Provencher, JF (corresponding author), Acadia Univ, Dept Biol, 33 Westwood Ave, Wolfville, NS B4P 2R6, Canada.</t>
  </si>
  <si>
    <t>jennifpro@gmail.com</t>
  </si>
  <si>
    <t>Lavers, Jennifer/O-4831-2017; Bond, Alexander L/A-3786-2010; Lavers, Jennifer/IWM-5417-2023; Borrelle, Steph/Q-3658-2019; Mallory, Mark L/A-1952-2017; Trevail, Alice M./Y-9000-2019; Provencher, Jennifer/J-2839-2016</t>
  </si>
  <si>
    <t>Lavers, Jennifer/0000-0001-7596-6588; Borrelle, Steph/0000-0002-1802-7354; Trevail, Alice M./0000-0002-6459-5213; Provencher, Jennifer/0000-0002-4972-2034; Bond, Alexander/0000-0003-2125-7238; Kuhn, Susanne/0000-0003-1052-7634; Hammer, Sjurdur/0000-0002-3986-5074</t>
  </si>
  <si>
    <t>Environment and Climate Change Canada; Detached Foundation; Natural Sciences and Engineering Research Council of Canada; W. Gar. eld Weston Foundation; Ministry of Infrastructure and the Environment (I M)</t>
  </si>
  <si>
    <t>Environment and Climate Change Canada; Detached Foundation; Natural Sciences and Engineering Research Council of Canada(Natural Sciences and Engineering Research Council of Canada (NSERC)CGIAR); W. Gar. eld Weston Foundation; Ministry of Infrastructure and the Environment (I M)</t>
  </si>
  <si>
    <t>We are indebted to the many colleagues with whom we have had numerous fruitful discussions, especially H. G. Gilchrist, I. Hutton, and G. J. Robertson. In general research on plastics received funding from Environment and Climate Change Canada, Detached Foundation (P. Clive &amp; B. Neill), the Natural Sciences and Engineering Research Council of Canada, the Northern Contaminants Program (Indigenous and Northern Affairs Canada), and the W. Gar. eld Weston Foundation. The long term fulmar monitoring program in the Netherlands is funded by RWS Water, Traffic and Living Environment (RWSWVL) of the Ministry of Infrastructure and the Environment (I&amp; M). We thank C. Rochman and R. Thompson for inviting us to contribute to this special issue. Lastly, we thank the two reviewers of this manuscript that helped to improve this work.</t>
  </si>
  <si>
    <t>10.1039/c6ay02419j</t>
  </si>
  <si>
    <t>Green Accepted, hybrid, Green Submitted</t>
  </si>
  <si>
    <t>WOS:000395999600016</t>
  </si>
  <si>
    <t>Mashayek, A; Ferrari, R; Merrifield, S; Ledwell, JR; St Laurent, L; Garabato, AN</t>
  </si>
  <si>
    <t>Mashayek, A.; Ferrari, R.; Merrifield, S.; Ledwell, J. R.; St Laurent, L.; Garabato, A. Naveira</t>
  </si>
  <si>
    <t>Topographic enhancement of vertical turbulent mixing in the Southern Ocean</t>
  </si>
  <si>
    <t>ANTARCTIC CIRCUMPOLAR CURRENT; CONTINENTAL-SLOPE; EDDY DIFFUSIVITY; ABYSSAL OCEAN; CIRCULATION; VARIABILITY; PYCNOCLINE; TRANSPORT; TRACER</t>
  </si>
  <si>
    <t>It is an open question whether turbulent mixing across density surfaces is sufficiently large to play a dominant role in closing the deep branch of the ocean meridional overturning circulation. The diapycnal and isopycnal mixing experiment in the Southern Ocean found the turbulent diffusivity inferred from the vertical spreading of a tracer to be an order of magnitude larger than that inferred from the microstructure profiles at the mean tracer depth of 1,500m in the Drake Passage. Using a high-resolution ocean model, it is shown that the fast vertical spreading of tracer occurs when it comes in contact with mixing hotspots over rough topography. The sparsity of such hotspots is made up for by enhanced tracer residence time in their vicinity due to diffusion toward weak bottom flows. The increased tracer residence time may explain the large vertical fluxes of heat and salt required to close the abyssal circulation.</t>
  </si>
  <si>
    <t>[Mashayek, A.; Ferrari, R.; Merrifield, S.] MIT, Dept Earth Atmosphere &amp; Planetary Sci, Cambridge, MA 02139 USA; [Ledwell, J. R.; St Laurent, L.] Woods Hole Oceanog Inst, Woods Hole, MA 02543 USA; [Garabato, A. Naveira] Univ Southampton, Natl Oceanog Ctr, Southampton SO14 3ZH, Hants, England</t>
  </si>
  <si>
    <t>Massachusetts Institute of Technology (MIT); Woods Hole Oceanographic Institution; University of Southampton; NERC National Oceanography Centre</t>
  </si>
  <si>
    <t>Mashayek, A (corresponding author), MIT, Dept Earth Atmosphere &amp; Planetary Sci, Cambridge, MA 02139 USA.</t>
  </si>
  <si>
    <t>ali_mash@mit.edu</t>
  </si>
  <si>
    <t>Garabato, Alberto Naveira/AAQ-1114-2020</t>
  </si>
  <si>
    <t>Garabato, Alberto Naveira/0000-0001-6071-605X</t>
  </si>
  <si>
    <t>US National Science Foundation [OCE-1233832]; NSERC PDF award; NERC [NE/E007058/1, NE/E005985/1, NE/E006000/1, NE/E005667/1, NE/E006663/1] Funding Source: UKRI; Division Of Ocean Sciences; Directorate For Geosciences [1233832, 1232962] Funding Source: National Science Foundation; Natural Environment Research Council [NE/E006663/1, NE/E005985/1, NE/E005667/1, NE/E006000/1, NE/E007058/1] Funding Source: researchfish</t>
  </si>
  <si>
    <t>US National Science Foundation(National Science Foundation (NSF)); NSERC PDF award(Natural Sciences and Engineering Research Council of Canada (NSERC)); NERC(UK Research &amp; Innovation (UKRI)Natural Environment Research Council (NERC)); Division Of Ocean Sciences; Directorate For Geosciences(National Science Foundation (NSF)NSF - Directorate for Geosciences (GEO)); Natural Environment Research Council(UK Research &amp; Innovation (UKRI)Natural Environment Research Council (NERC))</t>
  </si>
  <si>
    <t>We thank Glenn Flierl for enlightening discussions and three anonymous reviewers for insightful suggestions. Financial support for A.M. and R.F. under the US National Science Foundation grant OCE-1233832 is gratefully acknowledged. A.M. also acknowledges support from an NSERC PDF award.</t>
  </si>
  <si>
    <t>MAR 6</t>
  </si>
  <si>
    <t>10.1038/ncomms14197</t>
  </si>
  <si>
    <t>EM7NZ</t>
  </si>
  <si>
    <t>WOS:000395500700001</t>
  </si>
  <si>
    <t>Marcías, ML; Deregibus, D; Saravia, LA; Campana, GL; Quartino, ML</t>
  </si>
  <si>
    <t>Laura Marcias, Maria; Deregibus, Dolores; Ariel Saravia, Leonardo; Laura Campana, Gabriela; Liliana Quartino, Maria</t>
  </si>
  <si>
    <t>Life between tides: Spatial and temporal variations of an intertidal macroalgal community at Potter Peninsula, South Shetland Islands, Antarctica</t>
  </si>
  <si>
    <t>Benthos; Seaweeds; Ecological zonation; Aquatic communities; Community structure; Isla 25 de Mayo/King George Island</t>
  </si>
  <si>
    <t>KING GEORGE ISLAND; ADENOCYSTIS-UTRICULARIS; ULTRAVIOLET-RADIATION; SUBTIDAL MACROALGAE; PATTERNS; PHOTOSYNTHESIS; COLONIZATION; VARIABILITY; ECOLOGY; FIELD</t>
  </si>
  <si>
    <t>Intertidal zones are one of the most studied habitats in the world. However, in Antarctica, further studies are needed for a more complete understanding of these systems. When conspicuous Antarctic intertidal communities occur, macroalgae are a key component. Given that intertidal communities have a fast response to variations in environmental conditions and could reflect climate fluctuations, we conducted a non-destructive study with photographic transects in an intertidal zone at Potter Peninsula, Isla 25 de Mayo/King George Island, over four years and during five months of the warm season. We tested the general hypothesis that macroalgal intertidal communities are mainly structured by the vertical stress gradient and that changes in temperature between seasons and between years have a great influence in the macroalgal community structure. Spatial, seasonal and inter-annual variations were studied using GLM, quantile regression and NMDS ordinations. The vertical stress gradient was the main factor that explained macroalgal cover. The Low and the Middle level shared similarities, but the latter was more variable. The High level had the lowest cover, richness and diversity. The dominant species here was the endemic red alga Pyropia endiviifolia, which is strongly adapted to extreme conditions. At the Middle level, there was a significant increase in macroalgal cover during spring months, and it stabilized in summer. Inter-annual variations showed that there is a strong variation in the total macroalgal cover and community structure over the studied years. Environmental conditions have a significant effect in shaping the studied intertidal community, which is very sensitive to climate oscillations. An increase in temperature produced a decrease of annual ice foot cover, number of snow days and - as a result - an increase in macroalgal cover. In a global climate-change scenario, a shift in species composition could also occur. Species with wide physiological tolerance that grow in warmer conditions, like Palmaria decipiens, could benefit, while other species will be discriminated. More detailed studies are necessary to predict future changes in Antarctic intertidal communities. (C) 2016 Published by Elsevier Ltd.</t>
  </si>
  <si>
    <t>[Laura Marcias, Maria] Univ Buenos Aires, Fac Ciencias Exactas &amp; Nat, Intendente Guiraldes 2160,Ciudad Univ,Pabellon 2, Buenos Aires, DF, Argentina; [Deregibus, Dolores; Laura Campana, Gabriela; Liliana Quartino, Maria] Inst Antartico Argentine, Dept Biol Costera, Direct Nacl Antartico, 25 Mayo 7143,San Martin CP 1650, Buenos Aires, DF, Argentina; [Ariel Saravia, Leonardo] Univ Nacl Gen Sarmiento, Inst Ciencias, JM Gutierrez 1150,B1613GSX, Los Polvorines, Argentina; [Laura Campana, Gabriela] Univ Nacl Lujan, Dept Ciencias Basicas, Ruta 5 &amp; Ave Constitut,CP 6700, Lujan, Buenos Aires, Argentina; [Liliana Quartino, Maria] Museo Argentino Ciencias Nat Bernardino Rivadavia, B Rivadavia Av,A Gallardo 470,C1405DJR, Buenos Aires, DF, Argentina</t>
  </si>
  <si>
    <t>University of Buenos Aires; Instituto Antartico Argentino; Universidad Nacional de Lujan; Museo Argentino de Ciencias Naturales Bernardino Rivadavia (MACN)</t>
  </si>
  <si>
    <t>Quartino, ML (corresponding author), Inst Antartico Argentine, Dept Biol Costera, Direct Nacl Antartico, 25 Mayo 7143,San Martin CP 1650, Buenos Aires, DF, Argentina.</t>
  </si>
  <si>
    <t>lquartino@dna.gov.ar</t>
  </si>
  <si>
    <t>Saravia, Leonardo/AAM-3461-2021</t>
  </si>
  <si>
    <t>Saravia, Leonardo/0000-0002-7911-4398; Marcias, Maria Laura/0000-0001-9865-3242</t>
  </si>
  <si>
    <t>DNA-IAA [PICTA 7/2008-2011]; ANPCyT-DNA [PICTO 0116/2012-2015]</t>
  </si>
  <si>
    <t>DNA-IAA; ANPCyT-DNA</t>
  </si>
  <si>
    <t>This research was supported by grants from DNA-IAA (PICTA 7/2008-2011) and ANPCyT-DNA (PICTO 0116/2012-2015). We thank the Instituto Antartico Argentino - Direccion Nacional del Antartico. We also thank Servicio Meteorologic Nacional (National Meteorological Service of Argentina) for providing the meteorological data. We are especially grateful to the scientific and logistic groups of Carlini Station for their invaluable technical assistance during the Antarctic expeditions. We thank the two anonymous reviewers for their suggestions and comments, which helped to improve our manuscript considerably.</t>
  </si>
  <si>
    <t>MAR 5</t>
  </si>
  <si>
    <t>10.1016/j.ecss.2016.12.023</t>
  </si>
  <si>
    <t>ES5ZB</t>
  </si>
  <si>
    <t>WOS:000399624100020</t>
  </si>
  <si>
    <t>Uotila, P; Iovino, D; Vancoppenolle, M; Lensu, M; Rousset, C</t>
  </si>
  <si>
    <t>Uotila, Petteri; Iovino, Doroteaciro; Vancoppenolle, Martin; Lensu, Mikko; Rousset, Clement</t>
  </si>
  <si>
    <t>Comparing sea ice, hydrography and circulation between NEMO3.6 LIM3 and LIM2</t>
  </si>
  <si>
    <t>CORE-II SIMULATIONS; THICKNESS DISTRIBUTION; OCEAN CIRCULATION; DATA ASSIMILATION; MODEL; SUITE; SENSITIVITY; REANALYSIS; CLIMATE; PHYSICS</t>
  </si>
  <si>
    <t>A set of hindcast simulations with the new version 3.6 of the Nucleus for European Modelling of the Ocean (NEMO) ocean-ice model in the ORCA1 configuration and forced by the DRAKKAR Forcing Set version 5.2 (DFS5.2) atmospheric data was performed from 1958 to 2012. Simulations differed in their sea-ice component: the old standard version Louvain-la-Neuve Sea Ice Model (LIM2) and its successor LIM3. Main differences between these sea-ice models are the parameterisations of sub-grid-scale sea-ice thickness distribution, ice deformation, thermodynamic processes, and sea-ice salinity. Our main objective was to analyse the response of the ocean-ice system sensitivity to the change in sea-ice physics. Additional sensitivity simulations were carried out for the attribution of observed differences between the two main simulations. In the Arctic, NEMO-LIM3 compares better with observations by realistically reproducing the sea-ice extent decline during the last few decades due to its multi-category sea-ice thickness. In the Antarctic, NEMO-LIM3 more realistically simulates the seasonal evolution of sea-ice extent than NEMO-LIM2. In terms of oceanic properties, improvements are not as evident, although NEMO-LIM3 reproduces a more realistic hydrography in the Labrador Sea and in the Arctic Ocean, including a reduced cold temperature bias of the Arctic Intermediate Water at 250 m. In the extra-polar regions, the oceanographic conditions of the two NEMO-LIM versions remain relatively similar, although they slowly drift apart over decades. This drift is probably due to a stronger deep water formation around Antarctica in LIM3.</t>
  </si>
  <si>
    <t>[Uotila, Petteri; Lensu, Mikko] Finnish Meteorol Inst, Helsinki, Finland; [Iovino, Doroteaciro] Fdn Ctr Euromediterraneo Cambiamenti Climatici CM, Bologna, Italy; [Vancoppenolle, Martin; Rousset, Clement] UPMC Paris 6, Sorbonne Univ, LOCEAN IPSL, CNRS IRD MNHN, Paris, France</t>
  </si>
  <si>
    <t>Finnish Meteorological Institute; Museum National d'Histoire Naturelle (MNHN); Institut de Recherche pour le Developpement (IRD); Sorbonne Universite</t>
  </si>
  <si>
    <t>Uotila, P (corresponding author), Finnish Meteorol Inst, Helsinki, Finland.</t>
  </si>
  <si>
    <t>petteri.uotila@fmi.fi</t>
  </si>
  <si>
    <t>Iovino, Doroteaciro/E-9759-2015; Uotila, Petteri/A-1703-2012; Vancoppenolle, Martin/AAA-7711-2022; Vancoppenolle, Martin/B-3750-2011</t>
  </si>
  <si>
    <t>Iovino, Doroteaciro/0000-0001-5132-7255; Uotila, Petteri/0000-0002-2939-7561; Vancoppenolle, Martin/0000-0002-7573-8582; Vancoppenolle, Martin/0000-0002-7573-8582</t>
  </si>
  <si>
    <t>Academy of Finland [264358, 283034]; Academy of Finland (AKA) [283034, 264358] Funding Source: Academy of Finland (AKA)</t>
  </si>
  <si>
    <t>Academy of Finland(Research Council of Finland); Academy of Finland (AKA)(Research Council of Finland)</t>
  </si>
  <si>
    <t>We acknowledge the creators of low-resolution sea-ice drift product of the EUMETSAT Ocean and Sea Ice Satellite Application Facility (OSI SAF, www.osi-saf.org). We thank Laurent Brodeau for providing us the very useful Barakuda software package to diagnose NEMO simulations. The work of Mikko Lensu and Petteri Uotila was supported by the Academy of Finland (contract nos. 264358 and 283034). The authors would like to thank the anonymous reviewers for their invaluable feedback and A. Barthelemy for fruitful discussions.</t>
  </si>
  <si>
    <t>MAR 3</t>
  </si>
  <si>
    <t>10.5194/gmd-10-1009-2017</t>
  </si>
  <si>
    <t>EM5ZD</t>
  </si>
  <si>
    <t>WOS:000395391700001</t>
  </si>
  <si>
    <t>Hill, DJ; Bolton, KP; Haywood, AM</t>
  </si>
  <si>
    <t>Hill, Daniel J.; Bolton, Kevin P.; Haywood, Alan M.</t>
  </si>
  <si>
    <t>Modelled ocean changes at the Plio-Pleistocene transition driven by Antarctic ice advance</t>
  </si>
  <si>
    <t>SEA-ICE; DEEP-WATER; PLIOCENE; SHEET; CLIMATE; CIRCULATION; MARINE; CO2; ONSET; STRATIFICATION</t>
  </si>
  <si>
    <t>The Earth underwent a major transition from the warm climates of the Pliocene to the Pleistocene ice ages between 3.2 and 2.6 million years ago. The intensification of Northern Hemisphere Glaciation is the most obvious result of the Plio-Pleistocene transition. However, recent data show that the ocean also underwent a significant change, with the convergence of deep water mass properties in the North Pacific and North Atlantic Ocean. Here we show that the lack of coastal ice in the Pacific sector of Antarctica leads to major reductions in Pacific Ocean overturning and the loss of the modern North Pacific Deep Water (NPDW) mass in climate models of the warmest periods of the Pliocene. These results potentially explain the convergence of global deep water mass properties at the Plio-Pleistocene transition, as Circumpolar Deep Water (CDW) became the common source.</t>
  </si>
  <si>
    <t>[Hill, Daniel J.; Haywood, Alan M.] Univ Leeds, Sch Earth &amp; Environm, Woodhouse Lane, Leeds LS2 9JT, W Yorkshire, England; [Bolton, Kevin P.] Univ Exeter, Environm &amp; Sustainabil Inst, Coll Engn Math &amp; Phys Sci, Penryn Campus, Penryn TR10 9FE, Cornwall, England</t>
  </si>
  <si>
    <t>University of Leeds; University of Exeter</t>
  </si>
  <si>
    <t>Hill, DJ (corresponding author), Univ Leeds, Sch Earth &amp; Environm, Woodhouse Lane, Leeds LS2 9JT, W Yorkshire, England.</t>
  </si>
  <si>
    <t>eardjh@leeds.ac.uk</t>
  </si>
  <si>
    <t>Hill, Daniel/0000-0001-5492-3925</t>
  </si>
  <si>
    <t>European Research Council under the European Union's Seventh Framework Programme (FP7)/ERC grant [278636]</t>
  </si>
  <si>
    <t>European Research Council under the European Union's Seventh Framework Programme (FP7)/ERC grant(European Research Council (ERC))</t>
  </si>
  <si>
    <t>The PlioMIP analysis was undertaken by K.P.B. as part of a Natural Environment Research Council (NERC) Research Experience Placement (REP) hosted by the School of Earth and Environment at the University of Leeds, when an undergraduate at College of Engineering, Mathematics and Physical Sciences, University of Exeter, UK. A.M.H. acknowledges that his contribution to this research was funded by the European Research Council under the European Union's Seventh Framework Programme (FP7/2007-2013)/ERC grant agreement number 278636. Three anonymous reviewers are thanked for their comments, which produced an improved and more robust final manuscript.</t>
  </si>
  <si>
    <t>MAR 2</t>
  </si>
  <si>
    <t>10.1038/ncomms14376</t>
  </si>
  <si>
    <t>EM1UV</t>
  </si>
  <si>
    <t>WOS:000395103500001</t>
  </si>
  <si>
    <t>Vaqué, D; Boras, JA; Torrent-Llagostera, F; Agustí, S; Arrieta, JM; Lara, E; Castillo, YM; Duarte, CM; Sala, MM</t>
  </si>
  <si>
    <t>Vaque, Dolors; Boras, Julia A.; Torrent-Llagostera, Francesc; Agusti, Susana; Arrieta, Jesus M.; Lara, Elena; Castillo, Yaiza M.; Duarte, Carlos M.; Sala, Maria M.</t>
  </si>
  <si>
    <t>Viruses and Protists Induced-mortality of Prokaryotes around the Antarctic Peninsula during the Austral Summer</t>
  </si>
  <si>
    <t>viruses; prokaryotes; protists; lysis; lysogeny; mortality; temperature; Antarctic waters</t>
  </si>
  <si>
    <t>WESTERN BRANSFIELD STRAIT; PLANKTONIC BACTERIA; CONVERSION FACTORS; PROTEIN-SYNTHESIS; SEASONAL-CHANGES; RATES; BACTERIOPLANKTON; PHYTOPLANKTON; RESPIRATION; COMMUNITIES</t>
  </si>
  <si>
    <t>During the Austral summer 2009 we studied three areas surrounding the Antarctic Peninsula: the Bellingshausen Sea, the Bransfield Strait and the Weddell Sea. We aimed to investigate, whether viruses or protists were the main agents inducing prokaryotic mortality rates, and the sensitivity to temperature of prokaryotic heterotrophic production and mortality based on the activation energy (Ea) for each process. Seawater samples were taken at seven depths (0.1-100 m) to quantify viruses, prokaryotes and protists abundances, and heterotrophic prokaryotic production (PHP). Viral lytic production, lysogeny, and mortality rates of prokaryotes due to viruses and protists were estimated at surface (0.1-1 m) and at the Deep Fluorescence Maximum (DFM, 12-55 m) at eight representative stations of the three areas. The average viral lytic production ranged from 1.0 +/- 0.3 x 10(7) viruses ml(-1) d(-1) in the Bellingshausen Sea to1.3 +/- 0.7 x 10(7) viruses ml(-1) d(-1) in the Bransfield Strait, while lysogeny, when detectable, recorded the lowest value in the Bellingshausen Sea (0.05 +/- 0.05 x 10(7) viruses ml(-1) d(-1)) and the highest in the Weddell Sea (4.3 +/- 3.5 x 10(7) viruses ml(-1) d(-1)). Average mortality rates due to viruses ranged from 9.7 +/- 6.1 x 10(4) cells ml(-1) d(-1) in the Weddell Sea to 14.3 +/- 4.0 x 10(4) cells ml(-1) d(-1) in the Bellingshausen Sea, and were higher than averaged grazing rates in the Weddell Sea (5.9 +/- 1.1 x 10(4) cells ml(-1) d(-1)) and in the Bellingshausen Sea (6.8 +/- 0.9 x 10(4) cells ml-1 d(-1)). The highest impact on prokaryotes by viruses and main differences between viral and protists activities were observed in surface samples: 17.8 +/- 6.8 x 10(4) cells ml(-1) d(-1) and 6.5 +/- 3.9 x 10(4) cells ml(-1) d(-1) in the Weddell Sea; 22.1 +/- 9.6 x 10(4) cells ml(-1) d(-1) and 11.6 +/- 1.4 x 10(4) cells ml(-1) d(-1) in the Bransfield Strait; and 16.1 +/- 5.7 x 10(4) cells ml(-1) d(-1) and 7.9 +/- 2.6 x 10(4) cells ml(-1) d(-1) in the Bellingshausen Sea, respectively. Furthermore, the rate of lysed cells and PHP showed higher sensitivity to temperature than grazing rates by protists. We conclude that viruses were more important mortality agents than protists mainly in surface waters and that viral activity has a higher sensitivity to temperature than grazing rates. This suggests a reduction of the carbon transferred through the microbial food-web that could have implications in the biogeochemical cycles in a future warmer ocean scenario.</t>
  </si>
  <si>
    <t>[Vaque, Dolors; Boras, Julia A.; Torrent-Llagostera, Francesc; Lara, Elena; Castillo, Yaiza M.; Sala, Maria M.] CSIC, Inst Ciencies Mar CSIC, Barcelona, Spain; [Agusti, Susana; Arrieta, Jesus M.; Duarte, Carlos M.] King Abdullah Univ Sci &amp; Technol, Thuwal, Saudi Arabia; [Lara, Elena] CNR, Inst Marine Sci CNR ISMAR, Venice, Italy</t>
  </si>
  <si>
    <t>Consejo Superior de Investigaciones Cientificas (CSIC); CSIC - Centro Mediterraneo de Investigaciones Marinas y Ambientales (CMIMA); CSIC - Instituto de Ciencias del Mar (ICM); King Abdullah University of Science &amp; Technology; Consiglio Nazionale delle Ricerche (CNR); Istituto di Scienze Marine (ISMAR-CNR)</t>
  </si>
  <si>
    <t>Vaqué, D (corresponding author), CSIC, Inst Ciencies Mar CSIC, Barcelona, Spain.</t>
  </si>
  <si>
    <t>dolors@icm.csic.es</t>
  </si>
  <si>
    <t>, Maria Montserrat/AAW-7487-2021; Duarte Quesada, Carlos Manuel/ABD-6208-2021; Duarte, Carlos M/A-7670-2013; SALA, Maria Montserrat/O-4726-2014; Agusti, Susana/G-2864-2017; Boras, Julia A./AAN-9719-2020; Arrieta, Jesus/B-1226-2008; Vaque, Dolors/H-6973-2018</t>
  </si>
  <si>
    <t>Duarte, Carlos M/0000-0002-1213-1361; SALA, Maria Montserrat/0000-0002-3804-5680; Agusti, Susana/0000-0003-0536-7293; Lara, Elena/0000-0002-4625-348X; Arrieta, Jesus/0000-0002-0190-6950; Vaque, Dolors/0000-0002-0420-5914; Boras, Julia A./0000-0002-4195-8405</t>
  </si>
  <si>
    <t>ATOS - Spanish Ministerio de Ciencia e Innovacion [POL2006-00550/CTM]; MINECO (FPI grant)</t>
  </si>
  <si>
    <t>ATOS - Spanish Ministerio de Ciencia e Innovacion; MINECO (FPI grant)</t>
  </si>
  <si>
    <t>This study was supported by the following projects: ATOS (POL2006-00550/CTM, P.I.: CD.) funded by the Spanish Ministerio de Ciencia e Innovacion, YC work was supported by a Ph.D. fellowship from the MINECO (FPI grant).</t>
  </si>
  <si>
    <t>10.3389/fmicb.2017.00241</t>
  </si>
  <si>
    <t>EL9ZH</t>
  </si>
  <si>
    <t>WOS:000394978100001</t>
  </si>
  <si>
    <t>Tagliabue, A; Bowie, AR; Boyd, PW; Buck, KN; Johnson, KS; Saito, MA</t>
  </si>
  <si>
    <t>Tagliabue, Alessandro; Bowie, Andrew R.; Boyd, Philip W.; Buck, Kristen N.; Johnson, Kenneth S.; Saito, Mak A.</t>
  </si>
  <si>
    <t>The integral role of iron in ocean biogeochemistry</t>
  </si>
  <si>
    <t>SOUTHERN-OCEAN; DISSOLVED IRON; NORTH-ATLANTIC; MARINE-PHYTOPLANKTON; ORGANIC COMPLEXATION; ATMOSPHERIC CO2; BINDING LIGANDS; PACIFIC; FERTILIZATION; LIMITATION</t>
  </si>
  <si>
    <t>The micronutrient iron is now recognized to be important in regulating the magnitude and dynamics of ocean primary productivity, making it an integral component of the ocean's biogeochemical cycles. In this Review, we discuss how a recent increase in observational data for this trace metal has challenged the prevailing view of the ocean iron cycle. Instead of focusing on dust as the major iron source and emphasizing iron's tight biogeochemical coupling to major nutrients, a more complex and diverse picture of the sources of iron, its cycling processes and intricate linkages with the ocean carbon and nitrogen cycles has emerged.</t>
  </si>
  <si>
    <t>[Tagliabue, Alessandro] Univ Liverpool, Sch Environm Sci, Dept Earth Ocean &amp; Ecol Sci, Liverpool, Merseyside, England; [Bowie, Andrew R.; Boyd, Philip W.] Univ Tasmania, Cooperat Res Ctr, Inst Marine &amp; Antarctic Studies &amp; Antarctic Clima, Hobart, Tas, Australia; [Buck, Kristen N.] Univ S Florida, Tampa, FL USA; [Johnson, Kenneth S.] Monterey Bay Aquarium Res Inst, Monterey, CA USA; [Saito, Mak A.] Woods Hole Oceanog Inst, Woods Hole, MA USA</t>
  </si>
  <si>
    <t>University of Liverpool; University of Tasmania; State University System of Florida; University of South Florida; Monterey Bay Aquarium Research Institute; Woods Hole Oceanographic Institution</t>
  </si>
  <si>
    <t>Tagliabue, A (corresponding author), Univ Liverpool, Sch Environm Sci, Dept Earth Ocean &amp; Ecol Sci, Liverpool, Merseyside, England.</t>
  </si>
  <si>
    <t>a.tagliabue@liverpool.ac.uk</t>
  </si>
  <si>
    <t>Johnson, Kenneth S/F-9742-2011; Buck, Kristen/O-3988-2014; Saito, Mak/ADT-4986-2022; Boyd, Philip/J-7624-2014; Bowie, Andrew/C-8677-2013</t>
  </si>
  <si>
    <t>Buck, Kristen/0000-0002-3871-870X; Boyd, Philip/0000-0001-7850-1911; Bowie, Andrew/0000-0002-5144-7799</t>
  </si>
  <si>
    <t>Natural Environment Research Council [NE/N0010791, NE/N009525/1]; Royal Society; Australian Research Council [FT130100037, DP150100345, FL160100131]; Antarctic Climate and Ecosystems Cooperative Research Centre; National Science Foundation [OCE-1446327, PLR-1443483, NSF-1435-556]; David and Lucile Packard Foundation; Gordon Betty Moore Foundation [3782]; Directorate For Geosciences; Division Of Ocean Sciences [1260233, 1435056] Funding Source: National Science Foundation; Division Of Ocean Sciences; Directorate For Geosciences [1446327] Funding Source: National Science Foundation; Natural Environment Research Council [NE/N009525/1] Funding Source: researchfish; NERC [NE/N009525/1] Funding Source: UKRI</t>
  </si>
  <si>
    <t>Natural Environment Research Council(UK Research &amp; Innovation (UKRI)Natural Environment Research Council (NERC)); Royal Society(Royal Society); Australian Research Council(Australian Research Council); Antarctic Climate and Ecosystems Cooperative Research Centre(Australian GovernmentDepartment of Industry, Innovation and ScienceCooperative Research Centres (CRC) Programme); National Science Foundation(National Science Foundation (NSF)); David and Lucile Packard Foundation(The David &amp; Lucile Packard Foundation); Gordon Betty Moore Foundation(Gordon and Betty Moore Foundation); Directorate For Geosciences; Division Of Ocean Sciences(National Science Foundation (NSF)NSF - Directorate for Geosciences (GEO)); Division Of Ocean Sciences;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</si>
  <si>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A.T. acknowledges support from Natural Environment Research Council (NE/N0010791 and NE/N009525/1) and the Royal Society. A.R.B. acknowledges support from the Australian Research Council (FT130100037 and DP150100345) and the Antarctic Climate and Ecosystems Cooperative Research Centre. P.W.B. acknowledges support from the Australian Research Council (Laureate Fellowship FL160100131). K.N.B. acknowledges support from the National Science Foundation (OCE-1446327 and PLR-1443483). K.S.J. acknowledges support by the David and Lucile Packard Foundation. M.A.S. acknowledges support from National Science Foundation (NSF-1435-556) and the Gordon Betty Moore Foundation (3782).</t>
  </si>
  <si>
    <t>10.1038/nature21058</t>
  </si>
  <si>
    <t>EN0AA</t>
  </si>
  <si>
    <t>WOS:000395671500031</t>
  </si>
  <si>
    <t>Wang, LZ; Ma, B; Li, G; Hu, Y; Fu, JN; Wang, LF; Ashley, MCB; Cui, XQ; Du, FJ; Gong, XF; Li, XY; Li, ZY; Liu, Q; Pennypacker, CR; Shang, ZH; Yuan, XY; York, DG; Zhou, JL</t>
  </si>
  <si>
    <t>Wang, Lingzhi; Ma, Bin; Li, Gang; Hu, Yi; Fu, Jianning; Wang, Lifan; Ashley, Michael C. B.; Cui, Xiangqun; Du, Fujia; Gong, Xuefei; Li, Xiaoyan; Li, Zhengyang; Liu, Qiang; Pennypacker, Carl R.; Shang, Zhaohui; Yuan, Xiangyan; York, Donald G.; Zhou, Jilin</t>
  </si>
  <si>
    <t>Variable Stars Observed in the Galactic Disk by AST3-1 from Dome A, Antarctica</t>
  </si>
  <si>
    <t>ASTRONOMICAL JOURNAL</t>
  </si>
  <si>
    <t>binaries: eclipsing; catalogs; methods: data analysis; stars: variables: general; surveys; techniques: photometric</t>
  </si>
  <si>
    <t>GRAVITATIONAL LENSING EXPERIMENT.; LARGE-MAGELLANIC-CLOUD; OGLE-III CATALOG; ECLIPSING BINARIES; CSTAR PHOTOMETRY; INTRINSIC COLORS; SPACED DATA; SOUTH-POLE; ASTEP 400; TELESCOPE</t>
  </si>
  <si>
    <t>AST3-1 is the second-generation wide-field optical photometric telescope dedicated to time-domain astronomy at Dome A, Antarctica. Here, we present the results of an i-band images survey from AST3-1 toward one Galactic disk field. Based on time-series photometry of 92,583 stars, 560 variable stars were detected with i magnitude &lt;= 16.5 mag during eight days of observations; 339 of these are previously unknown variables. We tentatively classify the 560 variables as 285 eclipsing binaries ( EW, EB, and EA), 27 pulsating variable stars (delta Scuti, gamma Doradus, delta Cephei variable, and RR Lyrae stars), and 248 other types of variables ( unclassified periodic, multiperiodic, and aperiodic variable stars). Of the eclipsing binaries, 34 show O'Connell effects. One of the aperiodic variables shows a plateau light curve and another variable shows a secondary maximum after peak brightness. We also detected a complex binary system with an RS CVn-like light-curve morphology; this object is being followed-up spectroscopically using the Gemini South telescope.</t>
  </si>
  <si>
    <t>[Wang, Lingzhi; Ma, Bin; Hu, Yi; Liu, Qiang; Shang, Zhaohui] Chinese Acad Sci, Natl Astron Observ, Key Lab Opt Astron, Beijing 100012, Peoples R China; [Wang, Lingzhi] Chinese Acad Sci, South Amer Ctr Astron, Camino El Observ 1515, Santiago, Chile; [Wang, Lingzhi; Ma, Bin; Hu, Yi; Wang, Lifan; Cui, Xiangqun; Du, Fujia; Gong, Xuefei; Li, Xiaoyan; Li, Zhengyang; Liu, Qiang; Shang, Zhaohui; Yuan, Xiangyan; Zhou, Jilin] Chinese Ctr Antarct Astron, Nanjing 210008, Jiangsu, Peoples R China; [Li, Gang; Fu, Jianning] Beijing Normal Univ, Dept Astron, Beijing 100875, Peoples R China; [Wang, Lifan] Chinese Acad Sci, Purple Mt Observ, Nanjing 210008, Jiangsu, Peoples R China; [Fu, Jianning] Texas A&amp;M Univ, Dept Phys &amp; Astron, Mitchell Inst Fundamental Phys &amp; Astron, College Stn, TX 77843 USA; [Ashley, Michael C. B.] Univ New South Wales, Sch Phys, Sydney, NSW 2052, Australia; [Cui, Xiangqun; Du, Fujia; Gong, Xuefei; Li, Xiaoyan; Li, Zhengyang; Yuan, Xiangyan] Nanjing Inst Astron Opt &amp; Technol, Nanjing 210042, Jiangsu, Peoples R China; [Pennypacker, Carl R.] Lawrence Berkeley Natl Lab, Ctr Astrophys, Berkeley, CA USA; [Shang, Zhaohui] Tianjin Normal Univ, Tianjin 300074, Peoples R China; [York, Donald G.] Univ Chicago, Dept Astron &amp; Astrophys, Chicago, IL 60637 USA; [York, Donald G.] Univ Chicago, Enrico Fermi Inst, Chicago, IL 60637 USA; [Zhou, Jilin] Nanjing Univ, Sch Astron &amp; Space Sci, Nanjing 210093, Jiangsu, Peoples R China; [Zhou, Jilin] Nanjing Univ, Key Lab Modern Astron &amp; Astrophys, Minist Educ, Nanjing 210093, Jiangsu, Peoples R China</t>
  </si>
  <si>
    <t>Chinese Academy of Sciences; National Astronomical Observatory, CAS; Beijing Normal University; Chinese Academy of Sciences; Nanjing Institute of Astronomical Optics &amp; Technology, NAOC, CAS; Purple Mountain Observatory, CAS; Texas A&amp;M University System; Texas A&amp;M University College Station; University of New South Wales Sydney; Chinese Academy of Sciences; Nanjing Institute of Astronomical Optics &amp; Technology, NAOC, CAS; United States Department of Energy (DOE); Lawrence Berkeley National Laboratory; Tianjin Normal University; University of Chicago; University of Chicago; Nanjing University; Nanjing University</t>
  </si>
  <si>
    <t>Wang, LZ (corresponding author), Chinese Acad Sci, Natl Astron Observ, Key Lab Opt Astron, Beijing 100012, Peoples R China.</t>
  </si>
  <si>
    <t>wanglingzhi@bao.ac.cn</t>
  </si>
  <si>
    <t>hu, yi/0000-0003-3317-4771; Wang, Lingzhi/0000-0002-1094-3817; Li, Gang/0000-0001-9313-251X; Ashley, Michael/0000-0003-1412-2028</t>
  </si>
  <si>
    <t>National Basic Research Program (973 Program) of China [2013CB834901, 2013CB834900, 2013CB834903]; Chinese Polar Environment Comprehensive Investigation &amp; Assessment Program [CHINARE2016-02-03-05]; National Natural Science Foundation of China (NSFC) [11303041, 11203039, 11273019, 11273025, 11403048, 11473038, 11673003]; Australian Antarctic Division; National Collaborative Research Infrastructure Strategy (NCRIS); Chinese Academy of Sciences (CAS); One-Hundred-Talent program of the Chinese Academy of Sciences [034031001]; Strategic Priority Research Program The Emergence of Cosmological Structures of the Chinese Academy of Sciences [XDB09000000]; Astronomy of National Natural Science Foundation of China (NSFC) [U1231202]; Chinese Academy of Sciences [U1231202]; National Basic Research Program of China (973 Program) [2014CB845700]; LAMOST FELLOWSHIP</t>
  </si>
  <si>
    <t>National Basic Research Program (973 Program) of China(National Basic Research Program of China); Chinese Polar Environment Comprehensive Investigation &amp; Assessment Program; National Natural Science Foundation of China (NSFC)(National Natural Science Foundation of China (NSFC)); Australian Antarctic Division; National Collaborative Research Infrastructure Strategy (NCRIS)(Australian GovernmentDepartment of Industry, Innovation and Science); Chinese Academy of Sciences (CAS)(Chinese Academy of Sciences); One-Hundred-Talent program of the Chinese Academy of Sciences(Chinese Academy of Sciences); Strategic Priority Research Program The Emergence of Cosmological Structures of the Chinese Academy of Sciences; Astronomy of National Natural Science Foundation of China (NSFC); Chinese Academy of Sciences(Chinese Academy of Sciences); National Basic Research Program of China (973 Program)(National Basic Research Program of China); LAMOST FELLOWSHIP</t>
  </si>
  <si>
    <t>We thank Marcio Catelan for helpful discussions and Ricardo Salinas for applying spectral follow-up observations of AST10442. We appreciate comments from the anonymous referees. We thank Lucas Macri for discussions on the Welch-Stetson variability L and Joel Hartman for the discussions on the period uncertainty. This work was supported by the National Basic Research Program (973 Program) of China (Grant Nos. 2013CB834901, 2013CB834900, 2013CB834903), the Chinese Polar Environment Comprehensive Investigation &amp; Assessment Program (Grand No. CHINARE2016-02-03-05), the National Natural Science Foundation of China (NSFC grants 11303041, 11203039, 11273019, 11273025, 11403048, 11473038, 11673003), the Australian Antarctic Division, and the National Collaborative Research Infrastructure Strategy (NCRIS). L.Z.W. acknowledges the Chinese Academy of Sciences (CAS), through a grant to the CAS South America Center for Astronomy (CASSACA) in Santiago, Chile and support by the One-Hundred-Talent program of the Chinese Academy of Sciences (034031001). L.F.W. acknowledges the Strategic Priority Research Program The Emergence of Cosmological Structures of the Chinese Academy of Sciences, Grant No. XDB09000000. J.N.F. acknowledges the support from the Joint Fund of Astronomy of National Natural Science Foundation of China (NSFC) and Chinese Academy of Sciences through the grant U1231202, the National Basic Research Program of China (973 Program 2014CB845700), and the LAMOST FELLOWSHIP supported by Special Funding for Advanced Users, budgeted and administrated by Center for Astronomical Mega-Science, Chinese Academy of Sciences (CAMS). The authors deeply appreciate the great efforts made by the 24-32th Dome A expedition teams, who provided invaluable assistance to the astronomers that set up and maintained the AST3 and the PLATO-A system.</t>
  </si>
  <si>
    <t>0004-6256</t>
  </si>
  <si>
    <t>1538-3881</t>
  </si>
  <si>
    <t>ASTRON J</t>
  </si>
  <si>
    <t>Astron. J.</t>
  </si>
  <si>
    <t>MAR</t>
  </si>
  <si>
    <t>10.3847/1538-3881/153/3/104</t>
  </si>
  <si>
    <t>EY0OG</t>
  </si>
  <si>
    <t>WOS:000403657100004</t>
  </si>
  <si>
    <t>Hong, Y; Moore, JC; Jevrejeva, S; Ji, DY; Phipps, SJ; Lenton, A; Tilmes, S; Watanabe, S; Zhao, LY</t>
  </si>
  <si>
    <t>Hong, Yu; Moore, John C.; Jevrejeva, Svetlana; Ji, Duoying; Phipps, Steven J.; Lenton, Andrew; Tilmes, Simone; Watanabe, Shingo; Zhao, Liyun</t>
  </si>
  <si>
    <t>Impact of the GeoMIP G1 sunshade geoengineering experiment on the Atlantic meridional overturning circulation</t>
  </si>
  <si>
    <t>ocean temperatures; circulation modelling; turbulent fluxes</t>
  </si>
  <si>
    <t>EARTH SYSTEM MODEL; ATMOSPHERIC CO2; SOLAR-RADIATION; CLIMATE; ICE; COLLAPSE; AMOC</t>
  </si>
  <si>
    <t>We analyze the multi-earth system model responses of ocean temperatures and the Atlantic Meridional Overturning Circulation (AMOC) under an idealized solar radiation management scenario (G1) from the Geoengineering Model Intercomparison Project. All models simulate warming of the northern North Atlantic relative to no geoengineering, despite geoengineering substantially offsetting the increases in mean global ocean temperatures. Increases in the temperature of the North Atlantic Ocean at the surface (similar to 0.25 K) and at a depth of 500 m (similar to 0.10 K) are mainly due to a 10 Wm(-2) reduction of total heat flux from ocean to atmosphere. Although the AMOC is slightly reduced under the solar dimming scenario, G1, relative to piControl, it is about 37% stronger than under abrupt4 x CO2. The reduction of the AMOC under G1 is mainly a response to the heat flux change at the northern North Atlantic rather than to changes in the water flux and the wind stress. The AMOC transfers heat from tropics to high latitudes, helping to warm the high latitudes, and its strength is maintained under solar dimming rather than weakened by greenhouse gas forcing acting alone. Hence the relative reduction in high latitude ocean temperatures provided by solar radiation geoengineering, would tend to be counteracted by the correspondingly active AMOC circulation which furthermore transports warm surface waters towards the Greenland ice sheet, warming Arctic sea ice and permafrost.</t>
  </si>
  <si>
    <t>[Hong, Yu; Moore, John C.; Ji, Duoying; Zhao, Liyun] Beijing Normal Univ, Coll Climate Change &amp; Earth Syst Sci, Beijing, Peoples R China; [Jevrejeva, Svetlana] Natl Oceanog Ctr, 6 Brownlow St, Liverpool L3 5DA, Merseyside, England; [Phipps, Steven J.] Univ Tasmania, Inst Marine &amp; Antarctic Studies, Hobart, Tas, Australia; [Tilmes, Simone] CSIRO Oceans &amp; Atmosphere, Hobart, Tas, Australia; [Tilmes, Simone] Natl Ctr Atmospher Res, Boulder, CO 80301 USA; [Watanabe, Shingo] Japan Agcy Marine Earth Sci &amp; Technol, Yokohama, Kanagawa, Japan</t>
  </si>
  <si>
    <t>Beijing Normal University; NERC National Oceanography Centre; University of Tasmania; Commonwealth Scientific &amp; Industrial Research Organisation (CSIRO); National Center Atmospheric Research (NCAR) - USA; Japan Agency for Marine-Earth Science &amp; Technology (JAMSTEC)</t>
  </si>
  <si>
    <t>Moore, JC (corresponding author), Beijing Normal Univ, Coll Climate Change &amp; Earth Syst Sci, Beijing, Peoples R China.</t>
  </si>
  <si>
    <t>john.moore.bnu@gmail.com</t>
  </si>
  <si>
    <t>Tilmes, Simone/JUV-6618-2023; Moore, John C/B-2868-2013; Watanabe, Shingo/L-9689-2014; Ji, Duoying/AAF-9425-2021; Watanabe, Shingo/X-2336-2019; Lenton, Andrew/D-2077-2012; Phipps, Steven/B-3135-2008</t>
  </si>
  <si>
    <t>Tilmes, Simone/0000-0002-6557-3569; Moore, John C/0000-0001-8271-5787; Watanabe, Shingo/0000-0002-2228-0088; Watanabe, Shingo/0000-0002-2228-0088; Lenton, Andrew/0000-0001-9437-8896; Phipps, Steven/0000-0001-5657-8782; Hong, Yu/0000-0003-3350-6078; Hong, Yu/0000-0003-2150-5449</t>
  </si>
  <si>
    <t>National Basic Research Program of China [2015CB953602]; China Scholarship Council; Australian Research Council's Special Research Initiative for the Antarctic Gateway Partnership [SR140300001]; CSIRO Oceans and Atmosphere Flagship; SOUSEI program, MEXT, Japan; National Natural Science Foundation of China [41506212]</t>
  </si>
  <si>
    <t>National Basic Research Program of China(National Basic Research Program of China); China Scholarship Council(China Scholarship Council); Australian Research Council's Special Research Initiative for the Antarctic Gateway Partnership(Australian Research Council); CSIRO Oceans and Atmosphere Flagship; SOUSEI program, MEXT, Japan; National Natural Science Foundation of China(National Natural Science Foundation of China (NSFC))</t>
  </si>
  <si>
    <t>We thank all participants of the Geoengineering Model Intercomparison Project and their model development teams, CLIVAR/WCRP Working Group on Coupled Modeling for endorsing GeoMIP, and the scientists managing the Earth System Grid data nodes who have assisted with making GeoMIP output available. Research funded by the National Basic Research Program of China grant number 2015CB953602. YH acknowledges the support from the China Scholarship Council. SP was supported under the Australian Research Council's Special Research Initiative for the Antarctic Gateway Partnership (Project ID SR140300001). AL acknowledges support from the CSIRO Oceans and Atmosphere Flagship. SW was supported by the SOUSEI program, MEXT, Japan and his simulations were conducted using the Earth Simulator. LZ acknowledges the support from National Natural Science Foundation of China (Project NO. 41506212). We thank two anonymous referees who provided constructive comments on the paper.</t>
  </si>
  <si>
    <t>10.1088/1748-9326/aa5fb8</t>
  </si>
  <si>
    <t>FK8ZZ</t>
  </si>
  <si>
    <t>WOS:000413801500001</t>
  </si>
  <si>
    <t>Harrington, J</t>
  </si>
  <si>
    <t>Harrington, Jonathan</t>
  </si>
  <si>
    <t>China, Global Ecopolitics and Antarctic Governance: Converging Paths?</t>
  </si>
  <si>
    <t>JOURNAL OF CHINESE POLITICAL SCIENCE</t>
  </si>
  <si>
    <t>Ross Sea; ATS; China; Antarctica; Kunlun Station; International Law</t>
  </si>
  <si>
    <t>In recent years, the People's Republic of China has made significant investments in Antarctica and has become an active participant in Antarctic governance. What factors are driving China's interest in the region? Are Antarctic Treaty System institutions, rules and norms influencing Chinese behavior? How does Antarctica fit into larger Chinese foreign policy frameworks, especially those that relate to 'soft power' and engagement in global environmental governance? This study finds that Antarctic governance structures do not seem to pose major barriers to China's pursuit of its larger foreign policy interests and its activities are largely consistent with other major actors on the Continent.</t>
  </si>
  <si>
    <t>[Harrington, Jonathan] Huaquao Univ, Xiamen, Peoples R China; [Harrington, Jonathan] Troy Univ, Int Relat Program, 331-A MSCX, Troy, AL 36082 USA</t>
  </si>
  <si>
    <t>Troy University System; Troy University</t>
  </si>
  <si>
    <t>Harrington, J (corresponding author), Huaquao Univ, Xiamen, Peoples R China.;Harrington, J (corresponding author), Troy Univ, Int Relat Program, 331-A MSCX, Troy, AL 36082 USA.</t>
  </si>
  <si>
    <t>jhharrington@troy.edu</t>
  </si>
  <si>
    <t>1080-6954</t>
  </si>
  <si>
    <t>1874-6357</t>
  </si>
  <si>
    <t>J CHIN POLIT SCI</t>
  </si>
  <si>
    <t>J. Chin. Polit. Sci.</t>
  </si>
  <si>
    <t>10.1007/s11366-016-9430-2</t>
  </si>
  <si>
    <t>Area Studies; Political Science</t>
  </si>
  <si>
    <t>Area Studies; Government &amp; Law</t>
  </si>
  <si>
    <t>FB6SI</t>
  </si>
  <si>
    <t>WOS:000406272300003</t>
  </si>
  <si>
    <t>Schreider, AA; Schreider, AA; Galindo-Zaldivar, J; Maldonado, A; Sazhneva, AE; Evsenko, EI</t>
  </si>
  <si>
    <t>Schreider, Al. A.; Schreider, A. A.; Galindo-Zaldivar, J.; Maldonado, A.; Sazhneva, A. E.; Evsenko, E. I.</t>
  </si>
  <si>
    <t>Age of the Scan Basin (Scotia Sea)</t>
  </si>
  <si>
    <t>OCEANOLOGY</t>
  </si>
  <si>
    <t>ANTARCTICA PLATE BOUNDARY; DRAKE PASSAGE; EVOLUTION; EAST; RIDGE; TECTONICS; ARC; PECULIARITIES; GEOCHRONOLOGY; HISTORY</t>
  </si>
  <si>
    <t>Integrated geological and geophysical analysis of the anomalous magnetic field along with the previously unpublished profiles of Spanish expeditions onboard the R/V Hesperides and international databases of geomagnetic data processed in the context of the global tectonics concepts made it possible to identify paleomagnetic anomalies C11-C15 and compile the first map of the bottom geochronology of the Scan Basin. Unlike in earlier known publications, the paleoaxis of spreading does extend northeast, but approximately at an angle of 345 degrees. According to calculations, spreading began 35.294-35.706 Ma ago during chron C15r, and the spreading paleoaxis was abandoned 29.527-29.970 Ma ago during chron C11n.2n. Thus, the destruction of the American-Antarctic bridge in the region joining the Bruce and Discovery banks with formation of oceanic crust in the Scan Basin started about 36 Ma ago. Regular spreading of the bottom has been continuing for about 6 Ma at a average rate close to 1.8 cm/year.</t>
  </si>
  <si>
    <t>[Schreider, Al. A.] Gas Ind Co Ltd, Res Inst Econ &amp; Management, Moscow, Russia; [Schreider, A. A.; Sazhneva, A. E.; Evsenko, E. I.] Russian Acad Sci, Shirshov Inst Oceanol, Moscow, Russia; [Galindo-Zaldivar, J.] Univ Granada, Granada, Spain; [Maldonado, A.] Andalusia Inst Earth Sci, Granada, Spain</t>
  </si>
  <si>
    <t>Russian Academy of Sciences; Shirshov Institute of Oceanology; University of Granada</t>
  </si>
  <si>
    <t>Schreider, AA (corresponding author), Gas Ind Co Ltd, Res Inst Econ &amp; Management, Moscow, Russia.</t>
  </si>
  <si>
    <t>aschr@ocean.ru</t>
  </si>
  <si>
    <t>Galindo-Zaldivar, Jesus/K-3640-2012; Sazhneva, Alexandra/HPG-9897-2023</t>
  </si>
  <si>
    <t>Galindo-Zaldivar, Jesus/0000-0002-3493-2637;</t>
  </si>
  <si>
    <t>Russian Foundation for Basic Research [0149-2014-0030, 14-05-00015]</t>
  </si>
  <si>
    <t>This work was partly (development of the technique for defining linear magnetic anomalies and kinematic calculations) supported by a state contract (project no. 0149-2014-0030) and mostly (reconstruction of Scan Basin bottom geochronology) supported by the Russian Foundation for Basic Research (project no. 14-05-00015).</t>
  </si>
  <si>
    <t>0001-4370</t>
  </si>
  <si>
    <t>1531-8508</t>
  </si>
  <si>
    <t>OCEANOLOGY+</t>
  </si>
  <si>
    <t>Oceanology</t>
  </si>
  <si>
    <t>10.1134/S0001437016060138</t>
  </si>
  <si>
    <t>EZ1DA</t>
  </si>
  <si>
    <t>WOS:000404448300014</t>
  </si>
  <si>
    <t>Weidle, WS; Bassler, CC</t>
  </si>
  <si>
    <t>Weidle, W. Scott; Bassler, Christopher C.</t>
  </si>
  <si>
    <t>Science Mission Packages for Rapid Deployment Onboard Surface Ship Vessels of Opportunity in Cold Weather Regions</t>
  </si>
  <si>
    <t>NAVAL ENGINEERS JOURNAL</t>
  </si>
  <si>
    <t>The definition of capability requirements and mission module solutions that can be deployed as a single mission package on surface ship vessels of opportunity transiting through areas of interest in cold weather regions are critical to supporting the U.S. Navy's Arctic/Antarctic science mission. A mission package, and its individual mission module components, can perform environmental data collection for maritime situational awareness of these regions. This paper defined an Arctic/Antarctic Science Mission (AASM) for the U.S. Navy (USN) and the capability requirements to accomplish the AASM. Concepts for AASM mission modules were developed, which could be rapidly deployed onboard vessels of opportunity operating in cold weather regions. Eight mission module solution possibilities were developed for sensing and data collection of the major maritime situational awareness properties of interest (sea ice properties, ocean characteristics, ocean wave and current characteristics, atmospheric state variables, precipitation, ocean acoustic conditions, and ocean biology and chemistry). The mission modules contain equipment such as sensors, buoys, deployable moorings, and towed instruments. The mission modules were customized based on consideration for data collection needs and operational impact, in order to form a single mission package which could be deployed by helicopter or crane to a surface ship vessel of opportunity. Considerations for the anticipated ship integration, cost, schedule, and deployment for several mission package variants are presented and discussed.</t>
  </si>
  <si>
    <t>[Weidle, W. Scott; Bassler, Christopher C.] NSWC Carderock Div, Bethesda, MD 20817 USA</t>
  </si>
  <si>
    <t>United States Department of Defense; United States Navy; US Navy Naval Sea Systems Command</t>
  </si>
  <si>
    <t>Weidle, WS (corresponding author), NSWC Carderock Div, Bethesda, MD 20817 USA.</t>
  </si>
  <si>
    <t>AMER SOC NAVAL ENG INC</t>
  </si>
  <si>
    <t>ALEXANDRIA</t>
  </si>
  <si>
    <t>1452 DUKE STREET, ALEXANDRIA, VA 22314-3458 USA</t>
  </si>
  <si>
    <t>0028-1425</t>
  </si>
  <si>
    <t>1559-3584</t>
  </si>
  <si>
    <t>NAV ENG J</t>
  </si>
  <si>
    <t>Nav. Eng. J.</t>
  </si>
  <si>
    <t>MAR 1</t>
  </si>
  <si>
    <t>Engineering, Marine; Engineering, Civil; Oceanography</t>
  </si>
  <si>
    <t>Engineering; Oceanography</t>
  </si>
  <si>
    <t>EY7LF</t>
  </si>
  <si>
    <t>WOS:000404171900003</t>
  </si>
  <si>
    <t>Johnson, ML; Tarling, GA</t>
  </si>
  <si>
    <t>Johnson, Magnus L.; Tarling, Geraint A.</t>
  </si>
  <si>
    <t>Collecting and processing euphausiids</t>
  </si>
  <si>
    <t>JOURNAL OF CRUSTACEAN BIOLOGY</t>
  </si>
  <si>
    <t>krill; location of euphasiids; preservation</t>
  </si>
  <si>
    <t>MEGANYCTIPHANES-NORVEGICA; KRILL; ZOOPLANKTON; SUPERBA</t>
  </si>
  <si>
    <t>Euphausiid crustaceans, commonly referred to as krill, are fast-moving, pelagic, exclusively marine, and found in all oceans generally below 50 m. While restricted to only 86 species in two families, the six largest-size species are abundant in higher latitudes and of commercial interest. Assessment of stocks and collection of specimens generally involves location using active-acoustic surveying and towed equipment from research vessels. Capturing live euphausiids for physiological work requires particular care. The appropriate treatment of specimens obtained depends upon the reason for their collection and a range of options are discussed.</t>
  </si>
  <si>
    <t>[Johnson, Magnus L.] Univ Hull, Sch Environm Sci, Kingston Upon Hull HU6 7RX, N Humberside, England; [Tarling, Geraint A.] British Antarctic Survey, Ecosyst, Madingly Rd, Cambridge CB3 0ET, England</t>
  </si>
  <si>
    <t>University of Hull; UK Research &amp; Innovation (UKRI); Natural Environment Research Council (NERC); NERC British Antarctic Survey</t>
  </si>
  <si>
    <t>Johnson, ML (corresponding author), Univ Hull, Sch Environm Sci, Kingston Upon Hull HU6 7RX, N Humberside, England.</t>
  </si>
  <si>
    <t>m.johnson@hull.ac.uk</t>
  </si>
  <si>
    <t>0278-0372</t>
  </si>
  <si>
    <t>1937-240X</t>
  </si>
  <si>
    <t>J CRUSTACEAN BIOL</t>
  </si>
  <si>
    <t>J. Crustac. Biol.</t>
  </si>
  <si>
    <t>10.1093/jcbiol/rux002</t>
  </si>
  <si>
    <t>EV6WT</t>
  </si>
  <si>
    <t>WOS:000401916100011</t>
  </si>
  <si>
    <t>Kharin, GS; Eroshenko, DV</t>
  </si>
  <si>
    <t>Kharin, G. S.; Eroshenko, D. V.</t>
  </si>
  <si>
    <t>Explosive Volcanism and the Geological History of the Antarctic Atlantic</t>
  </si>
  <si>
    <t>JOURNAL OF VOLCANOLOGY AND SEISMOLOGY</t>
  </si>
  <si>
    <t>We made a summary of the materials from DSDP and ODP initial reports on deep-sea drilling and other data on areal and stratigraphic distributions and compositions of pyroclastic material in the sediments of the Antarctic Atlantic. These data were used to study the geological history of the region, which was formed approximately 165 Ma ago as Gondwana broke up as part of the Southern Ocean, being accompanied by explosive volcanism of various types (volcano-fissure volcanism, riftogenic, plume-induced, that of hot spots, and the island arc type).</t>
  </si>
  <si>
    <t>[Kharin, G. S.; Eroshenko, D. V.] Russian Acad Sci, Shirshov Inst Oceanol, Atlantic Dept, Prospekt Mira 1, Kalingrad 236000, Russia</t>
  </si>
  <si>
    <t>Russian Academy of Sciences; Shirshov Institute of Oceanology</t>
  </si>
  <si>
    <t>Kharin, GS (corresponding author), Russian Acad Sci, Shirshov Inst Oceanol, Atlantic Dept, Prospekt Mira 1, Kalingrad 236000, Russia.</t>
  </si>
  <si>
    <t>kharin@atlas.baltnet.ru</t>
  </si>
  <si>
    <t>Eroshenko, Denis V/L-1556-2016; KHarin, Gennadiy S/I-6121-2016</t>
  </si>
  <si>
    <t>Gennadyi Sergeevich, Kharin/0000-0002-2502-5760; Erosenko, Denis Vladimirovic/0000-0001-8415-3108</t>
  </si>
  <si>
    <t>0742-0463</t>
  </si>
  <si>
    <t>1819-7108</t>
  </si>
  <si>
    <t>J VOLCANOL SEISMOL+</t>
  </si>
  <si>
    <t>J. Volcanol. Seismol.</t>
  </si>
  <si>
    <t>10.1134/S0742046317020038</t>
  </si>
  <si>
    <t>EV0PV</t>
  </si>
  <si>
    <t>WOS:000401445700003</t>
  </si>
  <si>
    <t>Goodall-Copestake, WP</t>
  </si>
  <si>
    <t>Goodall-Copestake, William P.</t>
  </si>
  <si>
    <t>One tunic but more than one barcode: evolutionary insights from dynamic mitochondrial DNA in Salpa thompsoni (Tunicata: Salpida)</t>
  </si>
  <si>
    <t>Antarctica; cox1; cytochrome c oxidase subunit I; heteroplasmy; minicircles; recombination; salps; sublimons; tunicate</t>
  </si>
  <si>
    <t>GENE COX1; RECOMBINATION; GENOME; AMPLIFICATION; HETEROPLASMY; DIVERSITY; NETWORKS; MODEL</t>
  </si>
  <si>
    <t>The DNA barcode within the mitochondrial cox1 gene is typically used to assess the identity and diversity of animals under the assumption that individuals contain a single form of this genetic marker. This study reports on a novel exception from the pelagic tunicate Salpa thompsoni Foxton. Oozoids caught off South Georgia and the Antarctic Peninsula generated barcodes consisting of a single prominent DNA sequence with some additional, subtler signals of intra-individual variation. Further investigation revealed this was due to duplicated and/or minicircular DNAs. These could not simply be explained as artefacts or nuclear copies of mitochondrial DNA, but provided evidence for heteroplasmy arising from a dynamic mitochondrial genome. Genetic variation of this sort may allow S. thompsoni to ecologically benefit from asexually driven population blooms without incurring the genetic cost of an excessive mutational load. Analysis of the prominent barcode sequence data yielded low haplotype (h &lt; 0.61) and nucleotide (p &lt; 0.0014) diversities, and no evidence for genetic structure between sampling locations as assessed using analysis of molecular variance. These results are consistent with the impact of population blooms and the mixing effect of Southern Ocean currents on S. thompsoni genetic diversity. (C) 2016 The Linnean Society of London.</t>
  </si>
  <si>
    <t>[Goodall-Copestake, William P.] British Antarctic Survey, NERC, Madingley Rd, Cambridge CB3 0ET, England</t>
  </si>
  <si>
    <t>Goodall-Copestake, WP (corresponding author), British Antarctic Survey, NERC, Madingley Rd, Cambridge CB3 0ET, England.</t>
  </si>
  <si>
    <t>wgco@bas.ac.uk</t>
  </si>
  <si>
    <t>Goodall-Copestake, William/CAF-6866-2022; Goodall-Copestake, William P/C-1061-2011</t>
  </si>
  <si>
    <t>Goodall-Copestake, Will/0000-0003-3586-9091</t>
  </si>
  <si>
    <t>Ecosystems Group, British Antarctic Survey (Natural Environment Research Council)</t>
  </si>
  <si>
    <t>I would like to thank the JR26 participants and cruise leader Paul Rodhouse for sample collection, Paul Giessler for assistance with biological archives, Chester Sands for the map, and Silvia Perez-Espona, Paul Seear, Jon Seger and the anonymous reviewers for their helpful comments. This research was supported by core funding from the Ecosystems Group, British Antarctic Survey (Natural Environment Research Council).</t>
  </si>
  <si>
    <t>EU3QA</t>
  </si>
  <si>
    <t>WOS:000400944900011</t>
  </si>
  <si>
    <t>DeJong, HB; Dunbar, RB; Koweek, DA; Mucciarone, DA; Bercovici, SK; Hansell, DA</t>
  </si>
  <si>
    <t>DeJong, Hans B.; Dunbar, Robert B.; Koweek, David A.; Mucciarone, David A.; Bercovici, Sarah K.; Hansell, Dennis A.</t>
  </si>
  <si>
    <t>Net community production and carbon export during the late summer in the Ross Sea, Antarctica</t>
  </si>
  <si>
    <t>TERRA-NOVA BAY; PHYTOPLANKTON BIOMASS; PARTICULATE MATTER; SEASONAL CYCLE; PHAEOCYSTIS SP; SINKING RATES; VERTICAL FLUX; SPRING BLOOM; OCEAN; IRON</t>
  </si>
  <si>
    <t>The phytoplankton bloom in the Ross Sea is the largest in spatial extent and one of the most productive in Antarctica, yet the fate of the summer bloom remains poorly understood. Here we present carbon system data from the first biogeochemical process cruise to be conducted in both the western and central Ross Sea during late summer (February-March 2013). Using one-dimensional carbon budgets, we found evidence for substantial positive net community production (425 +/- 204 mmol Cm-2 d(-1)) during the late summer in Terra Nova Bay (TNB) of the western Ross Sea, which was rapidly exported to below 200 m. In addition, seasonally integrated carbon export was higher in diatom-dominated TNB (7.3 +/- 0.9 mol Cm-2) compared to the Phaeocystis antarctica-dominated central Ross Sea (3.4 +/- 0.8 mol Cm-2). Substantial late summer productivity and export may be a widespread phenomenon in Antarctic coastal regions that is not accounted for in regional carbon models.</t>
  </si>
  <si>
    <t>[DeJong, Hans B.; Dunbar, Robert B.; Koweek, David A.; Mucciarone, David A.] Stanford Univ, Dept Earth Syst Sci, Stanford, CA 94305 USA; [Bercovici, Sarah K.; Hansell, Dennis A.] Univ Miami, Rosenstiel Sch Marine &amp; Atmospher Sci, 4600 Rickenbacker Causeway, Miami, FL 33149 USA</t>
  </si>
  <si>
    <t>Stanford University; University of Miami</t>
  </si>
  <si>
    <t>DeJong, HB (corresponding author), Stanford Univ, Dept Earth Syst Sci, Stanford, CA 94305 USA.</t>
  </si>
  <si>
    <t>hdejong@stanford.edu</t>
  </si>
  <si>
    <t>Hansell, Dennis A./AAC-1271-2019</t>
  </si>
  <si>
    <t>Hansell, Dennis A./0000-0001-9275-3445; Mucciarone, David/0000-0003-4482-2463; Koweek, David/0000-0002-8846-6344; Dunbar, Robert/0000-0002-9728-5609; Bercovici, Sarah/0000-0002-6877-9909</t>
  </si>
  <si>
    <t>U.S. NSF [OPP-1142044, OPP-1142117]; NSF Graduate Research Fellowship [DGE-114747]</t>
  </si>
  <si>
    <t>U.S. NSF(National Science Foundation (NSF)); NSF Graduate Research Fellowship(National Science Foundation (NSF))</t>
  </si>
  <si>
    <t>This research was supported by the U.S. NSF (OPP-1142044 to R.B. Dunbar and OPP-1142117 to D.A. Hansell) and NSF Graduate Research Fellowship grants (DGE-114747 to H.B. DeJong and D.A. Koweek). We thank the captain and crew of the R/V Nathaniel B Palmer. Additional thanks to Parker Liautaud and Cassandra Brooks for their help with the POC measurements and Meredith Jennings for her help with the nitrate measurements. We thank three anonymous reviewers for their valuable feedback. Data from this study are available at the Biological and Chemical Oceanography Data Management Office repository (http://www.bco-dmo.org/project/547771).</t>
  </si>
  <si>
    <t>10.1002/2016GB005417</t>
  </si>
  <si>
    <t>EU0IV</t>
  </si>
  <si>
    <t>WOS:000400695400003</t>
  </si>
  <si>
    <t>Rhodes, RH; Brook, EJ; McConnell, JR; Blunier, T; Sime, LC; Faïn, X; Mulvaney, R</t>
  </si>
  <si>
    <t>Rhodes, Rachael H.; Brook, Edward J.; McConnell, Joseph R.; Blunier, Thomas; Sime, Louise C.; Fain, Xavier; Mulvaney, Robert</t>
  </si>
  <si>
    <t>Atmospheric methane variability: Centennial-scale signals in the Last Glacial Period</t>
  </si>
  <si>
    <t>NINO-SOUTHERN OSCILLATION; NORTH-ATLANTIC CLIMATE; CORE WD2014 CHRONOLOGY; FOSSIL-FUEL; INTERANNUAL VARIABILITY; ICE; EMISSIONS; RECORDS; BUDGET; WETLANDS</t>
  </si>
  <si>
    <t>In order to understand atmospheric methane (CH4) biogeochemistry now and in the future, we must apprehend its natural variability, without anthropogenic influence. Samples of ancient air trapped within ice cores provide the means to do this. Here we analyze the ultrahigh-resolution CH4 record of the West Antarctic Ice Sheet Divide ice core 67.2-9.8 ka and find novel, atmospheric CH4 variability at centennial time scales throughout the record. This signal is characterized by recurrence intervals within a broad 80-500 year range, but we find that age-scale uncertainties complicate the possible isolation of any periodic frequency. Lower signal amplitudes in the Last Glacial relative to the Holocene may be related to incongruent effects of firn-based signal smoothing processes. Within interstadial and stadial periods, the peak-to-peak signal amplitudes vary in proportion to the underlying millennial-scale oscillations in CH4 concentration-the relative amplitude change is constant. We propose that the centennial CH4 signal is related to tropical climate variability that influences predominantly low-latitude wetland CH4 emissions. Plain Language Summary Using a new method to measure methane concentrations of ancient air trapped in ice cores, we have detected variability in atmospheric methane concentration on centennial time scales in the Last Glacial Period for the first time. We know these signals represent past changes in atmospheric methane because they appear in several ice core records. We ropose that changes in methane emissions from tropical wetlands are responsible. How this new variability might be related to similar signals found in the late Holocene ice core records and the instrumental record of atmospheric methane is an open question.</t>
  </si>
  <si>
    <t>[Rhodes, Rachael H.] Univ Cambridge, Dept Earth Sci, Cambridge, England; [Brook, Edward J.] Oregon State Univ, Coll Earth Ocean &amp; Atmospher Sci, Corvallis, OR 97331 USA; [McConnell, Joseph R.] Desert Res Inst, Div Hydrol Sci, Reno, NV USA; [Blunier, Thomas] Univ Copenhagen, Niels Bohr Inst, Ctr Ice &amp; Climate, Copenhagen, Denmark; [Sime, Louise C.; Mulvaney, Robert] NERC, British Antarctic Survey, Cambridge, England; [Fain, Xavier] Univ Grenoble Alpes, CNRS, IRD, Grenoble INP,IGE, Grenoble, France</t>
  </si>
  <si>
    <t>University of Cambridge; Oregon State University; Nevada System of Higher Education (NSHE); Desert Research Institute NSHE; University of Copenhagen; Niels Bohr Institute; UK Research &amp; Innovation (UKRI); Natural Environment Research Council (NERC); NERC British Antarctic Survey; Communaute Universite Grenoble Alpes; Universite Grenoble Alpes (UGA); Institut National Polytechnique de Grenoble; Centre National de la Recherche Scientifique (CNRS); Institut de Recherche pour le Developpement (IRD)</t>
  </si>
  <si>
    <t>Rhodes, RH (corresponding author), Univ Cambridge, Dept Earth Sci, Cambridge, England.</t>
  </si>
  <si>
    <t>rhr34@cam.ac.uk</t>
  </si>
  <si>
    <t>Sime, Louise/AAX-7730-2021; Brook, Edward/AAB-7807-2021; Mulvaney, Robert/K-3929-2012; FAIN, Xavier/AAF-7985-2019; Blunier, Thomas/M-4609-2014</t>
  </si>
  <si>
    <t>Sime, Louise/0000-0002-9093-7926; FAIN, Xavier/0000-0002-4119-6025; Rhodes, Rachael/0000-0001-7511-1969; McConnell, Joseph/0000-0001-9051-5240; Blunier, Thomas/0000-0002-6065-7747</t>
  </si>
  <si>
    <t>U.S. National Science Foundation (NSF) [0944552, 1142041, 0968391, 0839093, 1142166]; European Union [58120]; French RPD COCLICO ANR program [ANR-10-RPDOC-002-01]; INSU/LEFE project IceChrono; Ars Cuttoli foundation; UK Natural Environment Research Council (NERC) [NE/P009271/1]; NSF [0230396, 0440817, 0944348, 0944266]; NSF Office of Polar Programs; NERC [bas0100034, NE/J004804/1, NE/P009271/1, NE/P013279/1] Funding Source: UKRI; Directorate For Geosciences; Office of Polar Programs (OPP) [0944552] Funding Source: National Science Foundation; Natural Environment Research Council [NE/P013279/1, NE/P009271/1, NE/J004804/1, bas0100034] Funding Source: researchfish</t>
  </si>
  <si>
    <t>U.S. National Science Foundation (NSF)(National Science Foundation (NSF)); European Union(European Union (EU)); French RPD COCLICO ANR program(Agence Nationale de la Recherche (ANR)); INSU/LEFE project IceChrono; Ars Cuttoli foundation; UK Natural Environment Research Council (NERC)(UK Research &amp; Innovation (UKRI)Natural Environment Research Council (NERC)); NSF(National Science Foundation (NSF)); NSF Office of Polar Programs(National Science Foundation (NSF)); NERC(UK Research &amp; Innovation (UKRI)Natural Environment Research Council (NERC)); Directorate For Geosciences; Office of Polar Programs (OPP)(National Science Foundation (NSF)NSF - Directorate for Geosciences (GEO)); Natural Environment Research Council(UK Research &amp; Innovation (UKRI)Natural Environment Research Council (NERC))</t>
  </si>
  <si>
    <t>This study was funded by the U.S. National Science Foundation (NSF) grants 0944552, 1142041, and 0968391 to E.J.B. and 0839093 and 1142166 to J.R.M. A European Union Horizon 2020 Marie Curie Individual Fellowship (grant 58120, SEADOG) provided partial support for R.H.R. This work also benefitted from funding to X.F. from the French RPD COCLICO ANR program (ANR-10-RPDOC-002-01), the INSU/LEFE project IceChrono, and the Ars Cuttoli foundation and additionally from the UK Natural Environment Research Council (NERC) grant NE/P009271/1 awarded to L.C.S. Grateful thanks to B. Tournadre for help in Fletcher Promontory ice core analysis. The authors appreciate the support of the WAIS Divide Science Coordination Office at the Desert Research Institute, Reno, NV, USA, and University of New Hampshire, USA, for the collection and distribution of the WD ice core (NSF grants 0230396, 0440817, 0944348, and 0944266). We are grateful to all participants in the field effort led by K. Taylor. The NSF Office of Polar Programs also funded the Ice Drilling Program Office and Ice Drilling Design and Operations group, the National Ice Core Laboratory, Raytheon Polar Services, and the 109th New York Air National Guard. The WD continuous CH4 2 year fitted spline data and the experiment-time-integrated data are available at the USAP Data Centre (doi:10.7265/N5JM27K4; http://www.usap-dc.org/view/dataset/600361). The WD2014 time scale is available here. The WD discrete CH4 data are available here. The WD accumulation data are available (doi: 10.15784/601004). The NGRIP ice core delta18 O 20 year mean values are available here, the Hulu cave delta18 O values are available here, and the Bermuda Rise SST record is here. We thank two anonymous reviewers for their constructive comments and suggestions, which have improved this manuscript.</t>
  </si>
  <si>
    <t>10.1002/2016GB005570</t>
  </si>
  <si>
    <t>WOS:000400695400008</t>
  </si>
  <si>
    <t>Santos, A; Troncoso, C; Lamilla, C; Llanquinao, V; Pavez, M; Barrientos, L</t>
  </si>
  <si>
    <t>Santos, Andres; Troncoso, Claudia; Lamilla, Claudio; Llanquinao, Vicente; Pavez, Monica; Barrientos, Leticia</t>
  </si>
  <si>
    <t>Nanoparticles Synthesized by Antarctic Bacteria and their Possible Mechanisms of Synthesis</t>
  </si>
  <si>
    <t>INTERNATIONAL JOURNAL OF MORPHOLOGY</t>
  </si>
  <si>
    <t>Nanoparticle; Biosynthesis; Antarctic bacteria</t>
  </si>
  <si>
    <t>STABLE SILVER NANOPARTICLES; GOLD NANOPARTICLES; LOW-TEMPERATURE; EXTRACELLULAR SYNTHESIS; PSYCHROPHILIC BACTERIA; METAL NANOPARTICLES; OXIDATIVE STRESS; BIOSYNTHESIS; COMPLEX; CADMIUM</t>
  </si>
  <si>
    <t>In recent years microorganisms as fungi, yeasts and especially bacteria have been used to produce nanoparticles biosynthesis. Several types of bacteria are described as nanoparticles producers, however, psychrophilic and psychrotolerant bacterias have not been studied widely, although its use in the production of nanoparticles could provide advantages related to the stability of nanoparticles, energy expenditure on its production, while being an environmentally friendly alternative. This article provides a brief overview of Antarctic bacterias, both psychrophilic and psychrotolerant that synthesis nanoparticles, possible mechanisms associated to this synthesis and future perspectives related to bacterial biosynthesis of nanoparticles.</t>
  </si>
  <si>
    <t>[Santos, Andres; Troncoso, Claudia; Lamilla, Claudio; Llanquinao, Vicente; Pavez, Monica; Barrientos, Leticia] Ctr Excelencia Med Traslac, Lab Biol Mol Aplicada, Avenida Alemania 0458, Temuco 4810296, Chile; [Santos, Andres; Troncoso, Claudia; Lamilla, Claudio; Llanquinao, Vicente; Pavez, Monica; Barrientos, Leticia] Univ Autonoma Chile, Nucl Cientif &amp; Tecnol Biorecursos BIOREN, Temuco, Chile; [Troncoso, Claudia] Univ Autonoma Chile, Temuco, Chile</t>
  </si>
  <si>
    <t>Universidad Autonoma de Chile; Universidad Autonoma de Chile</t>
  </si>
  <si>
    <t>Barrientos, L (corresponding author), Univ Autonoma Chile, Nucl Cientif &amp; Tecnol Biorecursos BIOREN, Temuco, Chile.;Barrientos, L (corresponding author), Univ Autonoma Chile, Temuco, Chile.;Barrientos, L (corresponding author), Univ La Frontera, Lab Biol Mol Aplicada, Ciencias, Temuco, Chile.</t>
  </si>
  <si>
    <t>leticia.barrientos@ufrontera.cl</t>
  </si>
  <si>
    <t>pavez, monica/AAB-3826-2019; Lamilla, Claudio/I-2496-2018; Santos, Andres/AAB-2096-2022; Lamilla, Claudio/HSF-0976-2023; Barrientos, Leticia/R-6205-2017</t>
  </si>
  <si>
    <t>Barrientos, Leticia/0000-0002-5344-054X; Lamilla, Claudio Andres/0000-0003-0490-6945</t>
  </si>
  <si>
    <t>SOC CHILENA ANATOMIA</t>
  </si>
  <si>
    <t>TEMUCO</t>
  </si>
  <si>
    <t>CASILLA 54-D, TEMUCO, 00000, CHILE</t>
  </si>
  <si>
    <t>0717-9502</t>
  </si>
  <si>
    <t>0717-9367</t>
  </si>
  <si>
    <t>INT J MORPHOL</t>
  </si>
  <si>
    <t>Int. J. Morphol.</t>
  </si>
  <si>
    <t>10.4067/S0717-95022017000100005</t>
  </si>
  <si>
    <t>Anatomy &amp; Morphology</t>
  </si>
  <si>
    <t>ET7HB</t>
  </si>
  <si>
    <t>WOS:000400464600005</t>
  </si>
  <si>
    <t>Silvano, A; Rintoul, SR; Peña-Molino, B; Williams, GD</t>
  </si>
  <si>
    <t>Silvano, Alessandro; Rintoul, Stephen R.; Pena-Molino, Beatriz; Williams, Guy D.</t>
  </si>
  <si>
    <t>Distribution of water masses and meltwater on the continental shelf near the Totten and Moscow University ice shelves</t>
  </si>
  <si>
    <t>PINE ISLAND GLACIER; SEA-LEVEL RISE; BOTTOM WATER; EAST ANTARCTICA; AMUNDSEN SEA; MELTING ICE; CIRCULATION; VARIABILITY; IMPACT; POLYNYA</t>
  </si>
  <si>
    <t>Warm waters flood the continental shelf of the Amundsen and Bellingshausen seas in West Antarctica, driving rapid basal melt of ice shelves. In contrast, waters on the continental shelf in East Antarctica are cooler and ice shelves experience relatively low rates of basal melt. An exception is provided by the Totten and Moscow University ice shelves on the Sabrina Coast, where satellite-derived basal melt rates are comparable to West Antarctica. Recent oceanographic observations have revealed that relatively warm (similar to -0.4 degrees C) modified Circumpolar Deep Water (mCDW) enters the cavity beneath the Totten Ice Shelf through a 1100 m deep trough, delivering sufficient heat to drive rapid basal melt. Here we use observations from a recent summer survey to show that mCDW is widespread on the continental shelf of the Sabrina Coast, forming a warm (up to 0.3 degrees C) and saline (34.5-34.6) bottom layer overlaid by cold (similar to freezing point) and fresh (salinity similar to 34.3) Winter Water. Dense Shelf Water is not observed. A 1000 deep m trough allows water at -1.3 degrees C to reach the Moscow University ice-shelf cavity to drive basal melt. Freshening by addition of glacial meltwater is widespread on the southern shelf at depths above 300-400 m, with maximum meltwater concentrations up to 4-5 ml L-1 observed in outflows from the ice-shelf cavities. Our observations indicate that the ocean properties on the Sabrina Coast more resemble those found on the continental shelf of the Amundsen and Bellingshausen seas than those typical of East Antarctica. Plain Language Summary The Totten Glacier drains more ice from the East Antarctic Ice Sheet than any other glacier. The Totten holds a volume of ice equivalent to more than 3.5m of global sea level rise, so changes in the glacier could have significant consequences. East Antarctic ice shelves, including the Totten, were thought to be largely isolated from warm ocean waters and therefore stable. An Australian voyage in 2015 obtained the first oceanographic data near the Totten and Moscow University Ice Shelves. The measurements show that relatively warm water spreads from the open ocean across the continental shelf to reach the ice shelf cavities, where it drives melt of the underside of the ice shelves. The presence of warm water near the ice shelves helps explain rapid rates of melt inferred from satellite data. The study shows that this part of the East Antarctic Ice Sheet is more exposed to warm ocean waters, and therefore may make a larger contribution to sea level rise, than previously thought.</t>
  </si>
  <si>
    <t>[Silvano, Alessandro; Williams, Guy D.] Univ Tasmania, Inst Marine &amp; Antarctic Studies, Hobart, Tas, Australia; [Silvano, Alessandro; Rintoul, Stephen R.] CSIRO Oceans &amp; Atmosphere, Hobart, Tas, Australia; [Rintoul, Stephen R.; Pena-Molino, Beatriz; Williams, Guy D.] Univ Tasmania, Antarctic Climate &amp; Ecosyst Cooperat Res Ctr, Hobart, Tas, Australia; [Williams, Guy D.] Univ New South Wales, Antarctic Res Council Ctr Excellence Climate Syst, Sydney, NSW, Australia</t>
  </si>
  <si>
    <t>University of Tasmania; Commonwealth Scientific &amp; Industrial Research Organisation (CSIRO); Antarctic Climate &amp; Ecosystems Cooperative Research Centre (ACE CRC); University of Tasmania; University of New South Wales Sydney</t>
  </si>
  <si>
    <t>Silvano, A (corresponding author), Univ Tasmania, Inst Marine &amp; Antarctic Studies, Hobart, Tas, Australia.;Silvano, A (corresponding author), CSIRO Oceans &amp; Atmosphere, Hobart, Tas, Australia.</t>
  </si>
  <si>
    <t>Alessandro.Silvano@utas.edu.au</t>
  </si>
  <si>
    <t>Pena-Molino, Beatriz/IYK-0313-2023; Rintoul, Stephen R/A-1471-2012</t>
  </si>
  <si>
    <t>Pena-Molino, Beatriz/0000-0003-1587-1696; Rintoul, Stephen R/0000-0002-7055-9876; Williams, Guy/0000-0002-3975-2977; Silvano, Alessandro/0000-0002-6441-1496</t>
  </si>
  <si>
    <t>Australian Antarctic Research Program; Australian Research Council's Special Research Initiative for the Antarctic Gateway Partnership; Australian Climate Change Science Program; Australian Government's Cooperative Research Centres Program through the Antarctic Climate 8; Ecosystems Cooperative Research Centre (ACE CRC); National Environmental Science Program Earth System and Climate Change Hub; Australia's Integrated Marine Observing System; Australian Government through the Australian Postgraduate Awards (APA); International Postgraduate Research Scholarships (IPRS); CSIRO; University of Tasmania through the Quantitative Marine Science PhD program</t>
  </si>
  <si>
    <t>Australian Antarctic Research Program; Australian Research Council's Special Research Initiative for the Antarctic Gateway Partnership(Australian Research Council); Australian Climate Change Science Program; Australian Government's Cooperative Research Centres Program through the Antarctic Climate 8(Australian GovernmentDepartment of Industry, Innovation and ScienceCooperative Research Centres (CRC) Programme); Ecosystems Cooperative Research Centre (ACE CRC)(Australian GovernmentDepartment of Industry, Innovation and ScienceCooperative Research Centres (CRC) Programme); National Environmental Science Program Earth System and Climate Change Hub; Australia's Integrated Marine Observing System; Australian Government through the Australian Postgraduate Awards (APA); International Postgraduate Research Scholarships (IPRS); CSIRO(Commonwealth Scientific &amp; Industrial Research Organisation (CSIRO)); University of Tasmania through the Quantitative Marine Science PhD program</t>
  </si>
  <si>
    <t>We thank the scientists, technicians, officers, and crew that participated to the RN Aurora Australis expedition. The work was supported by the Australian Antarctic Research Program, the Australian Research Council's Special Research Initiative for the Antarctic Gateway Partnership, the Australian Climate Change Science Program, the Australian Government's Cooperative Research Centres Program through the Antarctic Climate 8, Ecosystems Cooperative Research Centre (ACE CRC), the National Environmental Science Program Earth System and Climate Change Hub, and Australia's Integrated Marine Observing System. Alessandro Silvano is supported by the Australian Government through the Australian Postgraduate Awards (APA) and the International Postgraduate Research Scholarships (IPRS) and by CSIRO and University of Tasmania through the Quantitative Marine Science PhD program. We thank Laurie Padman and one anonymous reviewer, as their comments greatly improved the manuscript. We want to thank Jason Roberts (Australian Antarctic Division, ACE CRC), Felicity Graham (University of Tasmania), and Will Hobbs (ACE CRC) for helpful discussions during the development of this work. Data are available from the Australian Antarctic Data Centre (https://data.aad.gov.au/).</t>
  </si>
  <si>
    <t>10.1002/2016JC012115</t>
  </si>
  <si>
    <t>EU0DI</t>
  </si>
  <si>
    <t>WOS:000400678900023</t>
  </si>
  <si>
    <t>Wu, Y; Wang, ZM; Liu, CY</t>
  </si>
  <si>
    <t>Wu, Yang; Wang, Zhaomin; Liu, Chengyan</t>
  </si>
  <si>
    <t>On the response of the Lorenz energy cycle for the Southern Ocean to intensified westerlies</t>
  </si>
  <si>
    <t>AVAILABLE POTENTIAL-ENERGY; ANTARCTIC CIRCUMPOLAR CURRENT; WIND-POWER INPUT; EDDY ENERGY; CIRCULATION; MODEL; TRANSPORT; ATLANTIC; MOMENTUM; IMPACT</t>
  </si>
  <si>
    <t>The potential impact of intensified westerlies on the Lorenz energy cycle for the Southern Ocean is examined by employing a global eddy-permitting ocean-sea ice model. Two idealized sensitivity experiments are designed for this purpose: one is driven by 1992 forcing with weaker westerlies and the other driven by 1998 forcing with stronger westerlies. The intensified westerlies lead to the most significant increase of about 30% in the eddy kinetic energy (EKE) reservoir, followed by the mean kinetic energy (MKE) reservoir increase (17.9%), eddy available potential energy (EAPE) reservoir increase (8.6%), and mean available potential energy (MAPE) reservoir increase (6.5%). In contrast, the increases in the generations of kinetic energy and available potential energy are quite similar, ranging from 21% for EAPE generation to 26% for MKE generation. There are considerably increased energy transfers from MKE to MAPE (about 75%) and from MAPE to EAPE (about 78%), reflecting greatly enhanced baroclinic instability pathway. The conversion rates are strongly influenced by large topography; in particular, a relatively large energy conversion from EKE to MKE exists in the regions associated with large topography, in contrast to the energy flow from MKE to EKE over the broad Southern Ocean. Under stronger wind forcing, all energy conversions are enhanced, and the increases in the conversion rates from EAPE to EKE and from EKE to MKE are more prominent than the increases from MKE to MAPE and from MAPE to EAPE near large topography.</t>
  </si>
  <si>
    <t>[Wu, Yang; Liu, Chengyan] Nanjing Univ Informat Sci &amp; Technol, Polar Climate Syst &amp; Global Change Lab, Nanjing, Jiangsu, Peoples R China; [Wang, Zhaomin] Hohai Univ, Coll Oceanog, Nanjing, Jiangsu, Peoples R China</t>
  </si>
  <si>
    <t>Nanjing University of Information Science &amp; Technology; Hohai University</t>
  </si>
  <si>
    <t>Wang, ZM (corresponding author), Hohai Univ, Coll Oceanog, Nanjing, Jiangsu, Peoples R China.</t>
  </si>
  <si>
    <t>zhaomin.wang@hhu.edu.cn</t>
  </si>
  <si>
    <t>Wu, Yang/IVH-6563-2023</t>
  </si>
  <si>
    <t>Wu, Yang/0000-0003-2165-9704; Wu, Yang/0000-0001-7842-9796</t>
  </si>
  <si>
    <t>Major State Basic Research Development Program of China [2016YFA0601804]; China National Natural Science Foundation (NSFC) [41276200]; Global Change Research Program of China [2015CB953904]; Special Program for China Meteorology Trade [GYHY201306020]; Program for Innovation Research and Entrepreneurship team in Jiangsu Province; Priority Academic Program Development of Jiangsu Higher Education Institutions (PAPD); National Natural Science Foundation of China [41306208]; Jiangsu Government Scholarship for Overseas Studies; China Scholarship Council (CSC)</t>
  </si>
  <si>
    <t>Major State Basic Research Development Program of China(National Basic Research Program of China); China National Natural Science Foundation (NSFC)(National Natural Science Foundation of China (NSFC)); Global Change Research Program of China; Special Program for China Meteorology Trade; Program for Innovation Research and Entrepreneurship team in Jiangsu Province; Priority Academic Program Development of Jiangsu Higher Education Institutions (PAPD); National Natural Science Foundation of China(National Natural Science Foundation of China (NSFC)); Jiangsu Government Scholarship for Overseas Studies; China Scholarship Council (CSC)(China Scholarship Council)</t>
  </si>
  <si>
    <t>Z. Wang was supported by the Major State Basic Research Development Program of China (2016YFA0601804), by the China National Natural Science Foundation (NSFC) Project (41276200), by the Global Change Research Program of China (2015CB953904), by the Special Program for China Meteorology Trade (grant GYHY201306020), by the Program for Innovation Research and Entrepreneurship team in Jiangsu Province, and by a project funded by the Priority Academic Program Development of Jiangsu Higher Education Institutions (PAPD). C. Liu was supported by the National Natural Science Foundation of China (41306208), by the Jiangsu Government Scholarship for Overseas Studies, by the China Scholarship Council (CSC). The data used in this study can be obtained from the authors upon request (zhaomin.wang@hhu.edu.cn). We thank three anonymous reviewers for their positive and constructive comments.</t>
  </si>
  <si>
    <t>10.1002/2016JC012539</t>
  </si>
  <si>
    <t>WOS:000400678900045</t>
  </si>
  <si>
    <t>Mathakutha, R; Steyn, C; Le Roux, PC; Blom, I; Daru, B; Chown, SL; Louw, A; Ripley, B; Greve, M</t>
  </si>
  <si>
    <t>Mathakutha, R.; Steyn, C.; Le Roux, P. C.; Blom, I.; Daru, B.; Chown, S. L.; Louw, A.; Ripley, B.; Greve, M.</t>
  </si>
  <si>
    <t>A trait-based approach to understanding plant invasions on the Sub-Antarctic Islands</t>
  </si>
  <si>
    <t>SOUTH AFRICAN JOURNAL OF BOTANY</t>
  </si>
  <si>
    <t>[Mathakutha, R.; Steyn, C.; Le Roux, P. C.; Blom, I.; Daru, B.; Greve, M.] Univ Pretoria, Dept Plant &amp; Soil Sci, Private Bag X20, ZA-0028 Hatfield, South Africa; [Daru, B.] Harvard Univ, Organism &amp; Evolutionary Biol, 22 Divin Ave, Cambridge, MA 02138 USA; [Chown, S. L.] Monash Univ, Sch Biol Sci, Clayton, Vic 3800, Australia; [Louw, A.] Univ Stellenbosch, Dept Bot &amp; Zool, Private Bag X1, ZA-7602 Matieland, South Africa; [Ripley, B.] Rhodes Univ, Dept Bot, POB 94, ZA-6140 Grahamstown, South Africa</t>
  </si>
  <si>
    <t>University of Pretoria; Harvard University; Monash University; Stellenbosch University; Rhodes University</t>
  </si>
  <si>
    <t>mathakutha.rabia03@gmail.com</t>
  </si>
  <si>
    <t>Daru, Barnabas/B-4051-2011; Ripley, Brad/AGP-3789-2022; Louw, Ann/A-7620-2012; Chown, Steven/ABD-7646-2021; Mathakutha, Rabia/G-3140-2015</t>
  </si>
  <si>
    <t>Daru, Barnabas/0000-0002-2115-0257; Louw, Ann/0000-0002-1021-6732;</t>
  </si>
  <si>
    <t>0254-6299</t>
  </si>
  <si>
    <t>1727-9321</t>
  </si>
  <si>
    <t>S AFR J BOT</t>
  </si>
  <si>
    <t>S. Afr. J. Bot.</t>
  </si>
  <si>
    <t>10.1016/j.sajb.2017.01.019</t>
  </si>
  <si>
    <t>ET7HJ</t>
  </si>
  <si>
    <t>WOS:000400465400044</t>
  </si>
  <si>
    <t>Biederman, AM; Crockett, EL</t>
  </si>
  <si>
    <t>Biederman, A. M.; Crockett, E. L.</t>
  </si>
  <si>
    <t>Properties of Neuronal Membranes of Antarctic Notothenioids and Implications for Thermal Tolerance</t>
  </si>
  <si>
    <t>INTEGRATIVE AND COMPARATIVE BIOLOGY</t>
  </si>
  <si>
    <t>Annual Meeting of the Society-for-Integrative-and-Comparative-Biology (SICB)</t>
  </si>
  <si>
    <t>JAN 04-08, 2017</t>
  </si>
  <si>
    <t>New Orleans, LA</t>
  </si>
  <si>
    <t>[Biederman, A. M.; Crockett, E. L.] Ohio Univ, Athens, OH 45701 USA</t>
  </si>
  <si>
    <t>University System of Ohio; Ohio University</t>
  </si>
  <si>
    <t>ab971013@ohio.edu</t>
  </si>
  <si>
    <t>NSF [ANT 1341602]</t>
  </si>
  <si>
    <t>Supported by NSF ANT 1341602.</t>
  </si>
  <si>
    <t>1540-7063</t>
  </si>
  <si>
    <t>1557-7023</t>
  </si>
  <si>
    <t>INTEGR COMP BIOL</t>
  </si>
  <si>
    <t>Integr. Comp. Biol.</t>
  </si>
  <si>
    <t>P1-159</t>
  </si>
  <si>
    <t>E15</t>
  </si>
  <si>
    <t>ER3BF</t>
  </si>
  <si>
    <t>WOS:000398668700060</t>
  </si>
  <si>
    <t>Brothers, CJ; Smith, KE; Amsler, MO; Aronson, RB; Singh, H; Mcclintock, JB</t>
  </si>
  <si>
    <t>Brothers, C. J.; Smith, K. E.; Amsler, M. O.; Aronson, R. B.; Singh, H.; Mcclintock, J. B.</t>
  </si>
  <si>
    <t>Sea Urchin Covering Behavior as a Possible Response to Deep-Water Antarctic Predatory King Crabs</t>
  </si>
  <si>
    <t>Univ Alabama Birmingham, Birmingham, AL USA; Florida Inst Technol, Melbourne, FL 32901 USA; Woods Hole Oceanog Inst, Woods Hole, MA 02543 USA</t>
  </si>
  <si>
    <t>University of Alabama System; University of Alabama Birmingham; Florida Institute of Technology; Woods Hole Oceanographic Institution</t>
  </si>
  <si>
    <t>brotce@uab.edu</t>
  </si>
  <si>
    <t>P1-61</t>
  </si>
  <si>
    <t>E21</t>
  </si>
  <si>
    <t>WOS:000398668700083</t>
  </si>
  <si>
    <t>Ismailov, II; Scharping, JB; Andreeva, IE; Friedlander, MJ</t>
  </si>
  <si>
    <t>Ismailov, I. I.; Scharping, J. B.; Andreeva, I. E.; Friedlander, M. J.</t>
  </si>
  <si>
    <t>Behavioral and Neural Responses to Warming in Antarctic Fishes</t>
  </si>
  <si>
    <t>Virginia Tech Caril Res Inst, Blacksburg, VA USA; Virginia Tech Caril Sch Med, Blacksburg, VA USA</t>
  </si>
  <si>
    <t>Ismailov@vtc.vt.edu</t>
  </si>
  <si>
    <t>friedlander, michael j/F-5952-2011</t>
  </si>
  <si>
    <t>NSF [ANT-1341602]</t>
  </si>
  <si>
    <t>Supported by NSF ANT-1341602.</t>
  </si>
  <si>
    <t>P1-19</t>
  </si>
  <si>
    <t>E78</t>
  </si>
  <si>
    <t>WOS:000398668700310</t>
  </si>
  <si>
    <t>Lamb, AD; Near, TJ; Federman, S; Dornburg, A</t>
  </si>
  <si>
    <t>Lamb, A. D.; Near, T. J.; Federman, S.; Dornburg, A.</t>
  </si>
  <si>
    <t>Cradles and museums of Antarctic biodiversity</t>
  </si>
  <si>
    <t>North Carolina State Univ, Raleigh, NC USA; North Carolina Museum Nat Sci, Raleigh, NC USA; Yale Univ, New Haven, CT 06520 USA</t>
  </si>
  <si>
    <t>North Carolina State University; Yale University</t>
  </si>
  <si>
    <t>adlamb@ncsu.edu</t>
  </si>
  <si>
    <t>P3-47</t>
  </si>
  <si>
    <t>E92</t>
  </si>
  <si>
    <t>WOS:000398668700369</t>
  </si>
  <si>
    <t>Pfeiffenberger, JA; Hsieh, ST; Cziko, PA; Cheng, CHC</t>
  </si>
  <si>
    <t>Pfeiffenberger, J. A.; Hsieh, S. T.; Cziko, P. A.; Cheng, C. H. C.</t>
  </si>
  <si>
    <t>The pelvic morphology of a bottom-walking Antarctic barbeled plunderfish, Histiodraco velifer, and how it compares to other Antarctic notothenioid fishes</t>
  </si>
  <si>
    <t>Temple Univ, Philadelphia, PA 19122 USA; Univ Oregon, Eugene, OR 97403 USA; Univ Illinois, Chicago, IL 60680 USA</t>
  </si>
  <si>
    <t>Pennsylvania Commonwealth System of Higher Education (PCSHE); Temple University; University of Oregon; University of Illinois System; University of Illinois Chicago; University of Illinois Chicago Hospital</t>
  </si>
  <si>
    <t>jpfeiffe@temple.edu</t>
  </si>
  <si>
    <t>114-4</t>
  </si>
  <si>
    <t>E375</t>
  </si>
  <si>
    <t>WOS:000398668702212</t>
  </si>
  <si>
    <t>Rix, AS; O'Brien, KM</t>
  </si>
  <si>
    <t>Rix, A. S.; O'Brien, K. M.</t>
  </si>
  <si>
    <t>Polyglutamine and Glutamic Acid Repeats Within Hypoxia-Inducible Factor-1 in Antarctic Notothenioid Fishes May Alter the Hypoxic Response</t>
  </si>
  <si>
    <t>[Rix, A. S.; O'Brien, K. M.] Univ Alaska Fairbanks, Fairbanks, AK USA</t>
  </si>
  <si>
    <t>University of Alaska System; University of Alaska Fairbanks</t>
  </si>
  <si>
    <t>asrix@alaska.edu</t>
  </si>
  <si>
    <t>P2-255</t>
  </si>
  <si>
    <t>E141</t>
  </si>
  <si>
    <t>WOS:000398668700564</t>
  </si>
  <si>
    <t>Santagata, S; Mahon, AR; Halanych, KM</t>
  </si>
  <si>
    <t>Santagata, S.; Mahon, A. R.; Halanych, K. M.</t>
  </si>
  <si>
    <t>Marine Ectoproct Communities from the Antarctic Shelf based on Sea Floor Imaging of the Ross and Weddell Seas</t>
  </si>
  <si>
    <t>Long Isl Univ Post, Greenvale, NY USA; Cent Michigan Univ, Mt Pleasant, MI 48859 USA; Auburn Univ, Auburn, AL 36849 USA</t>
  </si>
  <si>
    <t>Central Michigan University; Auburn University System; Auburn University</t>
  </si>
  <si>
    <t>scott.santagata@liu.edu</t>
  </si>
  <si>
    <t>Halanych, Ken M/A-9480-2009</t>
  </si>
  <si>
    <t>P2-196</t>
  </si>
  <si>
    <t>E147</t>
  </si>
  <si>
    <t>WOS:000398668700587</t>
  </si>
  <si>
    <t>Shishido, CM; Lane, SJ; Woods, HA; Tobalske, BW; Moran, AL</t>
  </si>
  <si>
    <t>Shishido, C. M.; Lane, S. J.; Woods, H. A.; Tobalske, B. W.; Moran, A. L.</t>
  </si>
  <si>
    <t>Temperature, body size, and righting ability of Antarctic pycnogonids</t>
  </si>
  <si>
    <t>Univ Hawaii Manoa, Honolulu, HI 96822 USA; Univ Montana, Missoula, MT 59812 USA</t>
  </si>
  <si>
    <t>University of Hawaii System; University of Hawaii Manoa; University of Montana System; University of Montana</t>
  </si>
  <si>
    <t>csmariko@hawaii.edu</t>
  </si>
  <si>
    <t>31-5</t>
  </si>
  <si>
    <t>E406</t>
  </si>
  <si>
    <t>WOS:000398668702335</t>
  </si>
  <si>
    <t>Hestetun, JT; Rapp, HT; Xavier, J</t>
  </si>
  <si>
    <t>Hestetun, Jon Thomassen; Rapp, Hans Tore; Xavier, Joana</t>
  </si>
  <si>
    <t>Carnivorous sponges (Porifera, Cladorhizidae) from the Southwest Indian Ocean Ridge seamounts</t>
  </si>
  <si>
    <t>14th Deep-Sea Biology Symposium (DSBS)</t>
  </si>
  <si>
    <t>AUG 31-SEP 04, 2015</t>
  </si>
  <si>
    <t>Aveiro, PORTUGAL</t>
  </si>
  <si>
    <t>Porifera; Cladorhiza; Meliiderma; Chondrocladia; Asbestopluma; Taxonomy; Deep-sea</t>
  </si>
  <si>
    <t>ASBESTOPLUMA-HYPOGEA; POECILOSCLERIDA; SEA; DEMOSPONGIAE; ATLANTIC; BASIN; PHYLOGENY; CHELAE; WATER</t>
  </si>
  <si>
    <t>The family Cladorhizidae (Porifera) comprises a particularly interesting group of sponges that has developed a carnivorous feeding strategy unique within the phylum. Cladorhizids are typically considered deep-sea sponges, are frequently found at oceanic ridges and seamount systems, and new species are continuously discovered as new areas are explored. In this study we describe nine new cladorhizid sponges collected on three seamounts of the Southwest Indian Ocean Ridge (SWIOR) during the RRS James Cook cruise JC066: Abyssocladia boleti phora, Ab. corniculiphora, Ab. hemiradiata, Asbestopluma (Asbestopluma) unguiferata, As. (A.) jamescooki, As. (A.) laminachela, As. (A.) pseudoisochela, As. (A.) ramuscula and Chondrocladia (Meliiderma) rogersi; and re describe four species, viz. Ab. symmetrica, Ch. (M.) stipitata, Cladorhiza moruliformis and CL tridentata collected during the Challenger expedition in the Southwest Indian Ocean. Barcodes and a phylogenetic analysis showing the systematic position of the new species are included as additional information. Our results show that the cladorhizid fauna of the Southwestern Indian Ocean is diverse and seems to be bathymetrically structured with no observed overlap between the newly reported upper bathyal species (similar to 1000 m) and previously described lower bathyal and abyssal species from the area. While the upper bathyal SWIOR species are unique and represent a regionally endemic cladorhizid fauna, similarities in morphology and spicule characters as well as molecular evidence suggests biogeographical affinities to species from the SW Pacific and SW Atlantic, but no similarities to previously reported Antarctic fauna were found. A table of cladorhizid species from the Southwest Indian Ocean and neighboring areas is provided. (C) 2016 Elsevier Ltd. All rights reserved.</t>
  </si>
  <si>
    <t>[Hestetun, Jon Thomassen; Rapp, Hans Tore; Xavier, Joana] Univ Bergen, Dept Biol, POB 7803, N-5020 Bergen, Norway; [Hestetun, Jon Thomassen; Rapp, Hans Tore; Xavier, Joana] Univ Bergen, Ctr Geobiol, POB 7803, N-5020 Bergen, Norway; [Rapp, Hans Tore] Uni Environm, POB 7810, N-5020 Bergen, Norway</t>
  </si>
  <si>
    <t>University of Bergen; University of Bergen</t>
  </si>
  <si>
    <t>Hestetun, JT (corresponding author), Univ Bergen, Dept Biol, POB 7803, N-5020 Bergen, Norway.;Hestetun, JT (corresponding author), Univ Bergen, Ctr Geobiol, POB 7803, N-5020 Bergen, Norway.</t>
  </si>
  <si>
    <t>jon.hestetun@uib.no; hans.rapp@uib.no; joanarxavier@gmail.com</t>
  </si>
  <si>
    <t>Hestetun, Jon Thomassen/AAJ-2431-2020; Xavier, Joana/J-8387-2012</t>
  </si>
  <si>
    <t>Hestetun, Jon Thomassen/0000-0003-2590-2433; Xavier, Joana/0000-0003-1386-4492</t>
  </si>
  <si>
    <t>Global Environment Facility Grant through UNDP [IDGEF3138/PIMS3657, FFEM-SWIO-P00917]; NERC [NE/F005504/1]; FAO/NORAD EAF Nansen Project; Agulhas and Somali Current LME project; Research Council of Norway through the Centre for Geobiology [179560]; Natural Environment Research Council [NE/F005504/1] Funding Source: researchfish; NERC [NE/F005504/1] Funding Source: UKRI</t>
  </si>
  <si>
    <t>Global Environment Facility Grant through UNDP; NERC(UK Research &amp; Innovation (UKRI)Natural Environment Research Council (NERC)); FAO/NORAD EAF Nansen Project; Agulhas and Somali Current LME project; Research Council of Norway through the Centre for Geobiology; Natural Environment Research Council(UK Research &amp; Innovation (UKRI)Natural Environment Research Council (NERC)); NERC(UK Research &amp; Innovation (UKRI)Natural Environment Research Council (NERC))</t>
  </si>
  <si>
    <t>JC066 expedition was financed by the Global Environment Facility Grant through UNDP Project IDGEF3138/PIMS3657 executed by IUCN as the IUCN Seamounts Project FFEM-SWIO-P00917 (http://www.iucn.org/about/work/programmes/marine/marine_our_work/marine_governance/gmpp_ocean_governance_projects/seamounts/) and NERC Grant NE/F005504/1 Benthic Biodiversity of Seamounts in the Southwest Indian Ocean. Additional funding was provided by the FAO/NORAD EAF Nansen Project and Agulhas and Somali Current LME project. The authors were supported by the Research Council of Norway through the Centre for Geobiology (Project number 179560).</t>
  </si>
  <si>
    <t>10.1016/j.dsr2.2016.03.004</t>
  </si>
  <si>
    <t>ER4DS</t>
  </si>
  <si>
    <t>WOS:000398749900014</t>
  </si>
  <si>
    <t>Li, DD; Peng, M; Wang, N; Wang, XJ; Zhang, XY; Chen, XL; Su, HN; Zhang, YZ; Shi, M</t>
  </si>
  <si>
    <t>Li, Dan-Dan; Peng, Ming; Wang, Ning; Wang, Xiu-Juan; Zhang, Xi-Ying; Chen, Xiu-Lan; Su, Hai-Nan; Zhang, Yu-Zhong; Shi, Mei</t>
  </si>
  <si>
    <t>Arcticibacterium luteifluviistationis gen. nov., sp nov., isolated from Arctic seawater</t>
  </si>
  <si>
    <t>Arctic seawater; gen. nov., sp nov.; the family Cytophagaceae</t>
  </si>
  <si>
    <t>FAMILY CYTOPHAGACEAE; DEOXYRIBONUCLEIC-ACID; EMENDED DESCRIPTION; MEMBER; FLEXIBACTERACEAE; SOIL</t>
  </si>
  <si>
    <t>A Gram-staining-negative, aerobic, non-motile and yellow-pigmented bacterium, designated strain SM1504(inverted perpendicular), was isolated from Arctic seawater. It hydrolysed aesculin and gelatin but did not reduce nitrate to nitrite. Phylogenetic analysis of 16S rRNA gene sequences revealed that strain SM1504(inverted perpendicular) constituted a distinct phylogenetic line within the family Cytophagaceae and was closely related to species of the genera Lacihabitans, Emticicia, Fluviimonas and Leadbetterella, with respect to which low sequence similarities between 88.9 and 91.6% were observed. The major fatty acids of strain SM1504(inverted perpendicular) were summed feature 3 (comprising C-16 : 1 omega 7c and/or iso-C-15 : 0 2-OH) and iso-C-15 : 0. The predominant polar lipids of strain SM1504(inverted perpendicular)were phosphatidylethanolamine and one unidentified lipid. The only respiratory quinone detected in strain SM1504(inverted perpendicular) was MK7. The DNA G+C content of strain SM1504(inverted perpendicular) was 40.8 mol%. On the basis of the phylogenetic, chemotaxonomic and phenotypic characterization in this study, strain SM1504(inverted perpendicular) is considered to represent a novel species in a new genus of the family Cytophagaceae, for which the name Arcticibacterium luteifluviistationis gen. nov., sp. nov. is proposed. The type strain is SM1504(inverted perpendicular) (= KCTC 42716(inverted perpendicular) = CCTCC AB 2015348(inverted perpendicular)).</t>
  </si>
  <si>
    <t>[Li, Dan-Dan; Peng, Ming; Wang, Ning; Wang, Xiu-Juan; Zhang, Xi-Ying; Chen, Xiu-Lan; Su, Hai-Nan; Zhang, Yu-Zhong; Shi, Mei] Shandong Univ, State Key Lab Microbial Technol, Jinan 250100, Peoples R China; [Li, Dan-Dan; Peng, Ming; Wang, Ning; Wang, Xiu-Juan; Zhang, Xi-Ying; Chen, Xiu-Lan; Su, Hai-Nan; Zhang, Yu-Zhong; Shi, Mei] Shandong Univ, Marine Biotechnol Res Ctr, Jinan 250100, Peoples R China</t>
  </si>
  <si>
    <t>Shandong University; Shandong University</t>
  </si>
  <si>
    <t>Shi, M (corresponding author), Shandong Univ, State Key Lab Microbial Technol, Jinan 250100, Peoples R China.;Shi, M (corresponding author), Shandong Univ, Marine Biotechnol Res Ctr, Jinan 250100, Peoples R China.</t>
  </si>
  <si>
    <t>National Natural Science Foundation of China [31470541, 31470001, 31270117, 41376153]; Taishan Scholars Program of Shandong Province [2009TS079]; Chinese Arctic and Antarctic Administration, State Oceanic Administration, PR China [15/16YR07, 2013YR03003, 2014YR01011, 2016YR07007]; Fundamental Research Funds of Shandong University [2014QY006, 2015JC001]</t>
  </si>
  <si>
    <t>National Natural Science Foundation of China(National Natural Science Foundation of China (NSFC)); Taishan Scholars Program of Shandong Province; Chinese Arctic and Antarctic Administration, State Oceanic Administration, PR China; Fundamental Research Funds of Shandong University</t>
  </si>
  <si>
    <t>The National Natural Science Foundation of China (grants 31470541, 31470001, 31270117 and 41376153), Taishan Scholars Program of Shandong Province (2009TS079), Chinese Arctic and Antarctic Administration, State Oceanic Administration, PR China (15/16YR07, 2013YR03003, 2014YR01011, 2016YR07007) and the Fundamental Research Funds of Shandong University (2014QY006 and 2015JC001).</t>
  </si>
  <si>
    <t>10.1099/ijsem.0.001690</t>
  </si>
  <si>
    <t>ES0RB</t>
  </si>
  <si>
    <t>WOS:000399232900022</t>
  </si>
  <si>
    <t>Luthra, T; Peters, LE; Anandakrishnan, S; Alley, RB; Holschuh, N; Smith, AM</t>
  </si>
  <si>
    <t>Luthra, Tarun; Peters, Leo E.; Anandakrishnan, Sridhar; Alley, Richard B.; Holschuh, Nicholas; Smith, Andrew M.</t>
  </si>
  <si>
    <t>Characteristics of the sticky spot of Kamb Ice Stream, West Antarctica</t>
  </si>
  <si>
    <t>West Antarctic Ice Sheet; glaciology; geophysics; sticky spot; Kamb Ice Stream; reflection seismology</t>
  </si>
  <si>
    <t>FREEZE-ON MECHANISM; RICH BASAL ICE; BENEATH; SHEET; STAGNATION; RADAR; FLOW; REACTIVATION; DEFORMATION; VELOCITIES</t>
  </si>
  <si>
    <t>Amplitude analysis of reflection seismic data reveals the presence of highly variable bed conditions under the main sticky spot and adjacent regions of the Kamb Ice Stream (formerly ice stream C). The sticky spot, which is a zone of bed that imparts high basal resistance to ice flow, is situated on a local topographic high composed of consolidated sediments or sedimentary rock. Any meltwater draining from upglacier along the base of the ice is routed around the sticky spot. The ice over the sticky spot includes, in at least some places, a seismically detectable basal layer containing a low concentration of debris, which locally thickens to 40 m over a topographic low in the bed. The ice-contact basal material ranges from dilated and highly porous to more-compacted and stiff, and perhaps locally frozen. The softer material is preferentially in topographic lows, but there is not a one-to-one correspondence between basal character and basal topography. We speculate that the 40 m thick frozen-on debris layer formed by glaciohydraulic supercooling of lake-drainage events along a basal channel during the former, active phase of the ice stream. We also speculate that loss of lubricating water, perhaps from piracy upstream, contributed to the slowdown of the ice stream, with drag from the sticky spot playing an important role, and with the basal heterogeneity greatly increasing after the slowdown of the ice stream.</t>
  </si>
  <si>
    <t>[Luthra, Tarun; Anandakrishnan, Sridhar; Alley, Richard B.; Holschuh, Nicholas] Penn State Univ, Dept Geosci, University Pk, PA 16802 USA; [Luthra, Tarun; Anandakrishnan, Sridhar; Alley, Richard B.; Holschuh, Nicholas] Penn State Univ, Earth &amp; Environm Syst Inst, University Pk, PA 16802 USA; [Peters, Leo E.] Univ Tasmania, Inst Marine &amp; Antarctic Studies, Hobart, Tas, Australia; [Smith, Andrew M.] British Antarctic Survey, Cambridge, England</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</si>
  <si>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Tasmania; UK Research &amp; Innovation (UKRI); Natural Environment Research Council (NERC); NERC British Antarctic Survey</t>
  </si>
  <si>
    <t>Luthra, T (corresponding author), Penn State Univ, Dept Geosci, University Pk, PA 16802 USA.;Luthra, T (corresponding author), Penn State Univ, Earth &amp; Environm Syst Inst, University Pk, PA 16802 USA.</t>
  </si>
  <si>
    <t>tyl5106@psu.edu</t>
  </si>
  <si>
    <t>Anandakrishnan, Sridhar/JCN-5026-2023</t>
  </si>
  <si>
    <t>Luthra, Tarun/0000-0003-0853-5846; Alley, Richard/0000-0003-1833-0115; Holschuh, Nicholas/0000-0003-1703-5085; SMITH, ANDREW/0000-0001-8577-482X</t>
  </si>
  <si>
    <t>National Science Foundation (NSF OPP) [0086297, 0226535]; Center for the Remote Sensing of Ice Sheets (CRESIS); Australian Research Council's Special Research Initiative for Antarctic Gateway Partnership [SR140300001]; NERC [bas0100034] Funding Source: UKRI; Natural Environment Research Council [bas0100034] Funding Source: researchfish; Office of Polar Programs (OPP); Directorate For Geosciences [0086297, 0226535] Funding Source: National Science Foundation</t>
  </si>
  <si>
    <t>National Science Foundation (NSF OPP)(National Science Foundation (NSF)); Center for the Remote Sensing of Ice Sheets (CRESIS); Australian Research Council's Special Research Initiative for Antarctic Gateway Partnership(Australian Research Council); NERC(UK Research &amp; Innovation (UKRI)Natural Environment Research Council (NERC)); Natural Environment Research Council(UK Research &amp; Innovation (UKRI)Natural Environment Research Council (NERC)); Office of Polar Programs (OPP); Directorate For Geosciences(National Science Foundation (NSF)NSF - Directorate for Geosciences (GEO))</t>
  </si>
  <si>
    <t>The funding for this work was provided by the National Science Foundation (NSF OPP grants 0086297 and 0226535) and the Center for the Remote Sensing of Ice Sheets (CRESIS). We thank the 2002-2003 OND field party (D. Voigt, P. Winberry, P. Braddock, R. Greschke, A. Morton, A. Mironov, S. O'Neel, and M. Nolan) for field acquisition of this data set. Additionally, we would like to thank John Anderson and an anonymous reviewer for greatly improving the quality of this manuscript. L.E. Peters acknowledges funding through the Australian Research Council's Special Research Initiative for Antarctic Gateway Partnership (Project ID SR140300001). The seismic data are available at the following address https://ds.iris.edu/ds/nodes/dmc/forms/assembled-data/?dataset_report_number=06-001.</t>
  </si>
  <si>
    <t>10.1002/2016JF004181</t>
  </si>
  <si>
    <t>ES2IC</t>
  </si>
  <si>
    <t>WOS:000399350400004</t>
  </si>
  <si>
    <t>Burns, GB; Frank-Kamenetsky, AV; Tinsley, BA; French, WJR; Grigioni, P; Camporeale, G; Bering, EA</t>
  </si>
  <si>
    <t>Burns, G. B.; Frank-Kamenetsky, A. V.; Tinsley, B. A.; French, W. J. R.; Grigioni, P.; Camporeale, G.; Bering, E. A.</t>
  </si>
  <si>
    <t>Atmospheric Global Circuit Variations from Vostok and Concordia Electric Field Measurements</t>
  </si>
  <si>
    <t>GEOELECTRIC FIELD; DOME C; STATION</t>
  </si>
  <si>
    <t>Atmospheric electric field measurements from the Concordia station on the Antarctic Plateau are compared with those from Vostok 560 km away) for the period of overlap 2009-11) and to Carnegie 1915-29) and extended Vostok 2006-11) measurements. The Antarctic data are sorted according to several sets of criteria for rejecting local variability to examine a local summer-noon influence on the measurements and to improve estimates of the global signal. The contribution of the solar wind influence is evaluated and removed from the Vostok and Concordia measurements. Simultaneous measurements yield days when the covariability of the electric field measurements at Concordia and Vostok exceeds 90%, as well as intervals when significant local variability is apparent. Days of simultaneous changes in shape and mean level of the diurnal variation, as illustrated in a 5-day sequence, can be interpreted as due to changes in the relative upward current output of the electrified cloud generators predominating at low latitudes. Smaller average local meteorological influences are removed from the larger Vostok dataset, revealing changes in the shape of monthly average diurnal variations, which are similarly attributed to changes in predominantly low-latitude convection from month to month.</t>
  </si>
  <si>
    <t>[Burns, G. B.; French, W. J. R.] Australian Govt, Australian Antarctic Div, Kingston, Tas, Australia; [Frank-Kamenetsky, A. V.] Arctic &amp; Antarctic Res Inst, St Petersburg, Russia; [Tinsley, B. A.] Univ Texas Dallas, Richardson, TX 75083 USA; [Grigioni, P.] ENEA, Casaccia Res Ctr, Rome, Italy; [Camporeale, G.] ENEA, Brindisi Res Ctr, Brindisi, Italy; [Bering, E. A.] Univ Houston, Houston, TX USA; [Burns, G. B.] Univ Tasmania, Hobart, Tas, Australia</t>
  </si>
  <si>
    <t>Australian Antarctic Division; Arctic &amp; Antarctic Research Institute; University of Texas System; University of Texas Dallas; Italian National Agency New Technical Energy &amp; Sustainable Economics Development; Italian National Agency New Technical Energy &amp; Sustainable Economics Development; University of Houston System; University of Houston; University of Tasmania</t>
  </si>
  <si>
    <t>Tinsley, BA (corresponding author), Univ Texas Dallas, Richardson, TX 75083 USA.</t>
  </si>
  <si>
    <t>tinsley@utdallas.edu</t>
  </si>
  <si>
    <t>Grigioni, paolo/AAH-5193-2020</t>
  </si>
  <si>
    <t>French, John/0000-0001-9305-6190; Camporeale, Giuseppe/0000-0001-5659-3966</t>
  </si>
  <si>
    <t>National Science Foundation [AGS0855351]; PNRA; ENEA</t>
  </si>
  <si>
    <t>National Science Foundation(National Science Foundation (NSF)); PNRA; ENEA(ENEA, Italy)</t>
  </si>
  <si>
    <t>This research was approved by the Australian Antarctic Science Advisory Committee (AAS 974). It is supported by the National Science Foundation (Award AGS0855351 to the University of Texas at Dallas). Measurements of the atmospheric electric field and AWS data at Vostok station are obtained in the framework of the Russian Federal Program: World Ocean: Study and Research in Antarctica: Determination of Changes in the Antarctic Environment: Environmental Monitoring. The Vostok measurements were collected by specialists of the Russian Antarctic program. The Concordia electric field data collection was approved by IPEV/PNRA via Electricite Atmospherique DC 33 N.'' Concordia meteorological data were provided by IPEV/PNRA project Routine Meteorological Observations at Station Concordia,'' which is financially supported by PNRA through collaboration with ENEA. Lloyd Symons, Peter Jansen, and Eric King (deceased), Australian Antarctic Division, contributed to the design, development, testing, and deployment of the electric field mill instrumentation. Solar wind parameters and magnetic coordinates were obtained from the National Space Science Data Center OMNIWeb database (http://omniweb.gsfc.nasa.gov/form/omni_min.html) and the auroral indices from the linked access to the World Data Centre for Geomagnetism, Kyoto (http://wdc.kugi.kyoto-u.ac.jp/aeasy/index.html). Daniel Weimer's models were obtained via the CEDAR database.</t>
  </si>
  <si>
    <t>10.1175/JAS-D-16-0159.1</t>
  </si>
  <si>
    <t>ES2CC</t>
  </si>
  <si>
    <t>WOS:000399332300004</t>
  </si>
  <si>
    <t>Huang, XX; Stärz, M; Gohl, K; Knorr, G; Lohmann, G</t>
  </si>
  <si>
    <t>Huang, Xiaoxia; Staerz, Michael; Gohl, Karsten; Knorr, Gregor; Lohmann, Gerrit</t>
  </si>
  <si>
    <t>Impact of Weddell Sea shelf progradation on Antarctic bottom water formation during the Miocene</t>
  </si>
  <si>
    <t>ATMOSPHERIC CARBON-DIOXIDE; ICE-SHEET EXPANSION; OCEAN CIRCULATION CHANGES; MIDDLE MIOCENE; ISOTOPE STRATIGRAPHY; CLIMATIC TRANSITION; GROUNDING EVENTS; SOUTHERN-OCEAN; ROSS SEA; VARIABILITY</t>
  </si>
  <si>
    <t>The Weddell Sea is a main location of bottom water formation and, thus, an important component of global ocean circulation. In this study we examine the ocean and climatic responses to a shelf progradation induced by ice sheet advance and glacially transported sediments during the Miocene, using a general circulation model. Our investigations show that relative to a Miocene standard bathymetry, a farther southerly placed shelf break, as reconstructed in a state-of-the-art bathymetry for the Weddell Sea, enables enhanced Antarctic Bottom Water (AABW) formation and gyre transport during the middle Miocene for both relatively high and low atmospheric CO2 concentrations. Furthermore, CO2 sensitivity experiments show that an atmospheric CO2 decline for a setup with the southerly placed shelf break of a new bathymetry has only a minor impact on AABW formation, while the standard setup shows an increase. In combination, these impacts may explain the pronounced deep water formation in the southern high latitudes from the middle Miocene to the late Miocene.</t>
  </si>
  <si>
    <t>[Huang, Xiaoxia; Staerz, Michael; Gohl, Karsten; Knorr, Gregor; Lohmann, Gerrit] Helmholtz Ctr Marine &amp; Polar Res, Alfred Wegener Inst, Bremerhaven, Germany</t>
  </si>
  <si>
    <t>Huang, XX; Stärz, M (corresponding author), Helmholtz Ctr Marine &amp; Polar Res, Alfred Wegener Inst, Bremerhaven, Germany.</t>
  </si>
  <si>
    <t>Xiaoxia.huang@awi.de; michael.staerz@awi.de</t>
  </si>
  <si>
    <t>Lohmann, Gerrit/M-7453-2016</t>
  </si>
  <si>
    <t>Lohmann, Gerrit/0000-0003-2089-733X; Knorr, Gregor/0000-0002-8317-5046; Huang, Xiaoxia/0000-0002-9978-5404; Gohl, Karsten/0000-0002-9558-2116; Starz, Michael/0000-0003-0236-5305</t>
  </si>
  <si>
    <t>Alfred Wegener Institute</t>
  </si>
  <si>
    <t>X. Huang and M. Starz made equal contributions to the study. The authors would like to thank the masters, crews, and seismic teams of the many ship expeditions to the Weddell Sea who made the acquisition of the seismic data used in this study possible. Comments by Torsten Bickert improved the manuscript. This study has primarily been supported through institutional funds of the Alfred Wegener Institute through Work Package 3.2 of its research program PACES-II. Data from this study are available through the NOAA NCDC online database (https://www.ncdc.noaa.gov), and additional data may be obtained from X.H. (Xiaoxia.huang@awi.de).</t>
  </si>
  <si>
    <t>10.1002/2016PA002987</t>
  </si>
  <si>
    <t>ES3SJ</t>
  </si>
  <si>
    <t>WOS:000399449100005</t>
  </si>
  <si>
    <t>Szilo, J; Bialik, RJ</t>
  </si>
  <si>
    <t>Szilo, Joanna; Bialik, Robert J.</t>
  </si>
  <si>
    <t>Bedload transport in two creeks at the ice-free area of the Baranowski Glacier, King George Island, West Antarctica</t>
  </si>
  <si>
    <t>POLISH POLAR RESEARCH</t>
  </si>
  <si>
    <t>Antarctica; South Shetlands; ecohydraulics; proglacial hydrology; sediment transport</t>
  </si>
  <si>
    <t>SEDIMENT TRANSPORT; SCOTT RIVER; SPITSBERGEN; CATCHMENT; DYNAMICS; SVALBARD; CAP; CHANNELS; RETREAT; RUNOFF</t>
  </si>
  <si>
    <t>This paper presents a unique case study and methodology for measurements of the bedload transport in the two, newly created troughs at the forefield of the Baranowski Glacier: Fosa and Siodlo creeks. The weather conditions and the granulometric analysis are presented and discussed briefly. Rating curves for the Fosa and Siodlo creeks are presented for the first time for this region. Changes of the bedload transport as well as water discharge and water velocity at both creeks are investigated. The hysteresis for the relationships between rate of bedload transport and water discharges were identified showing that for both creeks for the higher water levels a figure of eight loop may be easily recognized. Moreover, a new method for the calculation of bedload transport rate, based on the weighted arithmetic mean instead of the arithmetic mean, is proposed.</t>
  </si>
  <si>
    <t>[Szilo, Joanna; Bialik, Robert J.] Polish Acad Sci, Inst Geophys, Ul Ksiecia Janusza 64, PL-01452 Warsaw, Poland; [Bialik, Robert J.] Polish Acad Sci, Inst Biochem &amp; Biophys, Ul Pawinskiego 5a, PL-02106 Warsaw, Poland</t>
  </si>
  <si>
    <t>Bialik, RJ (corresponding author), Polish Acad Sci, Inst Geophys, Ul Ksiecia Janusza 64, PL-01452 Warsaw, Poland.;Bialik, RJ (corresponding author), Polish Acad Sci, Inst Biochem &amp; Biophys, Ul Pawinskiego 5a, PL-02106 Warsaw, Poland.</t>
  </si>
  <si>
    <t>jszilo@igf.edu.pl; rbialik@ibb.waw.pl</t>
  </si>
  <si>
    <t>Bialik, Robert/0000-0002-0254-6352</t>
  </si>
  <si>
    <t>Leading National Research Centre (KNOW)</t>
  </si>
  <si>
    <t>The publication has been partially financed from the funds of the Leading National Research Centre (KNOW) received by the Centre for Polar Studies for the period 2014-2018. We are grateful to Waldemar Kociuba for the loan of the equipment that we used in our field works. The data used in the paper were collected based at the Arctowski Polish Antarctic Station. We thank the two anonymous reviewers for their constructive remarks.</t>
  </si>
  <si>
    <t>POLISH ACAD SCIENCES</t>
  </si>
  <si>
    <t>WARSZAWA</t>
  </si>
  <si>
    <t>PL DEFILAD 1, WARSZAWA, 00000, POLAND</t>
  </si>
  <si>
    <t>0138-0338</t>
  </si>
  <si>
    <t>2081-8262</t>
  </si>
  <si>
    <t>POL POLAR RES</t>
  </si>
  <si>
    <t>Pol. Polar. Res.</t>
  </si>
  <si>
    <t>10.1515/popore-2017-0003</t>
  </si>
  <si>
    <t>ES0XP</t>
  </si>
  <si>
    <t>WOS:000399252800002</t>
  </si>
  <si>
    <t>Kellmann-Sopyla, W; Koc, J; Gorecki, RJ; Domaciuk, M; Gielwanowska, I</t>
  </si>
  <si>
    <t>Kellmann-Sopyla, Wioleta; Koc, Justyna; Gorecki, Ryszard J.; Domaciuk, Marcin; Gielwanowska, Irena</t>
  </si>
  <si>
    <t>Development of generative structures of polar Caryophyllaceae plants: the Arctic Cerastium alpinum and Silene involucrata, and the Antarctic Colobanthus quitensis</t>
  </si>
  <si>
    <t>Antarctic; Arctic; cleistogamous flowers; chasmogamous flowers; seeds; Colobanthus quitensis; Cerastium alpinum; Silene involucrata; pollen grains</t>
  </si>
  <si>
    <t>KING GEORGE ISLAND; SEED BANK; SOUTH SHETLAND; REPRODUCTION; GROWTH; L.; ESTABLISHMENT; GERMINATION; STRATEGIES; APOMIXIS</t>
  </si>
  <si>
    <t>The embryology of three polar flowering plants of the family Caryophyllaceae was studied using the methods and techniques of the light, normal and fluorescence microscopes, and the electron microscopes, scanning and transmission. The analyzed species were Colobanthus quitensis of West Antarctic (King George Island, South Shetlands Islands) as well as Cerastium alpinum and Silene involucrata of the Arctic (Spitsbergen, Svalbard). In all evaluated species, flowering responses were adapted to the short Arctic and Australian summer, and adaptations to autogamy and anemogamy were also observed. The microsporangia of the analyzed plants produced small numbers of microspore mother cells that were differentiated into a dozen or dozens of trinucleate pollen grains. The majority of mature pollen grains remained inside microsporangia and germinated in the thecae. The monosporous Polygonum type (the most common type in angiosperms) of embryo sac development was observed in the studied species. The egg apparatus had an egg cell and two synergids with typical polarization. A well-developed filiform apparatus was differentiated in the micropylar end of the synergids. In mature diaspores of the analyzed plants of the family Caryophyllaceae, a large and peripherally located embryo was, in most part, adjacent to perisperm cells filled with reserve substances, whereas the radicle was surrounded by micropylar endosperm composed of a single layer of cells with thick, intensely stained cytoplasm, organelles and reserve substances. The testae of the analyzed plants were characterized by species-specific primary and secondary sculpture, and they contained large amounts of osmophilic material with varied density. Seeds of C. quitensis, C. alpinum and S. involucrata are very small, light and compact shaped.</t>
  </si>
  <si>
    <t>[Kellmann-Sopyla, Wioleta; Koc, Justyna; Gorecki, Ryszard J.; Gielwanowska, Irena] Univ Warmia &amp; Mazury, Dept Plant Physiol Genet &amp; Biotechnol, Oczapowskiego 1A, PL-10719 Olsztyn, Poland; [Gielwanowska, Irena] Inst Biochem &amp; Biophys PAS, Dept Antarctic Biol, Pawinskiego 5a, PL-02106 Warsaw, Poland; [Gielwanowska, Irena] Inst Biochem &amp; Biophys PAS, Polish Antarctic H Arctowski Stn, Pawinskiego 5a, PL-02106 Warsaw, Poland; [Domaciuk, Marcin] Marie Curie Sklodowska Univ, Dept Plant Anat &amp; Cytol, Akad 19, PL-20033 Lublin, Poland</t>
  </si>
  <si>
    <t>University of Warmia &amp; Mazury; Polish Academy of Sciences; Institute of Biochemistry &amp; Biophysics - Polish Academy of Sciences; Polish Academy of Sciences; Institute of Biochemistry &amp; Biophysics - Polish Academy of Sciences; Maria Curie-Sklodowska University</t>
  </si>
  <si>
    <t>Gielwanowska, I (corresponding author), Univ Warmia &amp; Mazury, Dept Plant Physiol Genet &amp; Biotechnol, Oczapowskiego 1A, PL-10719 Olsztyn, Poland.;Gielwanowska, I (corresponding author), Inst Biochem &amp; Biophys PAS, Dept Antarctic Biol, Pawinskiego 5a, PL-02106 Warsaw, Poland.;Gielwanowska, I (corresponding author), Inst Biochem &amp; Biophys PAS, Polish Antarctic H Arctowski Stn, Pawinskiego 5a, PL-02106 Warsaw, Poland.</t>
  </si>
  <si>
    <t>i.gielwanowska@uwm.edu.pl</t>
  </si>
  <si>
    <t>Gorecki, Ryszard/0000-0002-6751-3340; Gielwanowska, Irena/0000-0002-9001-1285</t>
  </si>
  <si>
    <t>POLSKA AKAD NAUK, POLISH ACAD SCIENCES</t>
  </si>
  <si>
    <t>PL DEFILAD 1, WARSZAWA, 00-901, POLAND</t>
  </si>
  <si>
    <t>10.1515/popore-2017-0001</t>
  </si>
  <si>
    <t>WOS:000399252800005</t>
  </si>
  <si>
    <t>Alves, MPA; Silveira, RB; Minuzzi, RB; Franke, AE</t>
  </si>
  <si>
    <t>Alves, Maikon Passos A.; Silveira, Rafael Brito; Minuzzi, Rosandro Boligon; Franke, Alberto Elvino</t>
  </si>
  <si>
    <t>The Influence of the Antarctic Oscillation (AAO) on Cold Waves and Occurrence of Frosts in the State of Santa Catarina, Brazil</t>
  </si>
  <si>
    <t>CLIMATE</t>
  </si>
  <si>
    <t>cold waves; frost; winter; Antarctic Oscillation; Santa Catarina; Brazil</t>
  </si>
  <si>
    <t>AIR OUTBREAKS; CLASSIFICATION; MORTALITY; EUROPE</t>
  </si>
  <si>
    <t>This paper examines the relationship between the Antarctic Oscillation (AAO), cold waves and occurrence of frosts in the state of Santa Catarina, Brazil, during the winter quarter. Research on this topic can assist different spheres of society, such as public health and agriculture, since cold waves can influence and/or aggravate health problems and frosts can inflict economic losses especially in the agricultural sector. For the purpose of this paper, cold wave is considered as the event in which the daily average surface air temperature was at least two standard deviations below the average value of the series on the day and for two consecutive days or more. The data on the average air temperature and frost occurrences are provided by the Company of Agricultural Research and Rural Extension of Santa Catarina/Center for Environmental Information and Hydrometeorology (EPAGRI/CIRAM). The AAO was subjected to statistical analysis using significance tests for the averages (Student's t-test) and variances (F-test) with a significance level of = 5%. The results show that cold waves are unevenly distributed in the agroecological zones of Santa Catarina. It is found that the AAO is associated with the occurrence of frosts (in the agroecological zones represented by the municipalities of Itajai and SAo Jose) in the state of Santa Catarina.</t>
  </si>
  <si>
    <t>[Alves, Maikon Passos A.; Silveira, Rafael Brito; Franke, Alberto Elvino] Univ Fed Santa Catarina, Appl Climatol Lab LabClima, BR-88040900 Florianopolis, SC, Brazil; [Minuzzi, Rosandro Boligon] Univ Fed Santa Catarina, Agr Climatol Lab Labclimagri, Admar Gonzaga Str, BR-88034000 Florianopolis, SC, Brazil</t>
  </si>
  <si>
    <t>Universidade Federal de Santa Catarina (UFSC); Universidade Federal de Santa Catarina (UFSC)</t>
  </si>
  <si>
    <t>Alves, MPA (corresponding author), Univ Fed Santa Catarina, Appl Climatol Lab LabClima, BR-88040900 Florianopolis, SC, Brazil.</t>
  </si>
  <si>
    <t>maiconpassos@gmail.com; rafaelbsilveirageo@gmail.com; rbminuzzi@hotmail.com; alberto.franke@ufsc.br</t>
  </si>
  <si>
    <t>Brito Silveira, Rafael/0000-0002-7062-3540</t>
  </si>
  <si>
    <t>2225-1154</t>
  </si>
  <si>
    <t>Climate</t>
  </si>
  <si>
    <t>10.3390/cli5010017</t>
  </si>
  <si>
    <t>ER3LN</t>
  </si>
  <si>
    <t>WOS:000398698500016</t>
  </si>
  <si>
    <t>Zeng, C; Zeng, T; Fischer, AM; Xu, HP</t>
  </si>
  <si>
    <t>Zeng, Chen; Zeng, Tao; Fischer, Andrew M.; Xu, Huiping</t>
  </si>
  <si>
    <t>Fluorescence-Based Approach to Estimate the Chlorophyll-A Concentration of a Phytoplankton Bloom in Ardley Cove (Antarctica)</t>
  </si>
  <si>
    <t>chlorophyll-a estimation; fluorescence approach; King George Island; phytoplankton bloom</t>
  </si>
  <si>
    <t>INHERENT OPTICAL-PROPERTIES; SOUTHERN-OCEAN; SEA-ICE; PRIMARY PRODUCTIVITY; COLOR; MODEL; REFLECTANCE; VALIDATION; ALGORITHMS; RETRIEVAL</t>
  </si>
  <si>
    <t>A phytoplankton bloom occurred in Ardley Cove, King George Island in January 2016, during which maximum chlorophyll-a reached 9.87 mg/m(3). Records show that blooms have previously not occurred in this area prior to 2010 and the average chlorophyll-a concentration between 1991 and 2009 was less than 2 mg/m(3). Given the lack of in situ measurements and the poor performance of satellite algorithms in the Southern Ocean and Antarctic waters, we validate and assess several chlorophyll-a algorithms and apply an improved baseline fluorescence approach to examine this bloom event. In situ water properties including in vivo fluorescence, water leaving radiance, and solar irradiance were collected to evaluate satellite algorithms and characterize chlorophyll-a concentration, as well as dominant phytoplankton groups. The results validated the nFLH fluorescence baseline approach, resulting in a good agreement at this high latitude, high chlorophyll-a region with correlation at 59.46%. The dominant phytoplankton group within the bloom was micro-phytoplankton, occupying 79.58% of the total phytoplankton community. Increasing sea ice coverage and sea ice concentration are likely responsible for increasing phytoplankton blooms in the recent decade. Given the profound influence of climate change on sea-ice and phytoplankton dynamics in the region, it is imperative to develop accurate methods of estimating the spatial distribution and concentrations of the increasing occurrence of bloom events.</t>
  </si>
  <si>
    <t>[Zeng, Chen] Tongji Univ, Sch Ocean &amp; Earth Sci, Shanghai 200092, Peoples R China; [Zeng, Chen] Univ British Columbia, Dept Earth Ocean &amp; Atmospher Sci, Vancouver, BC V6T 1Z4, Canada; [Zeng, Tao] Natl Satellite Ocean Applicat Serv State Ocean Ad, Beijing 100081, Peoples R China; [Zeng, Tao] Key Lab Space Ocean Remote Sensing &amp; Applicat Sta, Beijing 100081, Peoples R China; [Fischer, Andrew M.] Univ Tasmania, Inst Marine &amp; Antarctic Studies, Launceston, Tas 7250, Australia; [Xu, Huiping] Chinese Acad Sci, Inst Deep Sea Sci &amp; Engn, Sanya 572000, Peoples R China</t>
  </si>
  <si>
    <t>Tongji University; University of British Columbia; University of Tasmania; Chinese Academy of Sciences; Institute of Deep-Sea Science &amp; Engineering, CAS</t>
  </si>
  <si>
    <t>Zeng, C (corresponding author), Tongji Univ, Sch Ocean &amp; Earth Sci, Shanghai 200092, Peoples R China.;Zeng, C (corresponding author), Univ British Columbia, Dept Earth Ocean &amp; Atmospher Sci, Vancouver, BC V6T 1Z4, Canada.</t>
  </si>
  <si>
    <t>07zengchen@tongji.edu.cn; ztao10@mail.nsoas.org.cn; andy.fischer@utas.edu.au; xuhp@idsse.ac.cn</t>
  </si>
  <si>
    <t>Fischer, Andrew/0000-0001-5284-6428</t>
  </si>
  <si>
    <t>Chinese Polar Environment Comprehensive Investigation &amp; Assessment Programs [CHINARE2015-02-04, CHINARE2016-02-04]; China Scholarship Council (CSC)</t>
  </si>
  <si>
    <t>Chinese Polar Environment Comprehensive Investigation &amp; Assessment Programs; China Scholarship Council (CSC)(China Scholarship Council)</t>
  </si>
  <si>
    <t>Our research work was supported by the Chinese Polar Environment Comprehensive Investigation &amp; Assessment Programs (CHINARE2015-02-04 and CHINARE2016-02-04). Satellite Ocean Color data was provided by NASA Goddard Space Flight Center, Ocean Ecology Laboratory, Ocean Biology Processing Group. Analyses and visualizations used in this study were produced with the Giovanni online data system, developed and maintained by the NASA GES DISC. The support provided by China Scholarship Council (CSC) during a visit by Chen Zeng to UBC is acknowledged. We would also like to appreciate the hard work and time of the anonymous reviewers.</t>
  </si>
  <si>
    <t>10.3390/rs9030210</t>
  </si>
  <si>
    <t>ER3SZ</t>
  </si>
  <si>
    <t>gold, Green Accepted, Green Published, Green Submitted</t>
  </si>
  <si>
    <t>WOS:000398720100024</t>
  </si>
  <si>
    <t>Demidov, NE; Lukin, VV</t>
  </si>
  <si>
    <t>Demidov, N. E.; Lukin, V. V.</t>
  </si>
  <si>
    <t>Antarctica as a Testing Ground for Manned Missions to the Moon and Mars</t>
  </si>
  <si>
    <t>SOLAR SYSTEM RESEARCH</t>
  </si>
  <si>
    <t>Antarctica; Vostok Station; Mars; Moon</t>
  </si>
  <si>
    <t>PERMAFROST; ODYSSEY; SOILS</t>
  </si>
  <si>
    <t>This paper is concerned with the study of expedition activity in Antarctica as a part of the search for useful analogies and solutions which can be taken into account in planning manned missions to the Moon and Mars. The following is considered: natural analogies, human factors, station facilities, means of transportation, scientific programs, safety issues, and historical and political analogies. A rationalization is given for the idea of creating a testing ground in Antarctica (stations Vostok, Novolazarevskaya, Jetty Oasis) for ground-based simulation of functioning of a lunar and Martian base.</t>
  </si>
  <si>
    <t>[Demidov, N. E.] Russian Acad Sci, Inst Phys Chem &amp; Biol Problems Soil Sci, Pushchino, Russia; [Demidov, N. E.] Russian Acad Sci, Vernadsky Inst Geochem &amp; Analyt Chem, Moscow, Russia; [Lukin, V. V.] Arctic &amp; Antarctic Res Inst, St Petersburg, Russia</t>
  </si>
  <si>
    <t>Russian Academy of Sciences; Pushchino Scientific Center for Biological Research (PSCBI) of the Russian Academy of Sciences; Institute of Physicohemical &amp; Biological Problems of Soil Science; Russian Academy of Sciences; Vernadsky Institute of Geochemistry &amp; Analytical Chemistry; Arctic &amp; Antarctic Research Institute</t>
  </si>
  <si>
    <t>Demidov, NE (corresponding author), Russian Acad Sci, Inst Phys Chem &amp; Biol Problems Soil Sci, Pushchino, Russia.;Demidov, NE (corresponding author), Russian Acad Sci, Vernadsky Inst Geochem &amp; Analyt Chem, Moscow, Russia.</t>
  </si>
  <si>
    <t>nikdemidov@mail.ru</t>
  </si>
  <si>
    <t>Russian Foundation for Basic Research [16-35-50065-mol_nr, 14-05-00548-a]</t>
  </si>
  <si>
    <t>This work is supported by the Russian Foundation for Basic Research, grants no. 16-35-50065-mol_nr and 14-05-00548-a.</t>
  </si>
  <si>
    <t>0038-0946</t>
  </si>
  <si>
    <t>1608-3423</t>
  </si>
  <si>
    <t>SOLAR SYST RES+</t>
  </si>
  <si>
    <t>Solar Syst. Res.</t>
  </si>
  <si>
    <t>10.1134/S0038094617020022</t>
  </si>
  <si>
    <t>ER6QS</t>
  </si>
  <si>
    <t>WOS:000398932100002</t>
  </si>
  <si>
    <t>Labuz, JM; Moraes, C; Mertz, DR; Leung, BM; Takayama, S</t>
  </si>
  <si>
    <t>Labuz, Joseph M.; Moraes, Christopher; Mertz, David R.; Leung, Brendan M.; Takayama, Shuichi</t>
  </si>
  <si>
    <t>Building an experimental model of the human body with non-physiological parameters</t>
  </si>
  <si>
    <t>TECHNOLOGY</t>
  </si>
  <si>
    <t>Human on a Chip; Organ on a Chip; Microfluidics; Oxygen Conformance; Metabolic Scaling; C. aceratus</t>
  </si>
  <si>
    <t>ON-A-CHIP; IN-VITRO; METABOLIC-RATE; CELL-CULTURE; BLOOD-FLOW; ANTARCTIC FISHES; CARDIAC-OUTPUT; OXYGEN; HEMOGLOBIN; ORGANS</t>
  </si>
  <si>
    <t>New advances in engineering and biomedical technology have enabled recent efforts to capture essential aspects of human physiology in microscale, in-vitro systems. The application of these advances to experimentally model complex processes in an integrated platform - commonly called a 'human-on-a-chip ( HOC)' - requires that relevant compartments and parameters be sized correctly relative to each other and to the system as a whole. Empirical observation, theoretical treatments of resource distribution systems and natural experiments can all be used to inform rational design of such a system, but technical and fundamental challenges (e.g. small system blood volumes and context-dependent cell metabolism, respectively) pose substantial, unaddressed obstacles. Here, we put forth two fundamental principles for HOC design: inducing in-vivo-like cellular metabolic rates is necessary and may be accomplished in-vitro by limiting O-2 availability and that the effects of increased blood volumes on drug concentration can be mitigated through pharmacokinetics-based treatments of solute distribution. Combining these principles with natural observation and engineering workarounds, we derive a complete set of design criteria for a practically realizable, physiologically faithful, five-organ millionth-scale (x 10(-6)) microfl uidic model of the human body.</t>
  </si>
  <si>
    <t>[Labuz, Joseph M.; Mertz, David R.; Takayama, Shuichi] Univ Michigan, Dept Biomed Engn, Coll Engn, 2200 Bonisteel Blvd, Ann Arbor, MI 48109 USA; [Labuz, Joseph M.; Mertz, David R.; Takayama, Shuichi] Univ Michigan, Sch Med, 2200 Bonisteel Blvd, Ann Arbor, MI 48109 USA; [Labuz, Joseph M.; Mertz, David R.; Takayama, Shuichi] Univ Michigan, Biointerfaces Inst, 2800 Plymouth Rd,North Campus Res Complex NCRC, Ann Arbor, MI 48109 USA; [Moraes, Christopher] McGill Univ, Fac Engn, Dept Chem Engn, 3610 Univ St, Montreal, PQ H3A 0C5, Canada; [Leung, Brendan M.] Dalhousie Univ, Fac Dent, Dept Appl Oral Sci, 5981 Univ Ave, Halifax, NS B3H 4R2, Canada; [Leung, Brendan M.] Dalhousie Univ, Fac Med, Sch Biomed Engn, 5981 Univ Ave, Halifax, NS B3H 4R2, Canada; [Leung, Brendan M.] Dalhousie Univ, Fac Engn, Sch Biomed Engn, 5981 Univ Ave, Halifax, NS B3H 4R2, Canada; [Takayama, Shuichi] Univ Michigan, Coll Engn, Macromol Sci &amp; Engn Ctr, 2300 Hayward St, Ann Arbor, MI 48109 USA; [Takayama, Shuichi] Univ Michigan, Michigan Ctr Integrat Res Crit Care, Ann Arbor, MI 48109 USA</t>
  </si>
  <si>
    <t>University of Michigan System; University of Michigan; University of Michigan System; University of Michigan; University of Michigan System; University of Michigan; McGill University; Dalhousie University; Dalhousie University; Dalhousie University; University of Michigan System; University of Michigan; University of Michigan System; University of Michigan</t>
  </si>
  <si>
    <t>Takayama, S (corresponding author), Univ Michigan, Dept Biomed Engn, Coll Engn, 2200 Bonisteel Blvd, Ann Arbor, MI 48109 USA.;Takayama, S (corresponding author), Univ Michigan, Sch Med, 2200 Bonisteel Blvd, Ann Arbor, MI 48109 USA.;Takayama, S (corresponding author), Univ Michigan, Biointerfaces Inst, 2800 Plymouth Rd,North Campus Res Complex NCRC, Ann Arbor, MI 48109 USA.;Takayama, S (corresponding author), Univ Michigan, Coll Engn, Macromol Sci &amp; Engn Ctr, 2300 Hayward St, Ann Arbor, MI 48109 USA.;Takayama, S (corresponding author), Univ Michigan, Michigan Ctr Integrat Res Crit Care, Ann Arbor, MI 48109 USA.</t>
  </si>
  <si>
    <t>takayama@umich.edu</t>
  </si>
  <si>
    <t>Takayama, Shuichi/A-1304-2007</t>
  </si>
  <si>
    <t>Mertz, David/0000-0003-0259-5696</t>
  </si>
  <si>
    <t>Defense Threat Reduction Agency (DTRA) under Space and Naval Warfare Systems Center Pacific (SSC PACIFIC) [N66001-13-C-2027]; University of Michigan Tissue Engineering and Regenerative Medicine Training Program (NIH) [T32-DE007057]; U.S. Department of Education GAANN fellowship; University of Michigan Microfluidics in Biomedical Sciences Training Program (NIH) [T32 EB005582-05]; Natural Sciences and Engineering Research Council of Canada; Banting postdoctoral fellowship program</t>
  </si>
  <si>
    <t>Defense Threat Reduction Agency (DTRA) under Space and Naval Warfare Systems Center Pacific (SSC PACIFIC); University of Michigan Tissue Engineering and Regenerative Medicine Training Program (NIH); U.S. Department of Education GAANN fellowship(US Department of Education); University of Michigan Microfluidics in Biomedical Sciences Training Program (NIH); Natural Sciences and Engineering Research Council of Canada(Natural Sciences and Engineering Research Council of Canada (NSERC)CGIAR); Banting postdoctoral fellowship program</t>
  </si>
  <si>
    <t>The authors gratefully acknowledge funding by the Defense Threat Reduction Agency (DTRA) under Space and Naval Warfare Systems Center Pacific (SSC PACIFIC) Contract No. N66001-13-C-2027. The content is solely the responsibility of the authors and does not necessarily represent the official views of the awarding agency. JML gratefully acknowledges support from the University of Michigan Tissue Engineering and Regenerative Medicine Training Program (NIH T32-DE007057), a U.S. Department of Education GAANN fellowship, and the University of Michigan Microfluidics in Biomedical Sciences Training Program (NIH T32 EB005582-05). CM gratefully acknowledges support from the Natural Sciences and Engineering Research Council of Canada and the Banting postdoctoral fellowship program.</t>
  </si>
  <si>
    <t>2339-5478</t>
  </si>
  <si>
    <t>2345-7740</t>
  </si>
  <si>
    <t>Technology</t>
  </si>
  <si>
    <t>10.1142/S2339547817500029</t>
  </si>
  <si>
    <t>Engineering, Multidisciplinary</t>
  </si>
  <si>
    <t>ER9QY</t>
  </si>
  <si>
    <t>WOS:000399162600005</t>
  </si>
  <si>
    <t>Glatzel, G; Richter, H; Devkota, MP; Amico, G; Lee, S; Lin, R; Grabner, M; Barlow, BA</t>
  </si>
  <si>
    <t>Glatzel, Gerhard; Richter, Hanno; Devkota, Mohan Prasad; Amico, Guillermo; Lee, Sugwang; Lin, Ruozhu; Grabner, Michael; Barlow, Bryan A.</t>
  </si>
  <si>
    <t>Foliar habit in mistletoe-host associations</t>
  </si>
  <si>
    <t>BOTANY</t>
  </si>
  <si>
    <t>mistletoe; foliar habit; deciduousness; parasite-host system</t>
  </si>
  <si>
    <t>DECIDUOUS TREES; POLAR FORESTS; WATER-STRESS; LORANTHACEAE; EVERGREEN; CAVITATION; PARASITE; EMBOLISM; QUERCUS; MODES</t>
  </si>
  <si>
    <t>Foliar habit in parasite-host associations of mistletoes and trees is a neglected aspect in the discussion of foliar habit of woody plants. Almost all of the world's mistletoe species are evergreen, regardless of the foliar habit of their hosts. Deciduous mistletoes are rare and confined to the northern fringes of Loranthaceae in Eurasia, and to Misodendraceae and the monotypic genus Desmaria (Loranthaceae) in southern South America. There are no deciduous mistletoes in the tropics and subtropics. Based on existing information and hypotheses on foliar habit, we asked why the majority of mistletoe species is evergreen, even on deciduous hosts, and why seasonality is apparently no driver for the evolution of deciduousness in parasite-host systems. We postulate that nutrient conservation is the main driver for evergreenness in mistletoes. Based on our own observations of wood anatomy in the host-haustorium-mistletoe continuum we hypothesize that the phenomenon of deciduousness in northerly Loranthus species is a consequence of interrupted water supply in large vessels after frost. In South America we could not find a consistent correlation between wood anatomy and deciduousness. We assume that deciduousness in these mistletoes evolved long ago in Antarctic forests under climatic and ecological conditions quite different from today.</t>
  </si>
  <si>
    <t>[Glatzel, Gerhard] Austrian Acad Sci, KIOES, Dr Ignaz Seipel Pl 2, A-1010 Vienna, Austria; [Richter, Hanno] UNI BOKU Vienna, Gregor Mendel Str 33, A-1180 Vienna, Austria; [Devkota, Mohan Prasad] Tribhuvan Univ, Amrit Campus,POB 102, Kathmandu, Nepal; [Amico, Guillermo] Univ Nacl Comahue, CONICET, INIBIOMA, Lab Ecotono, Quintral 1250, RA-8400 San Carlos De Bariloche, Rio Negro, Argentina; [Lee, Sugwang] Natl Inst Forest Sci, Dept Forest Genet Resources, Suwon 441350, South Korea; [Lin, Ruozhu] Chinese Acad Forestry, Res Inst Forest Ecol Environm &amp; Protect, Beijing, Peoples R China; [Grabner, Michael] Univ Nat Resources &amp; Life Sci BOKU, Inst Wood Technol &amp; Renewable Resources, A-3430 Vienna, Tulln An Der Do, Austria; [Barlow, Bryan A.] 40-15 Burnie St, Woden, ACT 2606, Australia</t>
  </si>
  <si>
    <t>Austrian Academy of Sciences; BOKU University; Tribhuvan University; Universidad Nacional del Comahue; Consejo Nacional de Investigaciones Cientificas y Tecnicas (CONICET); National Institute of Forest Science (NIFOS), Republic of South Korea; Korea Forest Research Institute (KFRI); Chinese Academy of Forestry; Research Institute of Forest Ecology, Environment and Protection, CAF; BOKU University</t>
  </si>
  <si>
    <t>Glatzel, G (corresponding author), Austrian Acad Sci, KIOES, Dr Ignaz Seipel Pl 2, A-1010 Vienna, Austria.</t>
  </si>
  <si>
    <t>gerhard.glatzel@oeaw.ac.at</t>
  </si>
  <si>
    <t>Amico, Guillermo C c/HGD-9402-2022</t>
  </si>
  <si>
    <t>Amico, Guillermo/0000-0002-3709-3111</t>
  </si>
  <si>
    <t>CANADIAN SCIENCE PUBLISHING, NRC RESEARCH PRESS</t>
  </si>
  <si>
    <t>1916-2790</t>
  </si>
  <si>
    <t>1916-2804</t>
  </si>
  <si>
    <t>Botany</t>
  </si>
  <si>
    <t>10.1139/cjb-2016-0238</t>
  </si>
  <si>
    <t>EQ6HX</t>
  </si>
  <si>
    <t>WOS:000398183500003</t>
  </si>
  <si>
    <t>Tian, YA; Li, YL; Zhao, FC</t>
  </si>
  <si>
    <t>Tian, Yuan; Li, Yan-Ling; Zhao, Feng-Chun</t>
  </si>
  <si>
    <t>Secondary Metabolites from Polar Organisms</t>
  </si>
  <si>
    <t>natural products; secondary metabolism; structure elucidation; biological activity; biosynthesis; chemical synthesis</t>
  </si>
  <si>
    <t>MARINE NATURAL-PRODUCTS; TUNICATE SYNOICUM-ADAREANUM; FORMAL TOTAL-SYNTHESIS; NUDIBRANCH AUSTRODORIS-KERGUELENENSIS; LICHEN STEREOCAULON-ALPINUM; SPONGE HALICLONA-VISCOSA; SEA DERIVED FUNGUS; STREPTOMYCES-GRISEUS STRAIN; BIOMIMETIC TOTAL-SYNTHESIS; PALMEROLIDE-A SYNTHESIS</t>
  </si>
  <si>
    <t>Polar organisms have been found to develop unique defences against the extreme environment environment, leading to the biosynthesis of novel molecules with diverse bioactivities. This review covers the 219 novel natural products described since 2001, from the Arctic and the Antarctic microoganisms, lichen, moss and marine faunas. The structures of the new compounds and details of the source organism, along with any relevant biological activities are presented. Where reported, synthetic and biosynthetic studies on the polar metabolites have also been included.</t>
  </si>
  <si>
    <t>[Tian, Yuan; Li, Yan-Ling] Taishan Med Univ, Coll Life Sci, Tai An 271016, Shandong, Peoples R China; [Zhao, Feng-Chun] Shandong Agr Univ, Coll Life Sci, Tai An 271018, Shandong, Peoples R China</t>
  </si>
  <si>
    <t>Shandong First Medical University &amp; Shandong Academy of Medical Sciences; Shandong Agricultural University</t>
  </si>
  <si>
    <t>Tian, YA (corresponding author), Taishan Med Univ, Coll Life Sci, Tai An 271016, Shandong, Peoples R China.</t>
  </si>
  <si>
    <t>tianyuan2005hit@163.com; lingl816@163.com; zhaofengchun@126.com</t>
  </si>
  <si>
    <t>Chen, Xupeng/KFA-5959-2024; li, yan/GTI-4638-2022; li, chunyuan/IQW-1618-2023</t>
  </si>
  <si>
    <t>NSFC [21602152, 81403036]; Shandong Provincial Natural Science Foundation [ZR2016BB01, ZR2014HM048]; Shandong Provincial Key Research and Development Program [2016GSF202002]; Shandong Provincial Medical Science and Technology Development Project [2013WS0321]; Taian Science and Technology Development Project [2016NS1214]; Shandong Provincial Education Department Project [J15LM56]; National Undergraduate Training Program for Innovation and Entrepreneurship [201610439263]; Taishan Medical University High-level Development Project [2015GCC15]</t>
  </si>
  <si>
    <t>NSFC(National Natural Science Foundation of China (NSFC)); Shandong Provincial Natural Science Foundation(Natural Science Foundation of Shandong Province); Shandong Provincial Key Research and Development Program; Shandong Provincial Medical Science and Technology Development Project; Taian Science and Technology Development Project; Shandong Provincial Education Department Project; National Undergraduate Training Program for Innovation and Entrepreneurship; Taishan Medical University High-level Development Project</t>
  </si>
  <si>
    <t>The authors express thanks to the people who helped with this work. This work was financed by NSFC grant (21602152, 81403036), Shandong Provincial Natural Science Foundation (ZR2016BB01, ZR2014HM048), Shandong Provincial Key Research and Development Program (2016GSF202002), Shandong Provincial Medical Science and Technology Development Project (2013WS0321), Taian Science and Technology Development Project (2016NS1214), Shandong Provincial Education Department Project (J15LM56), National Undergraduate Training Program for Innovation and Entrepreneurship (201610439263) and Taishan Medical University High-level Development Project (2015GCC15).</t>
  </si>
  <si>
    <t>10.3390/md15030028</t>
  </si>
  <si>
    <t>ER3TA</t>
  </si>
  <si>
    <t>WOS:000398720300001</t>
  </si>
  <si>
    <t>Goosse, H</t>
  </si>
  <si>
    <t>Goosse, Hugues</t>
  </si>
  <si>
    <t>Reconstructed and simulated temperature asymmetry between continents in both hemispheres over the last centuries</t>
  </si>
  <si>
    <t>Past millennium; Continental-scale temperature changes; PAGES 2k reconstructions; Data assimilation; Interhemispheric contrasts</t>
  </si>
  <si>
    <t>CLIMATE FORCING RECONSTRUCTIONS; OCEAN-ATMOSPHERE MODEL; SOUTHERN ANNULAR MODE; NORTH-ATLANTIC OCEAN; DATA ASSIMILATION; INTERHEMISPHERIC ASYMMETRY; ANTARCTIC PENINSULA; PMIP SIMULATIONS; VARIABILITY; MILLENNIUM</t>
  </si>
  <si>
    <t>Available proxy-based temperature reconstructions covering the past millennium display contrasted evolutions between the continents. The difference is particularly large between the two hemispheres. When driven by realistic natural and anthropogenic forcings, climate models tend to simulate a more spatially homogenous temperature response. This is associated with a relatively good agreement between model results and reconstructions in the Northern Hemisphere but a low consistency in the Southern Hemisphere. Here, simulations with data assimilations are performed to analyse the causes of this apparent disagreement. It shows that, when the uncertainties are taken into account, states of the climate system compatible with the forcing estimates, the reconstructions and the model physics can be obtained over the past millennium, except for the twentieth century in Antarctica where the simulated warming is always much larger than in the reconstructions. Such states consistent with all sources of information can be achieved even if the uncertainties of the reconstructions are underestimated. Although, well within the range of the proxy-based reconstructions, the temperatures obtained after data assimilation display more similar developments between the hemispheres than in those reconstructions. Ensuring the compatibility does not require to systematically reduce the model response to the forcing or to strongly enhance the model internal variability. From those results, there is thus no reason to suspect that the model is strongly biased in one aspect or another. The constraint imposed by the data assimilation is too low to unambiguously identify the origin of each feature displayed in the reconstructions but, as expected, changes in atmospheric circulation likely played a role in many of them. Furthermore, ocean heat uptake and release as well as oceanic heat transport are key elements to understand the delayed response of the Southern Hemisphere compared to the northern one during some transitions from warmer to colder states or from colder to warmer ones. The last millennium is thus an interesting test period to better understand and quantify the associated mechanisms.</t>
  </si>
  <si>
    <t>[Goosse, Hugues] Catholic Univ Louvain, Earth &amp; Life Inst, Georges Lemaitre Ctr Earth &amp; Climate Res, Pl Pasteur 3, B-1348 Louvain La Neuve, Belgium</t>
  </si>
  <si>
    <t>Universite Catholique Louvain</t>
  </si>
  <si>
    <t>Goosse, H (corresponding author), Catholic Univ Louvain, Earth &amp; Life Inst, Georges Lemaitre Ctr Earth &amp; Climate Res, Pl Pasteur 3, B-1348 Louvain La Neuve, Belgium.</t>
  </si>
  <si>
    <t>hugues.goosse@uclouvain.be</t>
  </si>
  <si>
    <t>IPO, PAGES/JXY-7546-2024</t>
  </si>
  <si>
    <t>US National Science Foundation; Swiss National Science Foundation; NOAA; F.R.S.-FNRS; Belgian Federal Science Policy Office; Fond de la Recherche Scientifique de Belgique (FRS-FNRS); Division Of Earth Sciences; Directorate For Geosciences [1440015] Funding Source: National Science Foundation</t>
  </si>
  <si>
    <t>US National Science Foundation(National Science Foundation (NSF)); Swiss National Science Foundation(Swiss National Science Foundation (SNSF)); NOAA(National Oceanic Atmospheric Admin (NOAA) - USA); F.R.S.-FNRS(Fonds de la Recherche Scientifique - FNRS); Belgian Federal Science Policy Office(Belgian Federal Science Policy Office); Fond de la Recherche Scientifique de Belgique (FRS-FNRS)(Fonds de la Recherche Scientifique - FNRS); Division Of Earth Sciences; Directorate For Geosciences(National Science Foundation (NSF)NSF - Directorate for Geosciences (GEO))</t>
  </si>
  <si>
    <t>We thank Pierre-Yves Barriat and Francois Klein for their help in the processing of the data and for the figures. The comments of Francois Klein, Kyle Armour and Nerilie Abram greatly contributed to improve the quality of the manuscript. The PAGES2k Network is acknowledged for making available their reconstructions and the PAGES2k and PMIP community for stimulating discussions. PAGES is funded by the US and Swiss National Science Foundations and NOAA, is a core project of Future Earth, and a scientific partner of WCRP. H.G. is Research Director with the Fonds National de la Recherche Scientifique (F.R.S.-FNRS-Belgium). This work is supported by the F.R.S.-FNRS and by the Belgian Federal Science Policy Office (Project Pamexea). Computational resources have been provided by the supercomputing facilities of the Universite catholique de Louvain (CISM/UCL) and the Consortium des Equipements de Calcul Intensif en Federation Wallonie Bruxelles (CECI) funded by the Fond de la Recherche Scientifique de Belgique (FRS-FNRS).</t>
  </si>
  <si>
    <t>10.1007/s00382-016-3154-z</t>
  </si>
  <si>
    <t>EM1EM</t>
  </si>
  <si>
    <t>WOS:000395060900006</t>
  </si>
  <si>
    <t>Graham, FS; Wittenberg, AT; Brown, JN; Marsland, SJ; Holbrook, NJ</t>
  </si>
  <si>
    <t>Graham, Felicity S.; Wittenberg, Andrew T.; Brown, Jaclyn N.; Marsland, Simon J.; Holbrook, Neil J.</t>
  </si>
  <si>
    <t>Understanding the double peaked El Nino in coupled GCMs</t>
  </si>
  <si>
    <t>El Nino evolution; Coupled general circulation model; CMIP5; Cold tongue bias; Climate change</t>
  </si>
  <si>
    <t>SEA-SURFACE TEMPERATURE; CLIMATE-CHANGE PROJECTIONS; OCEAN RECHARGE PARADIGM; EARTH SYSTEM MODEL; WARM-POOL; SOUTHERN-OSCILLATION; ATMOSPHERE FEEDBACKS; COLD-TONGUE; PART III; ENSO</t>
  </si>
  <si>
    <t>Coupled general circulation models (CGCMs) simulate a diverse range of El Nio-Southern Oscillation behaviors. Double peaked El Nio events-where two separate centers of positive sea surface temperature (SST) anomalies evolve concurrently in the eastern and western equatorial Pacific-have been evidenced in Coupled Model Intercomparison Project version 5 CGCMs and are without precedent in observations. The characteristic CGCM double peaked El Nio may be mistaken for a central Pacific warming event in El Nio composites, shifted westwards due to the cold tongue bias. In results from the Australian Community Climate and Earth System Simulator coupled model, we find that the western Pacific warm peak of the double peaked El Nio event emerges due to an excessive westward extension of the climatological cold tongue, displacing the region of strong zonal SST gradients towards the west Pacific. A coincident westward shift in the zonal current anomalies reinforces the western peak in SST anomalies, leading to a zonal separation between the warming effect of zonal advection (in the west Pacific) and that of vertical advection (in the east Pacific). Meridional advection and net surface heat fluxes further drive growth of the western Pacific warm peak. Our results demonstrate that understanding historical CGCM El Nio behaviors is a necessary precursor to interpreting projections of future CGCM El Nio behaviors, such as changes in the frequency of eastern Pacific El Nio events, under global warming scenarios.</t>
  </si>
  <si>
    <t>[Graham, Felicity S.; Holbrook, Neil J.] Univ Tasmania, Inst Marine &amp; Antarctic Studies, Private Bag 129, Hobart, Tas 7001, Australia; [Wittenberg, Andrew T.] NOAA, Geophys Fluid Dynam Lab, Princeton, NJ USA; [Brown, Jaclyn N.] CSIRO, Oceans &amp; Atmosphere, Hobart, Tas, Australia; [Marsland, Simon J.] CSIRO, Oceans &amp; Atmosphere, Aspendale, Vic, Australia; [Holbrook, Neil J.] ARC Ctr Excellence Climate Syst Sci, Hobart, Tas, Australia</t>
  </si>
  <si>
    <t>University of Tasmania; National Oceanic Atmospheric Admin (NOAA) - USA; Commonwealth Scientific &amp; Industrial Research Organisation (CSIRO); Commonwealth Scientific &amp; Industrial Research Organisation (CSIRO); ARC Centre of Excellence for Climate System Science</t>
  </si>
  <si>
    <t>fsm@utas.edu.au</t>
  </si>
  <si>
    <t>Marsland, Simon J/A-1453-2012; Wittenberg, Andrew T/G-9619-2013; Holbrook, Neil/M-7544-2013; McCormack, Felicity/B-9218-2015</t>
  </si>
  <si>
    <t>Marsland, Simon J/0000-0002-5664-5276; Wittenberg, Andrew T/0000-0003-1680-8963; Holbrook, Neil/0000-0002-3523-6254; McCormack, Felicity/0000-0002-2324-2120</t>
  </si>
  <si>
    <t>Australian Government Department of the Environment; Bureau of Meteorology; CSIRO through the Australian Climate Change Science Program; NCI Facility at the ANU; Australian Postgraduate Award; CSIRO Wealth from Oceans scholarship</t>
  </si>
  <si>
    <t>Australian Government Department of the Environment(Australian Government); Bureau of Meteorology(Bureau of Meteorology - Australia); CSIRO through the Australian Climate Change Science Program; NCI Facility at the ANU; Australian Postgraduate Award(Australian Government); CSIRO Wealth from Oceans scholarship</t>
  </si>
  <si>
    <t>The ACCESS model is supported by the Australian Government Department of the Environment, the Bureau of Meteorology and CSIRO through the Australian Climate Change Science Program, and the NCI Facility at the ANU. FSG was supported by an Australian Postgraduate Award and a CSIRO Wealth from Oceans scholarship. This research makes a contribution to the ARC Centre of Excellence for Climate System Science. The authors thank two anonymous reviewers for their constructive comments that greatly improved the manuscript.</t>
  </si>
  <si>
    <t>10.1007/s00382-016-3189-1</t>
  </si>
  <si>
    <t>WOS:000395060900038</t>
  </si>
  <si>
    <t>Zhang, LP; Delworth, TL; Zeng, FR</t>
  </si>
  <si>
    <t>Zhang, Liping; Delworth, Thomas L.; Zeng, Fanrong</t>
  </si>
  <si>
    <t>The impact of multidecadal Atlantic meridional overturning circulation variations on the Southern Ocean</t>
  </si>
  <si>
    <t>Atlantic meridional overturning circulation; Southern Ocean; Antarctic sea ice</t>
  </si>
  <si>
    <t>THERMOHALINE CIRCULATION; NORTH-ATLANTIC; DATA ASSIMILATION; BIPOLAR SEESAW; FRESH-WATER; CLIMATE; VARIABILITY; TEMPERATURE; SYSTEM; ENSO</t>
  </si>
  <si>
    <t>The impact of multidecadal variations of the Atlantic meridional overturning circulation (AMOC) on the Southern Ocean (SO) is investigated in the current paper using a coupled ocean-atmosphere model. We find that the AMOC can influence the SO via fast atmosphere teleconnections and subsequent ocean adjustments. A stronger than normal AMOC induces an anomalous warm SST over the North Atlantic, which leads to a warming of the Northern Hemisphere troposphere extending into the tropics. This induces an increased equator-to-pole temperature gradient in the Southern Hemisphere (SH) upper troposphere and lower stratosphere due to an amplified tropical upper tropospheric warming as a result of increased latent heat release. This altered gradients leads to a poleward displacement of the SH westerly jet. The wind change over the SO then cools the SST at high latitudes by anomalous northward Ekman transports. The wind change also weakens the Antarctic bottom water (AABW) cell through changes in surface heat flux forcing. The poleward shifted westerly wind decreases the long term mean easterly winds over the Weddell Sea, thereby reducing the turbulent heat flux loss, decreasing surface density and therefore leading to a weakening of the AABW cell. The weakened AABW cell produces a temperature dipole in the SO, with a warm anomaly in the subsurface and a cold anomaly in the surface that corresponds to an increase of Antarctic sea ice. Opposite conditions occur for a weaker than normal AMOC. Our study here suggests that efforts to attribute the recent observed SO variability to various factors should take into consideration not only local process but also remote forcing from the North Atlantic.</t>
  </si>
  <si>
    <t>[Zhang, Liping] Princeton Univ, Atmospher &amp; Ocean Sci, Princeton, NJ 08544 USA; [Zhang, Liping; Delworth, Thomas L.; Zeng, Fanrong] NOAA, Geophys Fluid Dynam Lab, 201 Forrestal Rd, Princeton, NJ 08540 USA</t>
  </si>
  <si>
    <t>Princeton University; National Oceanic Atmospheric Admin (NOAA) - USA</t>
  </si>
  <si>
    <t>Zhang, LP (corresponding author), Princeton Univ, Atmospher &amp; Ocean Sci, Princeton, NJ 08544 USA.;Zhang, LP (corresponding author), NOAA, Geophys Fluid Dynam Lab, 201 Forrestal Rd, Princeton, NJ 08540 USA.</t>
  </si>
  <si>
    <t>Liping.Zhang@noaa.gov</t>
  </si>
  <si>
    <t>Delworth, Thomas/C-5191-2014; Zhang, Liping/L-6480-2015</t>
  </si>
  <si>
    <t>Delworth, Thomas/0000-0003-4865-5391; Zhang, Liping/0000-0003-1122-8927</t>
  </si>
  <si>
    <t>10.1007/s00382-016-3190-8</t>
  </si>
  <si>
    <t>WOS:000395060900039</t>
  </si>
  <si>
    <t>Wilks, JV; Rigual-Hernández, AS; Trull, TW; Bray, SG; Flores, JA; Armand, LK</t>
  </si>
  <si>
    <t>Wilks, Jessica V.; Rigual-Hernandez, Andres S.; Trull, Thomas W.; Bray, Stephen G.; Flores, Jose-Abel; Armand, Leanne K.</t>
  </si>
  <si>
    <t>Biogeochemical flux and phytoplankton succession: A year-long sediment trap record in the Australian sector of the Subantarctic Zone</t>
  </si>
  <si>
    <t>Diatoms; Coccolithophores; Sediment traps; Subantarctic Zone; Mass flux; Southern Ocean</t>
  </si>
  <si>
    <t>POLAR FRONTAL ZONES; OCEAN SURFACE SEDIMENTS; MAJOR DIATOM TAXA; SOUTHERN-OCEAN; IRON FERTILIZATION; PACIFIC SECTOR; EXPORT FLUXES; LIVING COCCOLITHOPHORES; EQUATORIAL ATLANTIC; SEASONAL EVOLUTION</t>
  </si>
  <si>
    <t>The Subantarctic Zone (SAZ) plays a crucial role in global carbon cycling as a significant sink for atmospheric CO2. In the Australian sector, the SAZ exports large quantities of organic carbon from the surface ocean, despite lower algal biomass accumulation in surface waters than other Southern Ocean sectors. We present the first analysis of diatom and coccolithophore assemblages and seasonality, as well as the first annual quantification of bulk organic components of captured material at the base of the mixed layer (500 m depth) in the SAZ. Sediment traps were moored in the SAZ southwest of Tasmania as part of the long-term SAZ Project for one year (September 2003 to September 2004). Annual mass flux at 500 m and 2000 m was composed mainly of calcium carbonate, while biogenic silica made up on average &lt; 10% of material captured in the traps. Organic carbon flux was estimated at 1.1 g m(-2) Y-1 at 500 m, close to the estimated global mean carbon flux. Low diatom fluxes and high fluxes of coccoliths were consistent with low biogenic silica and high calcium carbonate fluxes, respectively. Diatoms and coccoliths were identified to species level. Diatom and coccolithophore sinking assemblages reflected some seasonal ecological succession. A theoretical scheme of diatom succession in live assemblages is compared to successional patterns presented in sediment traps. This study provides a unique, direct measurement of the biogeochemical fluxes and their main biological carbon vectors just below the winter mixed layer depth at which effective sequestration of carbon occurs. Comparison of these results with previous sediment trap deployments at the same site at deeper depths (i.e. 1000, 2000 and 3800 m) documents the changes particle fluxes experience in the lower twilight zone where biological processes and remineralisation of carbon reduce the efficiency of carbon sequestration.</t>
  </si>
  <si>
    <t>[Wilks, Jessica V.; Rigual-Hernandez, Andres S.; Armand, Leanne K.] Macquarie Univ, MQ Marine Res Ctr, N Ryde, NSW 2109, Australia; [Rigual-Hernandez, Andres S.; Flores, Jose-Abel] Macquarie Univ, Dept Biol Sci, N Ryde, NSW 2109, Australia; [Trull, Thomas W.; Bray, Stephen G.] Univ Salamanca, Dept Geol, E-37008 Salamanca, Spain; [Trull, Thomas W.] Univ Tasmania, Antarct Climate &amp; Ecosyst Cooperat Res Ctr, Hobart, Tas 7001, Australia; [Trull, Thomas W.] CSIRO Oceans &amp; Atmosphere Flagship, Hobart, Tas 7001, Australia</t>
  </si>
  <si>
    <t>Macquarie University; Macquarie University; University of Salamanca; University of Tasmania; Commonwealth Scientific &amp; Industrial Research Organisation (CSIRO)</t>
  </si>
  <si>
    <t>Wilks, JV (corresponding author), Macquarie Univ, MQ Marine Res Ctr, N Ryde, NSW 2109, Australia.</t>
  </si>
  <si>
    <t>jessica.wilks@mq.edu.au</t>
  </si>
  <si>
    <t>Rigual-Hernández, Andrés/E-2041-2018; Armand, Leanne K/C-9004-2009; Flores, José-Abel/D-4218-2009</t>
  </si>
  <si>
    <t>Rigual-Hernández, Andrés/0000-0003-1521-3896; Flores, José-Abel/0000-0003-1909-293X; Wilks, Jessica/0000-0001-6217-4952; Armand, Leanne/0000-0003-3995-308X</t>
  </si>
  <si>
    <t>Macquarie University under an MQRES scholarship; Australian Antarctic Science (AAS) [4078]; Australian Antarctic Sciences [AAS 1156, AAS 2256]; US National Science Foundation Office of Polar Programs; Belgian Science and Policy Office; CSIRO Marine Laboratories; Australian Integrated Marine Observing System (IMOS)</t>
  </si>
  <si>
    <t>Macquarie University under an MQRES scholarship; Australian Antarctic Science (AAS); Australian Antarctic Sciences; US National Science Foundation Office of Polar Programs(National Science Foundation (NSF)); Belgian Science and Policy Office; CSIRO Marine Laboratories(Commonwealth Scientific &amp; Industrial Research Organisation (CSIRO)); Australian Integrated Marine Observing System (IMOS)</t>
  </si>
  <si>
    <t>This study was funded by Macquarie University under an MQRES scholarship to JW, and Australian Antarctic Science (AAS) grant 4078 (LA, TT, SB, ARH).; The SAZ Project was made possible by the support of the Australian Antarctic Sciences grants AAS 1156 and AAS 2256 CIT), as well as the US National Science Foundation Office of Polar Programs (R. Francois, T. Trull, S. Honjo and S. Manganini), the Belgian Science and Policy Office (F. Dehairs), CSIRO Marine Laboratories, and the Australian Integrated Marine Observing System (IMOS).; The SST, Chl-a and PAR data were acquired as part of the activities of NASA's Science Mission Directorate; archived and distributed by the Goddard Earth Sciences Data and Information Services Center.; We thank the Macquarie University Microscopy unit, particularly N. Vella.</t>
  </si>
  <si>
    <t>10.1016/j.dsr.2017.01.001</t>
  </si>
  <si>
    <t>EP9KX</t>
  </si>
  <si>
    <t>WOS:000397693600012</t>
  </si>
  <si>
    <t>Mangiagalli</t>
  </si>
  <si>
    <t>Cryo-protective effect of an ice-binding protein derived from Antarctic bacteria (vol 284, pg 163, 2017)</t>
  </si>
  <si>
    <t>FEBS JOURNAL</t>
  </si>
  <si>
    <t>1742-464X</t>
  </si>
  <si>
    <t>1742-4658</t>
  </si>
  <si>
    <t>FEBS J</t>
  </si>
  <si>
    <t>FEBS J.</t>
  </si>
  <si>
    <t>Biochemistry &amp; Molecular Biology</t>
  </si>
  <si>
    <t>EQ5NC</t>
  </si>
  <si>
    <t>WOS:000398128500013</t>
  </si>
  <si>
    <t>Srinivasan, S; Lim, S; Lim, JH; Jung, HY; Kim, MK</t>
  </si>
  <si>
    <t>Srinivasan, Sathiyaraj; Lim, Sangyong; Lim, Jae-Hyun; Jung, Hee-Young; Kim, Myung Kyum</t>
  </si>
  <si>
    <t>Deinococcus rubrus sp nov., a Bacterium Isolated from Antarctic Coastal Sea Water</t>
  </si>
  <si>
    <t>JOURNAL OF MICROBIOLOGY AND BIOTECHNOLOGY</t>
  </si>
  <si>
    <t>Deinococcus; radiation resistance; taxonomy; coastal sea water</t>
  </si>
  <si>
    <t>COMPLETE GENOME SEQUENCE; RADIATION-RESISTANT; DEOXYRIBONUCLEIC-ACID; GAMMA; UV; SOIL</t>
  </si>
  <si>
    <t>Two Gram-staining-negative, red-pinkish, coccus-shaped, non-motile, and aerobic bacterial strains, designated Ant21(T) and Ant22, were isolated from the Antarctic coastal sea water. Strains Ant21(T) and Ant22 showed UVC and gamma radiation resistance. Phylogenetic analyses based on 16S rRNA gene sequences determined that these strains belong to the genus Deinococcus. Through the analyses of the 16S rRNA gene sequences, strains Ant21(T) and Ant22 were found to have 97.7% and 97.8% similarity to Deinococcus marmoris DSM 12784(T) and 97.0% and 97.2% similarity to Deinococcus saxicola AA-1444(T), respectively. The sequence similarity with the type strains of other Deinococcus species was less than 96.9% for both strains. Strains Ant21(T) and Ant22 shared relatively high 16S rRNA gene sequence similarity (99.3%) and had a closely related DNA reassociation value of 84 +/- 0.5%. Meanwhile, they showed a low level of DNA-DNA hybridization (&lt; 30%) with other closely related species of the genus Deinococcus. The two strains also showed typical chemotaxonomic features for the genus Deinococcus, in terms of the major polar lipid (phosphoglycolipid) and the major fatty acids (C-16:0, C-16:1 omega 6c/omega 7c, iso-C-17:0, and iso-C-15:0). They grew at temperatures between 4 degrees C and 30 degrees C and at pH values of 6.0-8.0. Based on the physiological characteristics, the 16S rRNA gene sequence analysis results, and the low DNA-DNA reassociation level with Deionococcus marmoris, strains Ant21(T) (= KEMB 9004-167(T) = JCM 31436(T)) and Ant22 (KEMB 9004-168 = JCM 31437) represent novel species belonging to the genus Deinococcus, for which the name Deinococcus rubrus is proposed.</t>
  </si>
  <si>
    <t>[Srinivasan, Sathiyaraj; Kim, Myung Kyum] Seoul Womens Univ, Coll Nat Sci, Dept Bio &amp; Environm Technol, Seoul 01797, South Korea; [Lim, Sangyong] Korea Atom Energy Res Inst, Radiat Res Div Biotechnol, Jeongeup 56212, South Korea; [Lim, Jae-Hyun] Natl Inst Fisheries Sci, Marine Environm Res Div, Busan 46083, South Korea; [Jung, Hee-Young] Kyungpook Natl Univ, Coll Agr &amp; Life Sci, Daegu 41566, South Korea; [Jung, Hee-Young] Kyungpook Natl Univ, Inst Plant Med, Daegu 41566, South Korea</t>
  </si>
  <si>
    <t>Seoul Women's University; Korea Atomic Energy Research Institute (KAERI); National Institute of Fisheries Science; Kyungpook National University; Kyungpook National University</t>
  </si>
  <si>
    <t>Kim, MK (corresponding author), Seoul Womens Univ, Coll Nat Sci, Dept Bio &amp; Environm Technol, Seoul 01797, South Korea.</t>
  </si>
  <si>
    <t>biotech@swu.ac.kr</t>
  </si>
  <si>
    <t>Kim, Jihyeon/IQV-8555-2023</t>
  </si>
  <si>
    <t>Srinivasan, Sathiyaraj/0000-0001-6019-7421; Lim, Jae-Hyun/0000-0001-9308-5119</t>
  </si>
  <si>
    <t>National Institute of Fisheries Science [R2016053]; Seoul Women's University</t>
  </si>
  <si>
    <t>National Institute of Fisheries Science; Seoul Women's University</t>
  </si>
  <si>
    <t>This work was supported by a grant from the National Institute of Fisheries Science (R2016053), and by a research grant from Seoul Women's University (2017).</t>
  </si>
  <si>
    <t>KOREAN SOC MICROBIOLOGY &amp; BIOTECHNOLOGY</t>
  </si>
  <si>
    <t>KOREA SCI TECHNOL CENTER #507, 635-4 YEOGSAM-DONG, KANGNAM-GU, SEOUL 135-703, SOUTH KOREA</t>
  </si>
  <si>
    <t>1017-7825</t>
  </si>
  <si>
    <t>1738-8872</t>
  </si>
  <si>
    <t>J MICROBIOL BIOTECHN</t>
  </si>
  <si>
    <t>J. Microbiol. Biotechnol.</t>
  </si>
  <si>
    <t>10.4014/jmb.1609.09002</t>
  </si>
  <si>
    <t>EQ4XV</t>
  </si>
  <si>
    <t>WOS:000398085800013</t>
  </si>
  <si>
    <t>Cañete, JI; Díaz-Ochoa, JA; Figueroa, T; Medina, A</t>
  </si>
  <si>
    <t>Canete, Juan I.; Diaz-Ochoa, Javier A.; Figueroa, Tania; Medina, Alvaro</t>
  </si>
  <si>
    <t>Infestation of Pseudione tuberculata (Isopoda: Bopyridae) on juveniles of Lithodes santolla (Magellan region, Chile): a spatial mesoscale analysis</t>
  </si>
  <si>
    <t>LATIN AMERICAN JOURNAL OF AQUATIC RESEARCH</t>
  </si>
  <si>
    <t>Pseudione tuberculata; Lithodes santolla; southern king crab; parasitism; estuaries; recruitment; spatial mesoscale</t>
  </si>
  <si>
    <t>UNDERSTORY KELP ENVIRONMENTS; PARALOMIS-GRANULOSA; BEAGLE CHANNEL; SUBSTRATE PREFERENCE; CERVIMUNIDA-JOHNI; CRAB; PARASITE; LARVAL; RECRUITMENT; TRANSPORT</t>
  </si>
  <si>
    <t>We document latitudinal patterns of infestation of the bopyrid parasite isopod Pseudione tuberculata on southern king crab Lithodes santolla juveniles (20-77 mm carapace length) recruited to fishing grounds in the southern Chilean fjord system. Seven hundred and fifty individuals were collected by semiautonomous diving in 11 of 21 sampling locations in the study area, along the western margin of the Magellan region between August and October 2013. The prevalence of P. tuberculata varied between 0 and similar to 22%, and displayed a spatial pattern associated with three areas: i) northern Beagle Channel ( 10 to similar to 22%; lengths between 37 and 47 mm), ii) northwestern Navarino Island without infestations (0%; 26-55 mm), and iii) Piazzi IslandCapitan Aracena Island (0-12%; 50-77 mm). Infestations were independent of host sex, while parasite prevalence decreased with host length. No parasites were observed on crabs longer than 60 mm. A comparison of slopes between linearized length-weight regressions suggests that parasitized individuals had lower weight growth than uninfested individuals. Both southern king crab juvenile density and P. tuberculata prevalence were higher in fishing areas towards Beagle Channel where previous research reported lower average surface water temperatures (&lt; 6.5 degrees C) and higher surface water salinity (&gt; 30). The study area covers five zones relevant for the conservation and protection of sub Antarctic biodiversity, and provides opportunities for large-scale geographic studies of the host-parasite relationship.</t>
  </si>
  <si>
    <t>[Canete, Juan I.; Diaz-Ochoa, Javier A.; Figueroa, Tania; Medina, Alvaro] Univ Magallanes, Dept Ciencias &amp; Recursos Nat, Fac Ciencias, Punta Arenas, Chile</t>
  </si>
  <si>
    <t>Universidad de Magallanes</t>
  </si>
  <si>
    <t>Díaz-Ochoa, JA (corresponding author), Univ Magallanes, Dept Ciencias &amp; Recursos Nat, Fac Ciencias, Punta Arenas, Chile.</t>
  </si>
  <si>
    <t>javier.diaz@umag.cl</t>
  </si>
  <si>
    <t>Canete, Juan/GRS-4620-2022</t>
  </si>
  <si>
    <t>FIC of Regional Government of Magallanes (Program UMAG [097230-BIP 30116747]; Direccion de Investigacion, Universidad de Magallanes, Chile [PR-F2-01CRN-12]</t>
  </si>
  <si>
    <t>FIC of Regional Government of Magallanes (Program UMAG; Direccion de Investigacion, Universidad de Magallanes, Chile</t>
  </si>
  <si>
    <t>We are grateful to Gustavo A. Lovrich and Federico Tapella (CADIC, Ushuaia, Argentina) for supplying literature on Pseudione and others parasites associated with South American king crabs. We also thank Daniel Roccatagliata (Universidad of Buenos Aires, Argentina) for early confirmation of the identity of Pseudione tuberculata specimens. Surveys and sampling activities were funded by Program FIC of Regional Government of Magallanes (Program UMAG Grant 097230-BIP 30116747) and Direccion de Investigacion, Universidad de Magallanes, Chile (Grant PR-F2-01CRN-12). We express our gratitude to Ginny Eckert (University of Alaska) for providing updated literature on king crabs biology. We appreciate the collaboration of the Chilean Navy (CONA) for facilitating the access to oceanographic data from the CIMAR Fiordos15 and 16 cruises.</t>
  </si>
  <si>
    <t>UNIV CATOLICA DE VALPARAISO</t>
  </si>
  <si>
    <t>VALPARAISO</t>
  </si>
  <si>
    <t>AV BRASIL 2950, PO BOX 4059, VALPARAISO, CHILE</t>
  </si>
  <si>
    <t>0718-560X</t>
  </si>
  <si>
    <t>0717-7178</t>
  </si>
  <si>
    <t>LAT AM J AQUAT RES</t>
  </si>
  <si>
    <t>Lat. Am. J. Aquat. Res.</t>
  </si>
  <si>
    <t>10.3856/vol45-issue1-fulltext-8</t>
  </si>
  <si>
    <t>EQ5MU</t>
  </si>
  <si>
    <t>WOS:000398127700008</t>
  </si>
  <si>
    <t>Vivas, M; Pérez-Ortega, S; Pintado, A; Sancho, LG</t>
  </si>
  <si>
    <t>Vivas, M.; Perez-Ortega, S.; Pintado, A.; Sancho, L. G.</t>
  </si>
  <si>
    <t>Fv/Fm acclimation to the Mediterranean summer drought in two sympatric Lasallia species from the Iberian mountains</t>
  </si>
  <si>
    <t>LICHENOLOGIST</t>
  </si>
  <si>
    <t>chlorophyll fluorescence; lichens; PSII; quantum efficiency; seasonal effects</t>
  </si>
  <si>
    <t>CHLOROPHYLL-A FLUORESCENCE; LICHEN LOBARIA-PULMONARIA; HIGH-LIGHT; PHOTOSYNTHETIC ACTIVITY; FLAVOPARMELIA-CAPERATA; ANTARCTIC LICHENS; USNEA-ANTARCTICA; SEASONAL-CHANGES; GAS-EXCHANGE; CO2 EXCHANGE</t>
  </si>
  <si>
    <t>Photosynthetic performance in lichens can vary throughout the year. We investigate the variation in the PSII quantum efficiency as a proxy for the physiological state of the photosynthetic apparatus in two umbilicate species from the genus Lasallia. Temporal variation in F-v/F-m in both species was monitored at a field site in Central Spain where both species coexist. Subsequent measurements were carried out in the laboratory after 48 h preconditioning. Both species showed clear variation during the year in PSII performance, with a marked depression in F-v/F-m during the summer. Lasallia pustulata consistently had higher F-v/F-m values than L. hispanica. Both species reached higher F-v/F-m values after 48 h of preconditioning in the laboratory and this recovery was particularly notable in the summer months. F-v/F-m was highly related to antecedent weather conditions during the two days prior to measurement.</t>
  </si>
  <si>
    <t>[Vivas, M.] Univ La Frontera, Lab Fisiol &amp; Biol Mol Vegetal, Fac Ciencias Agr &amp; Forestales, Dept Ciencias Agron &amp; Recursos Nat,Inst Agroind, Temuco, Chile; [Vivas, M.] Univ Concepcion, Dept Bot, Fac Ciencias Nat &amp; Oceanog, Ecobiosis, Concepcion, Chile; [Vivas, M.; Pintado, A.; Sancho, L. G.] Univ Complutense Madrid, Fac Farm, Dept Biol Vegetal 2, E-28040 Madrid, Spain; [Perez-Ortega, S.] CSIC, Real Jardin Bot, E-28014 Madrid, Spain</t>
  </si>
  <si>
    <t>Universidad de La Frontera; Universidad de Concepcion; Complutense University of Madrid; Consejo Superior de Investigaciones Cientificas (CSIC); CSIC - Real Jardin Botanico de Madrid</t>
  </si>
  <si>
    <t>Vivas, M (corresponding author), Univ La Frontera, Lab Fisiol &amp; Biol Mol Vegetal, Fac Ciencias Agr &amp; Forestales, Dept Ciencias Agron &amp; Recursos Nat,Inst Agroind, Temuco, Chile.;Vivas, M (corresponding author), Univ Concepcion, Dept Bot, Fac Ciencias Nat &amp; Oceanog, Ecobiosis, Concepcion, Chile.;Vivas, M (corresponding author), Univ Complutense Madrid, Fac Farm, Dept Biol Vegetal 2, E-28040 Madrid, Spain.</t>
  </si>
  <si>
    <t>meru.vivas@gmail.com</t>
  </si>
  <si>
    <t>Pintado, Ana/G-9881-2015; Perez-Ortega, Sergio/G-1257-2016; SANCHO, LEOPOLDO/G-9120-2015</t>
  </si>
  <si>
    <t>Perez-Ortega, Sergio/0000-0002-5411-3698; SANCHO, LEOPOLDO/0000-0002-4751-7475; PINTADO, ANA/0000-0003-3007-1486</t>
  </si>
  <si>
    <t>MV [BES 2007-17323]; Spanish Government [CGL2006- 12179-C02-01, CTM2009-12838-C04-01]; Spanish Ministerio de Economia y Competitividad (MINECO) through a 'Ramon y Cajal' [RYC-2014-16784]</t>
  </si>
  <si>
    <t>MV; Spanish Government(Spanish Government); Spanish Ministerio de Economia y Competitividad (MINECO) through a 'Ramon y Cajal'</t>
  </si>
  <si>
    <t>This work was funded by a predoctoral grant to MV (BES 2007-17323) and the Spanish Government projects CGL2006- 12179-C02-01 and CTM2009-12838-C04-01. SPO is supported by the Spanish Ministerio de Economia y Competitividad (MINECO) through a 'Ramon y Cajal' contract (RYC-2014-16784). AEMET is gratefully acknowledged for the meteorological data. The comments of Dr Mauro Tretiach (Trieste), Prof. Peter Crittenden (Nottingham) and two anonymous reviewers greatly improved an early version of the manuscript.</t>
  </si>
  <si>
    <t>0024-2829</t>
  </si>
  <si>
    <t>1096-1135</t>
  </si>
  <si>
    <t>Lichenologist</t>
  </si>
  <si>
    <t>10.1017/S0024282917000032</t>
  </si>
  <si>
    <t>Plant Sciences; Mycology</t>
  </si>
  <si>
    <t>EQ4XM</t>
  </si>
  <si>
    <t>WOS:000398084900005</t>
  </si>
  <si>
    <t>Nicoll, R; Day, JC</t>
  </si>
  <si>
    <t>Nicoll, Rob; Day, Jon C.</t>
  </si>
  <si>
    <t>Correct application of the IUCN protected area management categories to the CCAMLR Convention Area</t>
  </si>
  <si>
    <t>Marine protected area; CCAMLR; Antarctic; IUCN management category; Southern Ocean; MPA</t>
  </si>
  <si>
    <t>The Commission for the Conservation of Antarctic Marine Living Resources (CCAMLR) has been working to develop and implement a system of marine protected areas (MPAs) for over 10 years. Within CCAMLR there is a long -held belief that the area covered by the CCAMLR Convention is equivalent to a category IV protected area as defined by the International Union for Conservation of Nature (IUCN). This belief was founded upon a comparison of the central objective of CCAMLR as defined by the CCAMLR Convention with the IUCN definition of a category IV MPA. This advice was accepted by the CCAMLR Scientific Committee but to date there has not been any analysis of this advice within CCAMLR, IUCN or in the literature. This paper critically analyses that advice, and finds that the CCAMLR Convention area does not meet the IUCN definition of an MPA and thus the CCAMLR Convention Area cannot be considered equivalent to a category IV MPA.</t>
  </si>
  <si>
    <t>[Nicoll, Rob] Antarctic &amp; Southern Ocean Coalit, 1320 19th St NW,5th Floor, Washington, DC 20036 USA; [Day, Jon C.] James Cook Univ, ARC Ctr Excellence Coral Reef Studies, Townsville, Qld, Australia</t>
  </si>
  <si>
    <t>James Cook University</t>
  </si>
  <si>
    <t>Nicoll, R (corresponding author), Antarctic &amp; Southern Ocean Coalit, 1320 19th St NW,5th Floor, Washington, DC 20036 USA.</t>
  </si>
  <si>
    <t>Day, Jon C/H-3276-2016</t>
  </si>
  <si>
    <t>Day, Jon C/0000-0003-3906-0759</t>
  </si>
  <si>
    <t>10.1016/j.marpol.2016.11.035</t>
  </si>
  <si>
    <t>EL3YU</t>
  </si>
  <si>
    <t>WOS:000394557400002</t>
  </si>
  <si>
    <t>Emery, TJ; Gardner, C; Hartmann, K; Cartwright, I</t>
  </si>
  <si>
    <t>Emery, Timothy J.; Gardner, Caleb; Hartmann, Klaas; Cartwright, Ian</t>
  </si>
  <si>
    <t>Incorporating economics into fisheries management frameworks in Australia</t>
  </si>
  <si>
    <t>Fisheries management; Trade-offs; Economic yield; ITQ; Bio-economics; MEY</t>
  </si>
  <si>
    <t>LOBSTER JASUS-EDWARDSII; ROCK LOBSTER; RETROSPECTIVE EVALUATION; SUSTAINABLE YIELDS; UNITED-STATES; TRADE-OFFS; PROFITABILITY; CONSERVATION; OBJECTIVES; EXPERIENCE</t>
  </si>
  <si>
    <t>A large gap has been identified between the current and optimal economic performance of wild-capture commercial fisheries in Australia. Economic approaches have the potential to assist fisheries to bridge this gap, such as bio-economic models that combine biology with fishing costs to evaluate the economic performance of a broad range of management measures. Economic objectives are prevalent in overarching Australian fisheries legislation, however economic data is often not collected and economic analyses or instruments not broadly applied. This paper reviews selected Australian fisheries to demonstrate the accrued economic benefits from applying formal bio-economic models and conducting empirical analyses of the impact of supply on product value. Challenges to the implementation and continued use of economic analyses and instruments are discussed including: (i) short-term transition costs and associated trade-offs between ecological, economic, social and political objectives; (ii) scarce logistical and financial capacity to collect and analyse economic data; (iii) a lack of desire among industry to change and transition to economic targets such as maximum economic yield (MEY), particularly when it is associated with lower catches; and (iv) a lack of economic literacy among fisheries managers and industry. It is contended that many of these challenges initially arise from an absence of clearly identified and prioritised objectives within overarching legislation and management plans. Once objectives are prioritised, limited resources can be allocated more efficiently to improve data collection, economic analysis and increase awareness as well as education of managers and industry.</t>
  </si>
  <si>
    <t>[Emery, Timothy J.; Gardner, Caleb; Hartmann, Klaas] Univ Tasmania, Inst Marine &amp; Antarctic Studies, Private Bag 49, Hobart, Tas 7001, Australia; [Cartwright, Ian] Thalassa Consulting, 13 Monaco Pl, Howrah, Tas 7018, Australia</t>
  </si>
  <si>
    <t>Emery, TJ (corresponding author), Univ Tasmania, Inst Marine &amp; Antarctic Studies, Private Bag 49, Hobart, Tas 7001, Australia.</t>
  </si>
  <si>
    <t>timothy.emery@utas.edu.au; caleb.gardner@utas.edu.au; klaas.hartmann@utas.edu.au; thalassa@bigpond.com</t>
  </si>
  <si>
    <t>Hartmann, Klaas/B-3991-2008; Gardner, Caleb/I-7086-2013</t>
  </si>
  <si>
    <t>Gardner, Caleb/0000-0003-0324-4337; Emery, Timothy/0000-0002-4203-671X</t>
  </si>
  <si>
    <t>Australian Seafood Cooperative Research Centre; Fisheries Research and Development Corporation [2013-748.20]</t>
  </si>
  <si>
    <t>Australian Seafood Cooperative Research Centre(Australian GovernmentDepartment of Industry, Innovation and ScienceCooperative Research Centres (CRC) Programme); Fisheries Research and Development Corporation</t>
  </si>
  <si>
    <t>The authors would like to acknowledge the Australian Seafood Cooperative Research Centre and the Fisheries Research and Development Corporation (2013-748.20) for providing funding towards this research. The authors would also like to thank an knonymous external reviewer for their comments, which improved the clarity of the manuscript.</t>
  </si>
  <si>
    <t>10.1016/j.marpol.2016.12.018</t>
  </si>
  <si>
    <t>WOS:000394557400017</t>
  </si>
  <si>
    <t>Chen, C; Uematsu, K; Linse, K; Sigwart, JD</t>
  </si>
  <si>
    <t>Chen, Chong; Uematsu, Katsuyuki; Linse, Katrin; Sigwart, Julia D.</t>
  </si>
  <si>
    <t>By more ways than one: Rapid convergence at hydrothermal vents shown by 3D anatomical reconstruction of Gigantopelta (Mollusca: Neomphalina)</t>
  </si>
  <si>
    <t>Adaptation; Anatomy; Convergence; Evolution; Extreme environment; Symbiosis</t>
  </si>
  <si>
    <t>ARCHAEOGASTROPOD LIMPETS; RIFTIA-PACHYPTILA; TUBE-WORM; GASTROPOD; SUPERFAMILY; DIVERSITY; METHANE; MODELS; FAMILY</t>
  </si>
  <si>
    <t>Background: Extreme environments prompt the evolution of characteristic adaptations. Yet questions remain about whether radiations in extreme environments originate from a single lineage that masters a key adaptive pathway, or if the same features can arise in parallel through convergence. Species endemic to deep-sea hydrothermal vents must accommodate high temperature and low pH. The most successful vent species share a constrained pathway to successful energy exploitation: hosting symbionts. The vent-endemic gastropod genus Gigantopelta, from the Southern and Indian Oceans, shares unusual features with a co-occurring peltospirid, the 'scaly-foot gastropod' Chrysomallon squamiferum. Both are unusually large for the clade and share other adaptive features such as a prominent enlarged trophosome-like oesophageal gland, not found in any other vent molluscs. Results: Transmission electron microscopy confirmed endosymbiont bacteria in the oesophageal gland of Gigantopelta, as also seen in Chrysomallon. They are the only known members of their phylum in vent ecosystems hosting internal endosymbionts; other vent molluscs host endosymbionts in or on their gills, or in the mantle cavity. A five-gene phylogenetic reconstruction demonstrated that Gigantopelta and Chrysomallon are not phylogenetically sister-taxa, despite their superficial similarity. Both genera have specialist adaptations to accommodate internalised endosymbionts, but with anatomical differences that indicate separate evolutionary origins. Hosting endosymbionts in an internal organ within the host means that all resources required by the bacteria must be supplied by the animal, rather than directly by the vent fluid. Unlike Chrysomallon, which has an enlarged oesophageal gland throughout post-settlement life, the oesophageal gland in Gigantopelta is proportionally much smaller in juveniles and the animals likely undergo a trophic shift during ontogeny. The circulatory system is hypertrophied in both but the overall size is smaller in Gigantopelta. In contrast with Chrysomallon, Gigantopelta possesses true ganglia and is gonochoristic. Conclusions: Key anatomical differences between Gigantopelta and Chrysomallon demonstrate these two genera acquired a similar way of life through independent and convergent adaptive pathways. What appear to be the holobiont's adaptations to an extreme environment, are driven by optimising bacteria's access to vent nutrients. By comparing Gigantopelta and Chrysomallon, we show that metazoans are capable of rapidly and repeatedly evolving equivalent anatomical adaptations and close-knit relationships with chemoautotrophic bacteria, achieving the same end-product through parallel evolutionary trajectories.</t>
  </si>
  <si>
    <t>[Chen, Chong; Sigwart, Julia D.] Queens Univ Belfast, Marine Lab, 12-13 Strand, Portaferry, North Ireland; [Chen, Chong] Japan Agcy Marine Earth Sci &amp; Technol JAMSTEC, Dept Subsurface Geobiol Anal &amp; Res D SUGAR, 2-15 Natsushima, Yokosuka, Kanagawa 2370061, Japan; [Uematsu, Katsuyuki] Marine Works Japan Ltd, 3-54-1 Oppamahigashi, Yokosuka, Kanagawa 2370063, Japan; [Linse, Katrin] British Antarctic Survey, Cambridge, England; [Sigwart, Julia D.] Univ Calif Berkeley, Museum Paleontol, VLSB 1101, Berkeley, CA 94720 USA</t>
  </si>
  <si>
    <t>Queens University Belfast; Japan Agency for Marine-Earth Science &amp; Technology (JAMSTEC); UK Research &amp; Innovation (UKRI); Natural Environment Research Council (NERC); NERC British Antarctic Survey; University of California System; University of California Berkeley</t>
  </si>
  <si>
    <t>Chen, C (corresponding author), Queens Univ Belfast, Marine Lab, 12-13 Strand, Portaferry, North Ireland.;Chen, C (corresponding author), Japan Agcy Marine Earth Sci &amp; Technol JAMSTEC, Dept Subsurface Geobiol Anal &amp; Res D SUGAR, 2-15 Natsushima, Yokosuka, Kanagawa 2370061, Japan.</t>
  </si>
  <si>
    <t>c.chen@qub.ac.uk</t>
  </si>
  <si>
    <t>Chen, Chong/F-7489-2019; Sigwart, Julia/J-2928-2014</t>
  </si>
  <si>
    <t>Chen, Chong/0000-0002-5035-4021; Sigwart, Julia/0000-0002-3005-6246</t>
  </si>
  <si>
    <t>NERC Consortium Grant [NE/DO1249X/1]; European Commission [H2020-MSCA-IF-2014-655661]; NERC [bas0100036] Funding Source: UKRI; Natural Environment Research Council [bas0100036] Funding Source: researchfish</t>
  </si>
  <si>
    <t>NERC Consortium Grant; European Commission(European Union (EU)European Commission Joint Research Centre); NERC(UK Research &amp; Innovation (UKRI)Natural Environment Research Council (NERC)); Natural Environment Research Council(UK Research &amp; Innovation (UKRI)Natural Environment Research Council (NERC))</t>
  </si>
  <si>
    <t>The RRS James Cook cruise JC80 was funded by NERC Consortium Grant NE/DO1249X/1 led by Prof. Paul Tyler (University of Southampton); the funders had no role in research design, data analysis, publication decisions, or manuscript preparation. This research was supported by the European Commission (award H2020-MSCA-IF-2014-655661 to JDS).</t>
  </si>
  <si>
    <t>10.1186/s12862-017-0917-z</t>
  </si>
  <si>
    <t>EP4FM</t>
  </si>
  <si>
    <t>WOS:000397336200001</t>
  </si>
  <si>
    <t>Hernando-Morales, V; Ameneiro, J; Teira, E</t>
  </si>
  <si>
    <t>Hernando-Morales, Victor; Ameneiro, Julia; Teira, Eva</t>
  </si>
  <si>
    <t>Water mass mixing shapes bacterial biogeography in a highly hydrodynamic region of the Southern Ocean</t>
  </si>
  <si>
    <t>INTERGENIC SPACER ANALYSIS; WEST ANTARCTIC PENINSULA; MICROBIAL BIOGEOGRAPHY; MARINE BACTERIAL; AUSTRAL SUMMER; REDUNDANCY ANALYSIS; COMMUNITY STRUCTURE; SALINITY GRADIENT; SHETLAND ISLANDS; GERLACHE STRAIT</t>
  </si>
  <si>
    <t>Even though compelling evidences indicate that marine microbes show biogeographic patterns, very little is known on the mechanisms driving those patterns in aquatic ecosystems. In the present study, bacterial community structure was examined in epipelagic waters of a highly hydrodynamic area of the Southern Ocean to gain insight into the role that biogeochemical factors and water mass mixing (a proxy of dispersal) have on microbial biogeography. Four water masses that converge and mix around the South Shetland Islands (northern tip of the Antarctic Peninsula) were investigated. Bacterioplankton communities were water-mass specific, and were best explained by dispersal rather than by biogeochemical factors, which is attributed to the relatively reduced environmental gradients found in these cold and nutrient rich waters. These results support the notionthat currents and water mixing may have a considerable effect in connecting and transforming different water bodies, and consequently, in shaping communities of microorganisms. Considering the multidimensional and dynamic nature of the ocean, analysis of water mass mixing is a more suitable approach to investigate the role of dispersal on the biogeography of planktonic microorganisms rather than geographical distance.</t>
  </si>
  <si>
    <t>[Hernando-Morales, Victor; Teira, Eva] Univ Vigo, Fac Marine Sci, Dept Ecol &amp; Anim Biol, Biol Oceanog Grp, Vigo 36200, Spain; [Ameneiro, Julia] Univ Vigo, Fac Marine Sci, Dept Ecol &amp; Anim Biol, Marine Ecol &amp; Zool Grp, Vigo 36200, Spain</t>
  </si>
  <si>
    <t>Universidade de Vigo; Universidade de Vigo</t>
  </si>
  <si>
    <t>Hernando-Morales, V (corresponding author), Univ Vigo, Fac Marine Sci, Dept Ecol &amp; Anim Biol, Biol Oceanog Grp, Vigo 36200, Spain.</t>
  </si>
  <si>
    <t>vhernando@uvigo.es</t>
  </si>
  <si>
    <t>Hernando-Morales, Víctor/O-2798-2016; Teira, Eva/L-5745-2014</t>
  </si>
  <si>
    <t>Hernando-Morales, Víctor/0000-0003-4938-3236; Teira, Eva/0000-0002-4333-0101</t>
  </si>
  <si>
    <t>MICINN [CTM2008-06343-C02/ANT, CTM2008-03790]; F. P. I. MICINN fellowship [BES-2009-028186]</t>
  </si>
  <si>
    <t>MICINN(Spanish Government); F. P. I. MICINN fellowship</t>
  </si>
  <si>
    <t>We thank all the people involved in the COUPLING project who helped with the cruise preparation and sampling. We are grateful to China A. Hanson for helpful comments and discussion on the manuscript, L. Lubian, C. Garcia and C. Garcia-Munoz for nutrient sampling, X.A. alvarez-Salgado for advice and help with fluorescence analyses and eOMP analysis, P. Sangra for oceanographic data, Paula C. Pardo for advice and help with eOMP analysis, and B. Fernandez-Castro and A. Roura for assistance with data analyses. We also thank the officers and crew of the R/V BIO Hesperides, as well as the staff of the Marine Technological Unit (UTM) for their support during the work at sea. This research was supported by the MICINN contracts COUPLING (CTM2008-06343-C02/ANT) and DIFUNCAR (CTM2008-03790). V. H-M was funded by a F. P. I. MICINN fellowship (BES-2009-028186), and E.T. was founded by a Ramon y Cajal-MEC contract.</t>
  </si>
  <si>
    <t>10.1111/1462-2920.13538</t>
  </si>
  <si>
    <t>EP6YP</t>
  </si>
  <si>
    <t>WOS:000397525100016</t>
  </si>
  <si>
    <t>de Menezes, GCA; Godinho, VM; Porto, BA; Gonçalves, VN; Rosa, LH</t>
  </si>
  <si>
    <t>de Menezes, Graciele C. A.; Godinho, Valeria M.; Porto, Barbara A.; Goncalves, Vivian N.; Rosa, Luiz H.</t>
  </si>
  <si>
    <t>Antarctomyces pellizariae sp.nov., a new, endemic, blue, snow resident psychrophilic ascomycete fungus from Antarctica</t>
  </si>
  <si>
    <t>Antarctica; Antarctomyces; Fungi; New species; Snow</t>
  </si>
  <si>
    <t>DIVERSITY; MACROALGAE; PSYCHROTROPHICUS</t>
  </si>
  <si>
    <t>In the present study, we have identified and characterised a new snow resident ascomycete blue stain fungus from Antarctica named Antarctomyces pellizariae sp. nov. Menezes, Godinho, Porto, Goncalves and Rosa, using polyphasic taxonomy techniques. This fungal species was recovered from the seasonal snow of the Antarctic Peninsula. Antarctomyces pellizariae displayed different macro-and micromorphology when compared with A. psychrotrophicus Stchigel and Guarro, the only other Antarctomyces species reported until date. Antarctomyces pellizariae showed psychrophilic behavior and very low growth rate at 22-25 degrees C, quite different from A. psychrotrophicus that has a higher growth rate at mesophilic temperatures. In addition, micromorphological characteristics and the analysis of the nuclear rDNA internal transcribed spacer, beta-tubulin, and RNA polymerase II regions revealed that A. pellizariae is a new species that is related to A. psychrotrophicus and Thelebolus species. Since the Antarctic Peninsula is reported to be one of the main regions of the earth experiencing the effects of global change in climate, species, such as A. pellizariae, might provide information about these effects on the endemic Antarctic biota. In addition, A. pellizariae displayed psychrophilic behavior and might be a source of interesting anti-freeze compounds that might prove useful in biotechnological processes.</t>
  </si>
  <si>
    <t>[de Menezes, Graciele C. A.; Godinho, Valeria M.; Porto, Barbara A.; Goncalves, Vivian N.; Rosa, Luiz H.] Univ Fed Minas Gerais, Inst Biol Sci, Dept Microbiol, CP 486, BR-31270901 Belo Horizonte, MG, Brazil</t>
  </si>
  <si>
    <t>Universidade Federal de Minas Gerais</t>
  </si>
  <si>
    <t>Rosa, LH (corresponding author), Univ Fed Minas Gerais, Inst Biol Sci, Dept Microbiol, CP 486, BR-31270901 Belo Horizonte, MG, Brazil.</t>
  </si>
  <si>
    <t>lhrosa@icb.ufmg.br</t>
  </si>
  <si>
    <t>Alves Porto, Barbara/0000-0002-2249-2638; Cunha Alves de Menezes, Graciele/0000-0002-9427-1893</t>
  </si>
  <si>
    <t>CNPq [407230/2013-0]; NCT Criosfera; FAPEMIG; CAPES; PRPq-UFMG</t>
  </si>
  <si>
    <t>CNPq(Conselho Nacional de Desenvolvimento Cientifico e Tecnologico (CNPQ)); NCT Criosfera; FAPEMIG(Fundacao de Amparo a Pesquisa do Estado de Minas Gerais (FAPEMIG)); CAPES(Coordenacao de Aperfeicoamento de Pessoal de Nivel Superior (CAPES)); PRPq-UFMG</t>
  </si>
  <si>
    <t>We acknowledge the financial support from CNPq (Grant No. 407230/2013-0), INCT Criosfera, FAPEMIG, CAPES, and PRPq-UFMG. In addition, we thank the anonymous Reviewer for the values comments and suggestion about the manuscript.</t>
  </si>
  <si>
    <t>SHIROYAMA TRUST TOWER 5F, 4-3-1 TORANOMON, MINATO-KU, TOKYO, 105-6005, JAPAN</t>
  </si>
  <si>
    <t>10.1007/s00792-016-0895-x</t>
  </si>
  <si>
    <t>EQ3KN</t>
  </si>
  <si>
    <t>WOS:000397971100003</t>
  </si>
  <si>
    <t>Bacior, M; Nowak, P; Haranczyk, H; Patryas, S; Kijak, P; Ligezowska, A; Olech, MA</t>
  </si>
  <si>
    <t>Bacior, M.; Nowak, P.; Haranczyk, H.; Patryas, S.; Kijak, P.; Ligezowska, A.; Olech, M. A.</t>
  </si>
  <si>
    <t>Extreme dehydration observed in Antarctic Turgidosculum complicatulum and in Prasiola crispa</t>
  </si>
  <si>
    <t>Antarctica; Lichenized fungi; Prasiola crispa; Drastic dehydration; Hydration kinetics; Sorption isotherm; NMR; Turgidosculum complicatulum</t>
  </si>
  <si>
    <t>PHOTOSYNTHETIC MEMBRANES; DEEP DEHYDRATION; SORPTION; NMR; WATER; REHYDRATION; CRYOPROTECTION; RELAXATION; PROLINE</t>
  </si>
  <si>
    <t>Gaseous phase hydration effect of extremely dehydrated thallus of the Antarctic lichenized fungus Turgidosculum complicatulum and of green alga Prasiola crispa was observed using hydration kinetics, sorption isotherm, H-1-NMR spectroscopy and relaxometry. Three bound water fractions were distinguished: (1) very tightly bound water, (2) tightly bound water and (3) a loosely bound water fraction detected at higher levels of hydration. Sorption isotherm was sigmoidal in form and well fitted using Dent model. The relative mass of water saturating primary water binding sites was Delta M/m(0) = 0.055 for T. complicatulum and Delta M/m(0) = 0.131 for P. crispa. H-1-NMR free induction decays (FIDs) for T. complicatulum and for P. crispa were superpositions of a solid signal component, and one averaged liquid signal component for P. crispa thallus (T*(2L) approximate to 80 mu s) or two liquid signal components coming from a tightly bound (T*(2L1) approximate to 71 mu s) and from a loosely bound water fraction (T*(2L2)approximate to 278 mu s) for T. complicatulum. H-1-NMR spectra recorded for T. complicatulum and for P. crispa thalli revealed one averaged mobile proton signal component L. The total liquid signal component expressed in units of solid (L1 + L2)/S suggests the presence of water soluble fraction in T. complicatulum thallus.</t>
  </si>
  <si>
    <t>[Bacior, M.] Agr Univ Krakow, Dept Phys, Al Mickiewicza 21, PL-31120 Krakow, Poland; [Nowak, P.; Haranczyk, H.; Patryas, S.; Kijak, P.; Ligezowska, A.] Jagiellonian Univ, Inst Phys, Ul Prof Stanislawa Lojasiewicza 11, PL-30348 Krakow, Poland; [Olech, M. A.] Jagiellonian Univ, Inst Bot, Ul Kopernika 27, PL-31501 Krakow, Poland; [Olech, M. A.] Polish Acad Sci, Inst Biochem &amp; Biophys, Ul Pawinskiego 5a, PL-02106 Warsaw, Poland</t>
  </si>
  <si>
    <t>Agricultural University Krakow; Jagiellonian University; Jagiellonian University; Polish Academy of Sciences; Institute of Biochemistry &amp; Biophysics - Polish Academy of Sciences</t>
  </si>
  <si>
    <t>Bacior, M (corresponding author), Agr Univ Krakow, Dept Phys, Al Mickiewicza 21, PL-31120 Krakow, Poland.</t>
  </si>
  <si>
    <t>m.bacior@ur.krakow.pl</t>
  </si>
  <si>
    <t>Bacior, Magdalena/JNR-7147-2023; Nowak, Piotr/AAU-2296-2020</t>
  </si>
  <si>
    <t>Bacior, Magdalena/0000-0003-4615-9458; Kijak, Paulina/0000-0001-7332-977X</t>
  </si>
  <si>
    <t>European Regional Development Fund in the framework of the Polish Innovation Economy Operational Program [POIG.02.01.00-12-023/08]</t>
  </si>
  <si>
    <t>European Regional Development Fund in the framework of the Polish Innovation Economy Operational Program</t>
  </si>
  <si>
    <t>The research was carried out with the equipment purchased thanks to the financial support of the European Regional Development Fund in the framework of the Polish Innovation Economy Operational Program (Contract No. POIG.02.01.00-12-023/08).</t>
  </si>
  <si>
    <t>10.1007/s00792-016-0905-z</t>
  </si>
  <si>
    <t>WOS:000397971100009</t>
  </si>
  <si>
    <t>McMahon, CR; Harcourt, RG; Burton, HR; Daniel, O; Hindell, MA</t>
  </si>
  <si>
    <t>McMahon, Clive R.; Harcourt, Robert G.; Burton, Harry R.; Daniel, Owen; Hindell, Mark A.</t>
  </si>
  <si>
    <t>Seal mothers expend more on offspring under favourable conditions and less when resources are limited</t>
  </si>
  <si>
    <t>JOURNAL OF ANIMAL ECOLOGY</t>
  </si>
  <si>
    <t>Antarctica; Integrated Marine Observing System; life history; Mirounga leonina; survival</t>
  </si>
  <si>
    <t>SOUTHERN ELEPHANT SEALS; MIROUNGA-LEONINA; INDIVIDUAL HETEROGENEITY; AKAIKE INFORMATION; REPRODUCTIVE COSTS; MATERNAL AGE; ANNULAR MODE; SEX-RATIO; SURVIVAL; MASS</t>
  </si>
  <si>
    <t>1. In mammals, maternal expenditure on offspring is a complex mix of several factors including the species' mating system, offspring sex and the condition and age of the mother. While theory suggests that in polygynous species mothers should wean larger male offspring than females when resources and maternal conditions allow, the evidence for this remains equivocal. 2. Southern elephant seals are highly dimorphic, polygynous capital breeders existing in an environment with highly variable resources and should therefore provide clear evidence to support the theoretical expectations of differential maternal expenditure in male and female pups. 3. We quantified maternal size (mass and length) and pup size at birth and weaning for 342 elephant seal mothers at Macquarie Island. The study was conducted over 11 years of contrasting sea-ice and Southern Annular Mode values, both indices of maternal prey resources. 4. Overall, large females weaned male pups that weighed 17 kg (15.5%) more than female pups. Maternal condition varied by as much as 59 kg among years, and was positively related to Southern Annular Mode, and negatively to maximum sea-ice extent. Smaller mothers weaned relatively larger male pups under favourable conditions, this effect was less apparent for larger mothers. 5. We developed a simple model linking environmental variation to maternal masses postpartum, followed by maternal masses post-partum to weaning masses and then weaning masses to pup survival and demonstrated that environmental conditions affected predicted survival so that the pups of small mothers had an estimated 7% increase in first year survival in 'good' vs. 'bad' years compared to 1% for female pups of large mothers. 6. Co-occurrence of environmental quality and conservative reproductive tactics suggests that mothers retain substantial plasticity in maternal care, enhancing their lifetime reproductive success by adjusting reproductive expenditure relative to both prevailing environmental conditions and their own capabilities.</t>
  </si>
  <si>
    <t>[McMahon, Clive R.] Sydney Inst Marine Sci, 19 Chowder Bay Rd, Mosman, NSW 2088, Australia; [McMahon, Clive R.; Daniel, Owen; Hindell, Mark A.] Univ Tasmania, Inst Marine &amp; Antarctic Studies, Private Bag 129, Hobart, Tas 7000, Australia; [McMahon, Clive R.; Harcourt, Robert G.] Macquarie Univ, Dept Biol Sci, Marine Predator Res Grp, Sydney, NSW 2109, Australia; [Burton, Harry R.] Australian Antarctic Div, Channel Highway, Kingston, Tas 7050, Australia; [Hindell, Mark A.] Univ Tasmania, Antarctic Climate &amp; Ecosyst Cooperat Res Ctr, Hobart, Tas 7000, Australia</t>
  </si>
  <si>
    <t>Sydney Institute of Marine Science; University of Tasmania; Macquarie University; Australian Antarctic Division; University of Tasmania; Antarctic Climate &amp; Ecosystems Cooperative Research Centre (ACE CRC)</t>
  </si>
  <si>
    <t>McMahon, CR (corresponding author), Sydney Inst Marine Sci, 19 Chowder Bay Rd, Mosman, NSW 2088, Australia.;McMahon, CR (corresponding author), Univ Tasmania, Inst Marine &amp; Antarctic Studies, Private Bag 129, Hobart, Tas 7000, Australia.;McMahon, CR (corresponding author), Macquarie Univ, Dept Biol Sci, Marine Predator Res Grp, Sydney, NSW 2109, Australia.</t>
  </si>
  <si>
    <t>clive.mcmahon@utas.edu.au</t>
  </si>
  <si>
    <t>McMahon, Clive R/0000-0001-5241-8917; Hindell, Mark/0000-0002-7823-7185; Harcourt, Robert/0000-0003-4666-2934</t>
  </si>
  <si>
    <t>0021-8790</t>
  </si>
  <si>
    <t>1365-2656</t>
  </si>
  <si>
    <t>J ANIM ECOL</t>
  </si>
  <si>
    <t>J. Anim. Ecol.</t>
  </si>
  <si>
    <t>10.1111/1365-2656.12611</t>
  </si>
  <si>
    <t>EQ3JQ</t>
  </si>
  <si>
    <t>WOS:000397968700019</t>
  </si>
  <si>
    <t>Hay, CC; Lau, HCP; Gomez, N; Austermann, J; Powell, E; Mitrovica, JX; Latychev, K; Wiens, DA</t>
  </si>
  <si>
    <t>Hay, Carling C.; Lau, Harriet C. P.; Gomez, Natalya; Austermann, Jacqueline; Powell, Evelyn; Mitrovica, Jerry X.; Latychev, Konstantin; Wiens, Douglas A.</t>
  </si>
  <si>
    <t>Sea Level Fingerprints in a Region of Complex Earth Structure: The Case of WAIS</t>
  </si>
  <si>
    <t>GLACIAL ISOSTATIC-ADJUSTMENT; UPPER-MANTLE STRUCTURE; ICE-SHEET; WEST ANTARCTICA; BENEATH ANTARCTICA; VELOCITY MODEL; MASS-BALANCE; VISCOSITY; COLLAPSE; PLATE</t>
  </si>
  <si>
    <t>Sea level fingerprints associated with rapid melting of the West Antarctic Ice Sheet (WAIS) have generally been computed under the assumption of a purely elastic response of the solid Earth. The authors investigate the impact of viscous effects on these fingerprints by computing gravitationally self-consistent sea level changes that adopt a 3D viscoelastic Earth model in the Antarctic region consistent with available geological and geophysical constraints. In West Antarctica, the model is characterized by a thin (similar to 65 km) elastic lithosphere and sublithospheric viscosities that span three orders of magnitude, reaching values as low as approximately 4 x 10(18) Pa s beneath WAIS. Calculations indicate that sea level predictions in the near field of WAIS will depart significantly from elastic fingerprints in as little as a few decades. For example, when viscous effects are included, the peak sea level fall predicted in the vicinity of WAIS during a melt event will increase by about 20% and about 50%, relative to the elastic case, for events of duration 25 and 100 yr, respectively. The results have implications for studies of sea level change due to both ongoing mass loss from WAIS over the next century and future, large-scale collapse of WAIS on centennial-to-millennial time scales.</t>
  </si>
  <si>
    <t>[Hay, Carling C.] Rutgers State Univ, Earth &amp; Planetary Sci, Piscataway, NJ 08901 USA; [Hay, Carling C.; Lau, Harriet C. P.; Powell, Evelyn; Mitrovica, Jerry X.] Harvard Univ, Earth &amp; Planetary Sci, Cambridge, MA 02138 USA; [Gomez, Natalya] McGill Univ, Earth &amp; Planetary Sci, Montreal, PQ, Canada; [Austermann, Jacqueline] Univ Cambridge, Dept Earth Sci, Bullard Lab, Cambridge, England; [Latychev, Konstantin] Univ Toronto, Dept Phys, Toronto, ON, Canada; [Wiens, Douglas A.] Washington Univ, Earth &amp; Planetary Sci, St Louis, MO 63130 USA</t>
  </si>
  <si>
    <t>Rutgers University System; Rutgers University New Brunswick; Harvard University; McGill University; University of Cambridge; University of Toronto; Washington University (WUSTL)</t>
  </si>
  <si>
    <t>Hay, CC (corresponding author), Rutgers State Univ, Earth &amp; Planetary Sci, Piscataway, NJ 08901 USA.</t>
  </si>
  <si>
    <t>carlinghay@fas.harvard.edu</t>
  </si>
  <si>
    <t>Gomez, Natalya/AAU-4323-2020; Wiens, Douglas/J-9259-2016</t>
  </si>
  <si>
    <t>Austermann, Jacqueline/0000-0003-3754-5082; Hay, Carling/0000-0002-9240-2036; Lau, Harriet/0000-0003-0311-695X; Wiens, Douglas/0000-0002-5169-4386; Gomez, Natalya/0000-0002-2463-7917</t>
  </si>
  <si>
    <t>U.S. National Science Foundation [ARC-1203415, OCE-0825293, PLR-1142518, PLR-1246712]; NJ Sea Grant Project [6410-0012]; Natural Sciences and Engineering Research Council of Canada Discovery Grant program; Canada Research Chairs program; Harvard University; McGill University; Directorate For Geosciences; Office of Polar Programs (OPP) [1246712] Funding Source: National Science Foundation</t>
  </si>
  <si>
    <t>U.S. National Science Foundation(National Science Foundation (NSF)); NJ Sea Grant Project; Natural Sciences and Engineering Research Council of Canada Discovery Grant program(Natural Sciences and Engineering Research Council of Canada (NSERC)); Canada Research Chairs program(Canada Research Chairs); Harvard University; McGill University; Directorate For Geosciences; Office of Polar Programs (OPP)(National Science Foundation (NSF)NSF - Directorate for Geosciences (GEO))</t>
  </si>
  <si>
    <t>This work was supported by the U.S. National Science Foundation (Grants ARC-1203415, OCE-0825293, PLR-1142518, and PLR-1246712), the NJ Sea Grant Project 6410-0012, the Natural Sciences and Engineering Research Council of Canada Discovery Grant program, the Canada Research Chairs program, Harvard University, and McGill University.</t>
  </si>
  <si>
    <t>10.1175/JCLI-D-16-0388.1</t>
  </si>
  <si>
    <t>EN1JI</t>
  </si>
  <si>
    <t>WOS:000395765900001</t>
  </si>
  <si>
    <t>Cerutti, ML; Otero, LH; Smal, C; Pellizza, L; Goldbaum, FA; Klinke, S; Aran, M</t>
  </si>
  <si>
    <t>Cerutti, Maria L.; Otero, Lisandro H.; Smal, Clara; Pellizza, Leonardo; Goldbaum, Fernando A.; Klinke, Sebastian; Aran, Martin</t>
  </si>
  <si>
    <t>Structural and functional characterization of a cold adapted TPM-domain with ATPase/ADPase activity</t>
  </si>
  <si>
    <t>JOURNAL OF STRUCTURAL BIOLOGY</t>
  </si>
  <si>
    <t>TPM domain; X-ray crystallography; ATPase activity; NTPDases; Psychrophiles; Cold-adaptation</t>
  </si>
  <si>
    <t>NUCLEOSIDE TRIPHOSPHATE DIPHOSPHOHYDROLASES; MOLECULAR REPLACEMENT; PHOSPHATASE-ACTIVITY; PROTEIN SEQUENCES; THYLAKOID LUMEN; DATABASE; REGIONS; MODEL; GENERATION; FRAMEWORK</t>
  </si>
  <si>
    <t>The Pfam PF04536 TPM_phosphatase family is a broadly conserved family of domains found across prokaryotes, plants and invertebrates. Despite having a similar protein fold, members of this family have been implicated in diverse cellular processes and found in varied subcellular localizations. Very recently, the biochemical characterization of two evolutionary divergent TPM domains has shown that they are able to hydrolyze phosphate groups from different substrates. However, there are still incorrect functional annotations and uncertain relationships between the structure and function of this family of domains. BA41 is an uncharacterized single -pass transmembrane protein from the Antarctic psychrotolerant bacterium Bizionia argentinensis with a predicted compact extracytoplasmic TPM domain and a C terminal cytoplasmic low complexity region. To shed light on the structural properties that enable TPM domains to adopt divergent roles, we here accomplish a comprehensive structural and functional characterization of the central TPM domain of BA41 (BA41-TPM). Contrary to its predicted function as a beta -propeller methanol dehydrogenase, light scattering and crystallographic studies showed that BA41-TPM behaves as a globular monomeric protein and adopts a conserved Rossmann fold, typically observed in other TPM domain structures. Although the crystal structure reveals the conservation of residues involved in substrate binding, no putative catalytic or intramolecular metal ions were detected. Most important, however, extensive biochemical studies demonstrated that BA41-TPM has hydrolase activity against ADP, ATP, and other di- and triphosphate nucleotides and shares properties of cold adapted enzymes. The role of BA41 in extracellular ATP-mediated signaling pathways and its occurrence in environmental and pathogenic microorganisms is discussed. (C) 2016 Elsevier Inc. All rights reserved.</t>
  </si>
  <si>
    <t>[Cerutti, Maria L.; Otero, Lisandro H.; Smal, Clara; Pellizza, Leonardo; Goldbaum, Fernando A.; Klinke, Sebastian; Aran, Martin] Fdn Inst Leloir, IIBBA CONICET, Av Patricias Argentinas 435,C1405BWE, Buenos Aires, DF, Argentina; [Cerutti, Maria L.; Otero, Lisandro H.; Goldbaum, Fernando A.; Klinke, Sebastian] Plataforma Argentina Biol Estruct &amp; Metabol PLABE, Av Patricias Argentinas 435,C1405BWE, Buenos Aires, DF, Argentina</t>
  </si>
  <si>
    <t>Consejo Nacional de Investigaciones Cientificas y Tecnicas (CONICET); Leloir Institute</t>
  </si>
  <si>
    <t>Klinke, S; Aran, M (corresponding author), Fdn Inst Leloir, Av Patricias Argentinas 435,C1405BWE, Buenos Aires, DF, Argentina.</t>
  </si>
  <si>
    <t>sklinke@leloir.org.ar; maran@leloir.org.ar</t>
  </si>
  <si>
    <t>Aran, Martin/N-2095-2019; Filho, Fernando C/Q-8021-2018; Klinke, Sebastian/N-6174-2018</t>
  </si>
  <si>
    <t>Otero, Lisandro/0000-0002-5448-5483; Klinke, Sebastian/0000-0002-8777-0870; Goldbaum, Fernando/0000-0001-6235-3002</t>
  </si>
  <si>
    <t>Argentinian Research Council (CONICET); Argentinian Agency for Science and Technology Promotion (ANPCyT)</t>
  </si>
  <si>
    <t>Argentinian Research Council (CONICET)(Consejo Nacional de Investigaciones Cientificas y Tecnicas (CONICET)); Argentinian Agency for Science and Technology Promotion (ANPCyT)</t>
  </si>
  <si>
    <t>The authors acknowledge access to the PROXIMA 1 beamline at the SOLEIL Synchrotron (France) and to the Argentinian Ministry of Science, Technology and Productive Innovation (MINCyT) for travel support. This work was supported by the Argentinian Research Council (CONICET) and the Argentinian Agency for Science and Technology Promotion (ANPCyT).</t>
  </si>
  <si>
    <t>1047-8477</t>
  </si>
  <si>
    <t>1095-8657</t>
  </si>
  <si>
    <t>J STRUCT BIOL</t>
  </si>
  <si>
    <t>J. Struct. Biol.</t>
  </si>
  <si>
    <t>10.1016/j.jsb.2016.10.010</t>
  </si>
  <si>
    <t>Biochemistry &amp; Molecular Biology; Biophysics; Cell Biology</t>
  </si>
  <si>
    <t>EP9OG</t>
  </si>
  <si>
    <t>WOS:000397702300001</t>
  </si>
  <si>
    <t>Jiang, HS; Johnson, MD</t>
  </si>
  <si>
    <t>Jiang, Houshuo; Johnson, Matthew D.</t>
  </si>
  <si>
    <t>Jumping and overcoming diffusion limitation of nutrient uptake in the photosynthetic ciliate Mesodinium rubrum</t>
  </si>
  <si>
    <t>RECURRENT RED-TIDES; MYRIONECTA-RUBRA; BIOELECTRIC CONTROL; SOUTHAMPTON WATER; GROWTH-RESPONSES; ESCAPE RESPONSE; VESTFOLD HILLS; ABUNDANCE; BEHAVIOR; PHYTOPLANKTON</t>
  </si>
  <si>
    <t>Fast, frequent, and spontaneous jumping by the photosynthetic ciliate Mesodinium rubrum is highly adaptive for overcoming diffusion limitation of nutrient uptake. Using high-speed, high-magnification, digital imaging, jumping behaviors of an Antarctic and temperate North American strain of M. rubrum were investigated. Both strains displayed multiple-beat long jumps, wherein maximum jump speeds and total jump durations varied significantly with strain, temperature, and illumination. However, jump distances were surprisingly similar with means approximating six body lengths, which were just above the thickness of nutrient diffusive boundary layer surrounding the cell. Total jump durations scaled by diffusion time scale were &lt; 1 for almost all observed jumps. Moreover, jump distances and square roots of pre-jump residence times were linearly correlated. Thereby, jumping by M. rubrum is physically constrained by the small-scale advection-diffusion physics of the cell's immediately surrounding water. Additionally, to achieve similar jump distances as the temperate strain at warm temperature, the Antarctic strain lengthened each beat cycle of cilia to kinematically compensate low jump speed at cold temperature, but the ratio of power to recovery stroke duration (similar to 6 : 1) remained unchanged with temperature. As further shown by computational fluid dynamics simulations driven by empirical data, multiple-beat long jumping allows both strains to completely detach the boundary layer and achieve similar Sherwood numbers significantly &gt; 1, despite substantially different jumping kinematics. All these results support the notion that jumping is an essential behavior for M. rubrum to enhance nutrient uptake, and help to explain their high photosynthetic rates and ecological success.</t>
  </si>
  <si>
    <t>[Jiang, Houshuo] Woods Hole Oceanog Inst, Dept Appl Ocean Phys &amp; Engn, Woods Hole, MA 02543 USA; [Johnson, Matthew D.] Woods Hole Oceanog Inst, Dept Biol, Woods Hole, MA 02543 USA</t>
  </si>
  <si>
    <t>Woods Hole Oceanographic Institution; Woods Hole Oceanographic Institution</t>
  </si>
  <si>
    <t>Jiang, HS (corresponding author), Woods Hole Oceanog Inst, Dept Appl Ocean Phys &amp; Engn, Woods Hole, MA 02543 USA.</t>
  </si>
  <si>
    <t>hsjiang@whoi.edu</t>
  </si>
  <si>
    <t>Woods Hole Oceanographic Institution; National Science Foundation [NSF OCE-1433979, NSF IOS-1353937, NSF IOS-1354773]; Direct For Biological Sciences; Division Of Integrative Organismal Systems [1353937] Funding Source: National Science Foundation; Division Of Integrative Organismal Systems; Direct For Biological Sciences [1354773] Funding Source: National Science Foundation; Division Of Ocean Sciences; Directorate For Geosciences [1433979] Funding Source: National Science Foundation</t>
  </si>
  <si>
    <t>Woods Hole Oceanographic Institution; National Science Foundation(National Science Foundation (NSF)); Direct For Biological Sciences; Division Of Integrative Organismal Systems(National Science Foundation (NSF)NSF - Directorate for Biological Sciences (BIO)NSF - Division of Integrative Organismal Systems (IOS)); Division Of Integrative Organismal Systems; Direct For Biological Sciences(National Science Foundation (NSF)NSF - Directorate for Biological Sciences (BIO)NSF - Division of Integrative Organismal Systems (IOS)); Division Of Ocean Sciences; Directorate For Geosciences(National Science Foundation (NSF)NSF - Directorate for Geosciences (GEO))</t>
  </si>
  <si>
    <t>Both M.D.J. and H.J. gratefully acknowledge a Woods Hole Oceanographic Institution - 2015 Interdisciplinary Study Award to them. The authors gratefully thank two anonymous reviewers for providing very helpful and constructive comments that improved the manuscript. H.J. was supported by National Science Foundation grants NSF OCE-1433979 and NSF IOS-1353937. M.D.J. was supported by National Science Foundation grant NSF IOS-1354773.</t>
  </si>
  <si>
    <t>10.1002/lno.10432</t>
  </si>
  <si>
    <t>EQ2CK</t>
  </si>
  <si>
    <t>WOS:000397875700003</t>
  </si>
  <si>
    <t>Feng, YY; Roleda, MY; Armstrong, E; Boyd, PW; Hurd, CL</t>
  </si>
  <si>
    <t>Feng, Yuanyuan; Roleda, Michael Y.; Armstrong, Evelyn; Boyd, Philip W.; Hurd, Catriona L.</t>
  </si>
  <si>
    <t>Environmental controls on the growth, photosynthetic and calcification rates of a Southern Hemisphere strain of the coccolithophore Emiliania huxleyi</t>
  </si>
  <si>
    <t>OCEAN ACIDIFICATION; CARBONATE CHEMISTRY; CALCITE PRODUCTION; CO2 CONCENTRATION; INORGANIC CARBON; INCREASED PCO(2); ELEVATED PCO(2); ORGANIC-CARBON; CHLOROPHYLL-A; LIGHT</t>
  </si>
  <si>
    <t>We conducted a series of diagnostic fitness response experiments on the coccolithophore, Emiliania huxleyi, isolated from the Subtropical Convergence east of New Zealand. Dose response curves (i.e., physiological rate vs. environmental driver) were constructed for growth, photosynthetic, and calcification rates of E. huxleyi relative to each of five environmental drivers (nitrate concentration, phosphate concentration, irradiance, temperature, and pCO(2)). The relative importance of each environmental driver on E. huxleyi rate processes was then ranked using a semi-quantitative approach by comparing the percentage change caused by each environmental driver on the measured physiological metrics under the projected conditions for the year 2100, relative to those for the present day, in the Subtropical Convergence. The results reveal that the projected future decrease in nitrate concentration (33%) played the most important role in controlling the growth, photosynthetic and calcification rates of E. huxleyi, whereas raising pCO(2) to 75 Pa (750 ppm) decreased the calcification : photosynthesis ratios to the greatest degree. These findings reveal that other environmental drivers may be equally or more influential than CO2 in regulating the physiological responses of E. huxleyi, and provide new diagnostic information to better understand how this ecologically important species will respond to the projected future changes to multiple environmental drivers.</t>
  </si>
  <si>
    <t>[Feng, Yuanyuan] Tianjin Univ Sci &amp; Technol, Coll Marine &amp; Environm Sci, Tianjin, Peoples R China; [Feng, Yuanyuan; Roleda, Michael Y.; Hurd, Catriona L.] Univ Otago, Dept Bot, Dunedin, New Zealand; [Roleda, Michael Y.] Norwegian Inst Bioecon Res, Bodo, Norway; [Armstrong, Evelyn] Univ Otago, Univ Otago Res Ctr Oceanog, NIWA, Dept Chem, Dunedin, New Zealand; [Boyd, Philip W.; Hurd, Catriona L.] Univ Tasmania, Inst Marine &amp; Antarctic Studies, Hobart, Tas, Australia</t>
  </si>
  <si>
    <t>Tianjin University Science &amp; Technology; University of Otago; Norwegian Institute of Bioeconomy Research; University of Otago; University of Tasmania</t>
  </si>
  <si>
    <t>Feng, YY (corresponding author), Tianjin Univ Sci &amp; Technol, Coll Marine &amp; Environm Sci, Tianjin, Peoples R China.;Feng, YY (corresponding author), Univ Otago, Dept Bot, Dunedin, New Zealand.</t>
  </si>
  <si>
    <t>yfeng@tust.edu.cn</t>
  </si>
  <si>
    <t>Feng, Yuanyuan/K-5983-2012; Roleda, Michael Y./H-9645-2019; Hurd, Catriona/J-2411-2013; Boyd, Philip/J-7624-2014</t>
  </si>
  <si>
    <t>Feng, Yuanyuan/0000-0002-4565-8717; Roleda, Michael Y./0000-0003-0568-9081; Hurd, Catriona/0000-0001-9965-4917; Boyd, Philip/0000-0001-7850-1911</t>
  </si>
  <si>
    <t>New Zealand Marsden [09-UOO-175]; National Natural Science Foundation of China [41306118, 41676160, 41276124]; OCEM student awards</t>
  </si>
  <si>
    <t>New Zealand Marsden(Royal Society of New ZealandMarsden Fund (NZ)); National Natural Science Foundation of China(National Natural Science Foundation of China (NSFC)); OCEM student awards</t>
  </si>
  <si>
    <t>We would like to thank Cliff Law and Hoe Chang at National Institute of Water and Atmospheric Research Ltd. (NIWA) Wellington for providing the stock culture of Emiliania huxleyi NIWA1108 and for helpful discussion on the manuscript. We also thank Kim Currie at NIWA, Department of Chemistry, University of Otago for helping with the DIC and alkalinity analysis. Liz Girvan at the Otago Centre for Electron Microscope (OCEM) kindly provided help with the SEM sample analysis. This work was supported by New Zealand Marsden grant (09-UOO-175) to CLH, National Natural Science Foundation of China (No. 41306118 and 41676160) to YF, and National Natural Science Foundation of China (No. 41276124) to JS. The SEM analysis was financially supported by OCEM student awards.</t>
  </si>
  <si>
    <t>10.1002/lno.10442</t>
  </si>
  <si>
    <t>Bronze, Green Accepted, Green Submitted</t>
  </si>
  <si>
    <t>WOS:000397875700009</t>
  </si>
  <si>
    <t>Epshtein, OG</t>
  </si>
  <si>
    <t>Epshtein, O. G.</t>
  </si>
  <si>
    <t>Basal (Basic) Moraines: Problem of the Identification and Principles of New Classification</t>
  </si>
  <si>
    <t>LITHOLOGY AND MINERAL RESOURCES</t>
  </si>
  <si>
    <t>LAURENTIDE ICE-SHEET; SEA-FLOOR EVIDENCE; WESTERN ROSS SEA; SUBGLACIAL TILL; BARENTS SEA; STREAM-B; DYNAMICS; DEFORMATION; GLACIER; BENEATH</t>
  </si>
  <si>
    <t>The existing concepts of moraine/till formation are discussed and the available factual data on this issue are analyzed. It is concluded that active glaciers from the transported mineral matter make up exclusively basal moraines on the river bed. The latter moraines, which are composed of material directly deposited from the glacier base on the substrate, represent glacial diamicts. It is believed that material in these deposits always acquire a semisolid-solid (stiff) state. We identified a new type of glacial deposits -mitis basal moraines, which include the recently defined low consolidated glacial diamicts. Consequently, basal moraines are divided into two facies associations: moraines with glaciodynamic structures (common stiff moraines) and mitis moraines (M-moraines). Deposits of these associations are formed in different thermal zones (areas) of the ice sheet bed. Moraines of the first facies association are formed in melt zones. Therefore, they are characterized by different lithologies and overconsolidation. The M-moraines formed on the thawed glacial bed are marked by massive structure and low (normal) consolidation. They are subdivided into the Barents Sea and Antarctic types.</t>
  </si>
  <si>
    <t>[Epshtein, O. G.] Russian Acad Sci, Inst Geol, Pyzhevskii Per 7, Moscow 119117, Russia</t>
  </si>
  <si>
    <t>Geological Institute, Russian Academy of Sciences; Russian Academy of Sciences</t>
  </si>
  <si>
    <t>Epshtein, OG (corresponding author), Russian Acad Sci, Inst Geol, Pyzhevskii Per 7, Moscow 119117, Russia.</t>
  </si>
  <si>
    <t>epshtein@ginras.ru</t>
  </si>
  <si>
    <t>Epshtein, Oleg/0000-0001-9988-2442</t>
  </si>
  <si>
    <t>0024-4902</t>
  </si>
  <si>
    <t>1608-3229</t>
  </si>
  <si>
    <t>LITHOL MINER RESOUR+</t>
  </si>
  <si>
    <t>Lithol. Miner. Resour.</t>
  </si>
  <si>
    <t>10.1134/S0024490217010023</t>
  </si>
  <si>
    <t>Geochemistry &amp; Geophysics; Geology; Mineralogy</t>
  </si>
  <si>
    <t>EQ3TH</t>
  </si>
  <si>
    <t>WOS:000397995200004</t>
  </si>
  <si>
    <t>Moles, J; Wägele, H; Uhl, G; Avila, C</t>
  </si>
  <si>
    <t>Moles, Juan; Waegele, Heike; Uhl, Gabriele; Avila, Conxita</t>
  </si>
  <si>
    <t>Bipolarity in sea slugs: a new species of Doridunculus (Mollusca: Nudibranchia: Onchidoridoidea) from Antarctica</t>
  </si>
  <si>
    <t>ORGANISMS DIVERSITY &amp; EVOLUTION</t>
  </si>
  <si>
    <t>Akiodorididae; Phanerobranchia; Heterobranchia; Weddell Sea; Disjunct distribution; Micro-CT</t>
  </si>
  <si>
    <t>DEEP-SEA; OPISTHOBRANCHIA; BIOGEOGRAPHY; GASTROPODA; PHYLOGENY; INSIGHTS; PACIFIC; ABYSSAL; ORIGIN</t>
  </si>
  <si>
    <t>Bipolar distributions of benthic taxa have intrigued many biologists since the first Antarctic expeditions. Records of taxa, either at species or higher taxonomic levels, encompassing this peculiar distribution have been regularly reported since then. Moreover, the study of heterobranch mollusks from remote areas, such as Antarctica, often provides key taxa so far unknown, which might be essential for systematics. Here, we describe a new species of nudibranch from the eastern Weddell Sea using micro-computed tomography (micro-CT), namely, Doridunculus punkus n. sp. (Akiodorididae). Hitherto, the genus Doridunculus was only reported from the Arctic region. We provide an extensive description of morphological and anatomical characters of D. punkus n. sp., thereby offering new insights into the anatomy of the understudied Akiodorididae. A comparison of all Akiodorididae species shows that D. punkus n. sp. exhibits intermediate characters between some Onchidoridoidea families (i.e., hook-shaped innermost lateral teeth). Furthermore, the detailed study of its reproductive system suggests a close relationship of both Akiodorididae and Goniodorididae. We suggest an Antarctic origin of Akiodorididae followed by dispersion and a subsequent speciation in the Arctic.</t>
  </si>
  <si>
    <t>[Moles, Juan; Avila, Conxita] Univ Barcelona, Dept Evolutionary Biol Ecol &amp; Environm Sci, Avinguda Diagonal 643, E-08028 Barcelona, Spain; [Moles, Juan; Avila, Conxita] Univ Barcelona, Biodivers Res Inst IrBIO, Avinguda Diagonal 643, E-08028 Barcelona, Spain; [Waegele, Heike] Zool Res Museum Alexander Koenig, Adenauerallee 160, D-53113 Bonn, Germany; [Uhl, Gabriele] Ernst Moritz Arndt Univ Greifswald, Museum &amp; Inst Zool, Gen &amp; Syst Zool, Anklamer Str 20, D-17489 Greifswald, Germany</t>
  </si>
  <si>
    <t>University of Barcelona; University of Barcelona; Zoologisches Forschungsmuseum Alexander Koenig (ZFMK); Universitat Greifswald</t>
  </si>
  <si>
    <t>Uhl, Gabriele Beate/JVN-4423-2024; Avila, Conxita/B-9466-2008; Moles, Juan/H-4786-2018</t>
  </si>
  <si>
    <t>Uhl, Gabriele Beate/0000-0001-8758-7913; Avila, Conxita/0000-0002-5489-8376; Moles, Juan/0000-0003-4511-4055</t>
  </si>
  <si>
    <t>German Science foundation [INST 292/119-1 FUGG, INST 292/120-1 FUGG]; Spanish government through the ECOQUIM [REN2003-00545, REN2002-12006-E/ANT]; DISTANTCOM [CTM2013-42667/ANT]; Spanish Government (MEC) [BES-2011-045325]; Systematic Research Fund of the Systematics Association</t>
  </si>
  <si>
    <t>German Science foundation(German Research Foundation (DFG)); Spanish government through the ECOQUIM; DISTANTCOM; Spanish Government (MEC)(Spanish Government); Systematic Research Fund of the Systematics Association</t>
  </si>
  <si>
    <t>We thank Prof W. Arntz and the crew of the RVof Polarstern for inviting us to participate in the Antarctic cruise ANT XXI/2 (AWI, Bremerhaven, Germany). We are indebted to the German Science foundation for funding the micro-CT at the University of Greifswald (INST 292/119-1 FUGG and INST 292/120-1 FUGG) and to P.O.M. Steinhoff and J. Krieger for their help with the micro-CT scans. Funding was also provided by the Spanish government through the ECOQUIM (REN2003-00545, REN2002-12006-E/ANT) and DISTANTCOM (CTM2013-42667/ANT) grants. J. Moles was supported by a Ph.D. grant of the Spanish Government (MEC; BES-2011-045325) and by the Systematic Research Fund of the Systematics Association and the Linnean Society of London for research visits at G. Uhl's lab.</t>
  </si>
  <si>
    <t>1439-6092</t>
  </si>
  <si>
    <t>1618-1077</t>
  </si>
  <si>
    <t>ORG DIVERS EVOL</t>
  </si>
  <si>
    <t>Org. Divers. Evol.</t>
  </si>
  <si>
    <t>10.1007/s13127-016-0309-z</t>
  </si>
  <si>
    <t>Evolutionary Biology; Zoology</t>
  </si>
  <si>
    <t>EN5JV</t>
  </si>
  <si>
    <t>WOS:000396042400008</t>
  </si>
  <si>
    <t>Wagner, P; Dömel, JS; Hofmann, M; Hübner, J; Leese, F; Melzer, RR</t>
  </si>
  <si>
    <t>Wagner, Philipp; Doemel, Jana S.; Hofmann, Michaela; Huebner, Jeremy; Leese, Florian; Melzer, Roland R.</t>
  </si>
  <si>
    <t>Comparative study of bisected proboscides of Pycnogonida</t>
  </si>
  <si>
    <t>Pharynx; Comparative morphology; Scanning electron microscopy; Sea spider</t>
  </si>
  <si>
    <t>SEA SPIDERS ARTHROPODA; ALIMENTARY SYSTEM; FEEDING BIOLOGY; MORPHOLOGY; PHYLOGENY; ARACHNIDA; ECHINATA; HISTORY; FORMS; LIFE</t>
  </si>
  <si>
    <t>To comparatively describe inner pharynx armatures in pycnogonids, we bisected proboscides of Achelia langi (Dohrn, 1881), Anoplodactylus californicus Hall, 1912, Ascorhynchus castellioides Stock, 1957, Austrodecus glaciale Hodgson, 1907, Callipallene margarita (Gordon, 1932), Colossendeis macerrima Wilson, 1881, Endeis spinosa (Montagu, 1808), Nymphon macronyx Sars, 1877, Pallenopsis patagonica (Hoek, 1881), Pantopipetta sp., Pigrogromitus timsanus Calman, 1927, and Pycnogonum litorale (Strom, 1762) and analyzed them with the scanning electron microscope (SEM). Moreover, proboscides were stained with actin green to visualize the muscle arrangement with fluorescence and confocal microscopes (A. langi) and were analyzed with microcomputed X-ray tomography (mu CT; Ascorhynchus japonicus). As a result of our observations, sets of characters that vary between taxa are established. These traits include length and width of proboscis, shape and structure of the inner mouth opening, borders and armature of the antimeres, shape and position of denticle arrays and rows, relative length of pharyngeal filter apparatus, and arrangement and structure of the filter bristles. Analyses of these characters indicate a substantial variability on the pantopod's proboscis inner surface probably as an adaptation to different food sources. Finally, we suggest that the presence of the oyster basket represents a ground pattern character of Pycnogonida.</t>
  </si>
  <si>
    <t>[Wagner, Philipp; Hofmann, Michaela; Huebner, Jeremy; Melzer, Roland R.] Ludwig Maximilians Univ Munchen, Bioctr, Dept Biol 2, Grosshaderner Str 2, D-82152 Planegg Martinsried, Germany; [Wagner, Philipp; Hofmann, Michaela; Huebner, Jeremy; Melzer, Roland R.] Zoolog Staatssammlung, Munchhausenstr 21, D-81247 Munich, Germany; [Doemel, Jana S.; Leese, Florian] Univ Duisburg Essen, Fak Biol, Aquat Okosystemforschung, Univ Str 5, D-45151 Essen, Germany; [Melzer, Roland R.] Geobio Ctr LMU, Richard Wagner Str 10, D-80333 Munich, Germany</t>
  </si>
  <si>
    <t>University of Munich; University of Duisburg Essen; University of Munich</t>
  </si>
  <si>
    <t>Melzer, RR (corresponding author), Ludwig Maximilians Univ Munchen, Bioctr, Dept Biol 2, Grosshaderner Str 2, D-82152 Planegg Martinsried, Germany.;Melzer, RR (corresponding author), Zoolog Staatssammlung, Munchhausenstr 21, D-81247 Munich, Germany.;Melzer, RR (corresponding author), Geobio Ctr LMU, Richard Wagner Str 10, D-80333 Munich, Germany.</t>
  </si>
  <si>
    <t>melzer@zsm.mwn.de</t>
  </si>
  <si>
    <t>Hübner, Jeremy Joshua/ADE-9666-2022; Leese, Florian/D-4277-2012</t>
  </si>
  <si>
    <t>Hübner, Jeremy Joshua/0009-0007-5624-8573; Leese, Florian/0000-0002-5465-913X</t>
  </si>
  <si>
    <t>German Research Foundation [Me 2683/8, Le 2323/3]; Sea Life Center Munich</t>
  </si>
  <si>
    <t>German Research Foundation(German Research Foundation (DFG)); Sea Life Center Munich</t>
  </si>
  <si>
    <t>This study was partly supported by German Research Foundation grant Me 2683/8 and Le 2323/3 within Priority Programme 1158 (Antarctic Research) and by grant of Sea Life Center Munich to R. Melzer. Special thanks go to Martl Hess for piloting the confocal microscope.</t>
  </si>
  <si>
    <t>10.1007/s13127-016-0310-6</t>
  </si>
  <si>
    <t>WOS:000396042400010</t>
  </si>
  <si>
    <t>Deregibus, D; Quartino, ML; Zacher, K; Campana, GL; Barnes, DKA</t>
  </si>
  <si>
    <t>Deregibus, D.; Quartino, M. L.; Zacher, K.; Campana, G. L.; Barnes, D. K. A.</t>
  </si>
  <si>
    <t>Understanding the link between sea ice, ice scour and Antarctic benthic biodiversity-the need for cross-station and international collaboration</t>
  </si>
  <si>
    <t>KING GEORGE ISLAND; CLIMATE-CHANGE; POTTER COVE; SUBTIDAL MACROALGAE; SIGNY ISLAND; WEDDELL SEA; PENINSULA; PATTERNS; BIOMASS; IMPACT</t>
  </si>
  <si>
    <t>The western Antarctic Peninsula (WAP) is a hotspot of rapid recent regional 'climate change'. This has resulted in a 0.4 degrees C rise in sea temperature in the last 50 years, five days of sea ice lost per decade and increased ice scouring in the shallows. The WAP shallows are ideal for studying the biological response to physical change because most known Antarctic species are benthic, physical change occurs mainly in the shallows and most research stations are coastal. Studies at Rothera Station have found increased benthic disturbance with losses of winter sea ice and assemblage-level changes coincident with this ice scouring. Such studies are difficult to scale up as they depend on SCUBA diving - a very spatially limited technique. Here we report attempts to broaden the understanding of benthic ecosystem responses to physical change by replicating the Rothera experimental grids at Carlini Station through collaboration between the UK, Argentina and Germany across Signy, Rothera and Carlini stations. We argue that such collaborations are the way forward towards understanding the big picture of biota responses to physical climate changes at a regional scale.</t>
  </si>
  <si>
    <t>[Deregibus, D.; Quartino, M. L.; Campana, G. L.] Inst Antartico Argentino, Dept Biol Costera, 25 Mayo 1147, RA-1650 San Martin, Buenos Aires, Argentina; [Quartino, M. L.] Museo Argentino Ciencias Nat Bernardino Rivadavia, Av A Gallardo 470 C1405DJR, Buenos Aires, DF, Argentina; [Zacher, K.] Helmholtz Ctr Polar &amp; Marine Res, Alfred Wegener Inst, Handelshafen 12, D-27570 Bremerhaven, Germany; [Campana, G. L.] Univ Nacl Lujan, Dept Ciencias Basicas, Ruta 5 &amp; Ave Constituc 6700, Lujan, Buenos Aires, Argentina; [Barnes, D. K. A.] British Antarctic Survey, NERC, Madingley Rd, Cambridge CB3 0ET, England</t>
  </si>
  <si>
    <t>Instituto Antartico Argentino; Museo Argentino de Ciencias Naturales Bernardino Rivadavia (MACN); Helmholtz Association; Alfred Wegener Institute, Helmholtz Centre for Polar &amp; Marine Research; Universidad Nacional de Lujan; UK Research &amp; Innovation (UKRI); Natural Environment Research Council (NERC); NERC British Antarctic Survey</t>
  </si>
  <si>
    <t>Deregibus, D (corresponding author), Inst Antartico Argentino, Dept Biol Costera, 25 Mayo 1147, RA-1650 San Martin, Buenos Aires, Argentina.</t>
  </si>
  <si>
    <t>dderegibus@dna.gov.ar</t>
  </si>
  <si>
    <t>DNA-IAA [PICTA 7]; ANPCyT-DNA [PICTO 0116]; Deutsche Forschungsgemeinschaft (DFG) [Za735/1-1]; Natural Environment Research Council [bas0100036] Funding Source: researchfish; NERC [bas0100036] Funding Source: UKRI</t>
  </si>
  <si>
    <t>DNA-IAA; ANPCyT-DNA; Deutsche Forschungsgemeinschaft (DFG)(German Research Foundation (DFG)); Natural Environment Research Council(UK Research &amp; Innovation (UKRI)Natural Environment Research Council (NERC)); NERC(UK Research &amp; Innovation (UKRI)Natural Environment Research Council (NERC))</t>
  </si>
  <si>
    <t>This work was supported by grants from DNA-IAA (PICTA 7/2008-2011) and ANPCyT-DNA (PICTO 0116/2012-2015). The present manuscript also presents an outcome of the EU project IMCONet (FP7 IRSES, action no. 319718). This work was further supported by the Deutsche Forschungsgemeinschaft (DFG) in the framework of the priority programme `Antarctic Research with comparative investigations in Arctic ice areas' by a grant Za735/1-1.</t>
  </si>
  <si>
    <t>10.1017/S0032247416000875</t>
  </si>
  <si>
    <t>EQ6WO</t>
  </si>
  <si>
    <t>WOS:000398224700003</t>
  </si>
  <si>
    <t>Davis, GA</t>
  </si>
  <si>
    <t>Davis, Georgina A.</t>
  </si>
  <si>
    <t>A history of McMurdo Station through its architecture</t>
  </si>
  <si>
    <t>McMurdo Station, Antarctica, is a US Federal research facility operated year-round by the National Science Foundation (NSF). Its primary mission is to support scientific research, but it also provides logistical air and ground support for South Pole Station, seasonal field sites and nearby stations operated by other countries. It is the largest station in Antarctica, supporting up to 1,200 people. While McMurdo Station has a long scientific legacy, the facility also has an interesting architectural and engineering history that spans 60 years and has its antecedents in the 'heroic age' of exploration (1898-1916) and the Little America expeditions (1929-1958). Here, I describe the history of the built environment of McMurdo Station to clarify how it evolved from a temporary air station in the late 1950s to its current role as the flagship research facility of the US Antarctic Research Program (USAP). This historical review may provide insights that are useful as the station continues to transform and evolve, allowing it to continue its scientific mission into the 21st century.</t>
  </si>
  <si>
    <t>[Davis, Georgina A.] Texas A&amp;M Univ, Coll Architecture, College Stn, TX 77840 USA</t>
  </si>
  <si>
    <t>Texas A&amp;M University System; Texas A&amp;M University College Station</t>
  </si>
  <si>
    <t>Davis, GA (corresponding author), Texas A&amp;M Univ, Coll Architecture, College Stn, TX 77840 USA.</t>
  </si>
  <si>
    <t>georgina.davis@gmail.com</t>
  </si>
  <si>
    <t>L.T. Jordan Fellows Program; William W. Caudill Research Fellowship; Texas A&amp;M University Office of Graduate Studies</t>
  </si>
  <si>
    <t>This work was supported in part by the L.T. Jordan Fellows Program (2008-2009), the William W. Caudill Research Fellowship (2008-2009), a travel grant from the Texas A&amp;M University Office of Graduate Studies and assistantships provided by Texas A&amp;M University.</t>
  </si>
  <si>
    <t>10.1017/S0032247416000747</t>
  </si>
  <si>
    <t>WOS:000398224700006</t>
  </si>
  <si>
    <t>White, M</t>
  </si>
  <si>
    <t>White, Moira</t>
  </si>
  <si>
    <t>Aurora and the Otago Museum: the boundary between Antarctic science and seamanship</t>
  </si>
  <si>
    <t>Sir Ernest Shackleton's Imperial Trans-Antarctic Expedition famously did not succeed in traversing the Antarctic continent from the Weddell Sea to the Ross Sea. It was, nevertheless, an enterprise that engaged the interest of New Zealanders and the rest of the British Empire even as World War I was being fought. When one of the expedition ships, Aurora, broke from her moorings soon after arrival in McMurdo Sound and drifted trapped in pack ice for months, the construction of a temporary jury rudder while still at sea enabled her crew to make their way to Port Chalmers, Dunedin for more extensive repairs in 1916. This paper discusses interactions between the Otago Museum staff and the crew of Aurora while she was in port, the offer of the replaced jury rudder to the museum, and reflects on the concerns and interests that might have contributed to the offer and its rejection.</t>
  </si>
  <si>
    <t>[White, Moira] Otago Museum, Humanities, POB 6202, Dunedin 9059, New Zealand</t>
  </si>
  <si>
    <t>White, M (corresponding author), Otago Museum, Humanities, POB 6202, Dunedin 9059, New Zealand.</t>
  </si>
  <si>
    <t>moira.white@otagomuseum.nz</t>
  </si>
  <si>
    <t>White, Moira/0000-0001-8633-5597</t>
  </si>
  <si>
    <t>10.1017/S0032247416000851</t>
  </si>
  <si>
    <t>WOS:000398224700008</t>
  </si>
  <si>
    <t>Fedorov, VM; Mavlyudov, BR; Savatyugin, LM</t>
  </si>
  <si>
    <t>Fedorov, V. M.; Mavlyudov, B. R.; Savatyugin, L. M.</t>
  </si>
  <si>
    <t>Secular Trends in Variations of Spitsbergen Ice Resources</t>
  </si>
  <si>
    <t>WATER RESOURCES</t>
  </si>
  <si>
    <t>ice resources; total ice mass budget; global water exchange; secular trends; decrease in ice resources</t>
  </si>
  <si>
    <t>MASS-BALANCE; SVALBARD; GLACIERS</t>
  </si>
  <si>
    <t>A relationship is established between many-year variations of the total budget of Spitsbergen glacier mass and variations of the solar radiation reaching the upper atmospheric boundary in the Northern Hemisphere per year. A regression equation was used to evaluate the total mass budget of glaciers Austre Broggebreen and Midre Lovenbreen over period from 1850 to 2050. The trend in the decrease of ice resources in Spitsbergen is show to be related with an increase in the internlatitudinal heat exchange and the greenhouse effect because of the accumulation of heat from incoming solar radiation.</t>
  </si>
  <si>
    <t>[Fedorov, V. M.] Moscow MV Lomonosov State Univ, Moscow 119991, Russia; [Mavlyudov, B. R.] Russian Acad Sci, Inst Geog, Moscow 119017, Russia; [Savatyugin, L. M.] Arctic &amp; Antarctic Res Inst, St Petersburg 199397, Russia</t>
  </si>
  <si>
    <t>Lomonosov Moscow State University; Institute of Geography, Russian Academy of Sciences; Russian Academy of Sciences; Arctic &amp; Antarctic Research Institute</t>
  </si>
  <si>
    <t>Fedorov, VM (corresponding author), Moscow MV Lomonosov State Univ, Moscow 119991, Russia.</t>
  </si>
  <si>
    <t>fedorov.msu@mail.ru</t>
  </si>
  <si>
    <t>Fedorov, Valery/AFN-4607-2022; Мавлюдов, Булат/AAF-9461-2021</t>
  </si>
  <si>
    <t>Fedorov, Valery/0000-0003-2305-7408; Мавлюдов, Булат/0000-0002-1576-7920</t>
  </si>
  <si>
    <t>Russian Foundation for Basic Research [15-29-06967, 15-05-07590]</t>
  </si>
  <si>
    <t>This study was supported by the Russian Foundation for Basic Research, project nos. 15-29-06967 and 15-05-07590.</t>
  </si>
  <si>
    <t>0097-8078</t>
  </si>
  <si>
    <t>1608-344X</t>
  </si>
  <si>
    <t>WATER RESOUR+</t>
  </si>
  <si>
    <t>Water Resour.</t>
  </si>
  <si>
    <t>10.1134/S0097807817020026</t>
  </si>
  <si>
    <t>Water Resources</t>
  </si>
  <si>
    <t>EQ5FI</t>
  </si>
  <si>
    <t>WOS:000398107300004</t>
  </si>
  <si>
    <t>Zhan, JQ; Li, W; Chen, LQ; Lin, Q; Gao, Y</t>
  </si>
  <si>
    <t>Zhan, Jianqiong; Li, Wei; Chen, Liqi; Lin, Qi; Gao, Yuan</t>
  </si>
  <si>
    <t>Anthropogenic influences on aerosols at Ny-Ålesund in the summer Arctic</t>
  </si>
  <si>
    <t>ATMOSPHERIC POLLUTION RESEARCH</t>
  </si>
  <si>
    <t>Anthropogenic impact; Secondary inorganic aerosol; Aerosol acidity; Chloride depletion; Free [H]</t>
  </si>
  <si>
    <t>MARINE BOUNDARY-LAYER; SECONDARY INORGANIC AEROSOL; SEA-SALT AEROSOL; CHEMICAL-COMPOSITION; DIMETHYL SULFIDE; ATMOSPHERIC AEROSOL; ZEPPELIN STATION; BIOGENIC SULFUR; SHIP EMISSIONS; BLACK CARBON</t>
  </si>
  <si>
    <t>The Arctic atmosphere has been disturbed by human activities. To improve the understanding of anthropogenic influences, major ionic species and carbonaceous components were measured at Ny-angstrom lesund in July 2012. The results suggested that Na+ and Cl- are the dominant water soluble inorganic species, accounting for 57 +/- 17% of the mass of measured ionic species, and 61% of the variance in organic carbon can be explained by oceanic emissions. Aerosols in this area were found to be altered by secondary production involving oxides of sulfur, nitrogen and ammonia from anthropogenic activities, resulting in relative high concentrations of secondary inorganic aerosols (SIA) (such as non-sea salt (nss)-SO42-, NO3- and NH4+), with a mean concentration of 158 ng m(-3). SIAs were featured by a mean [NH4+]/[nss-SO42-] ratio of 0.57 and a neutralization ratio (NR) of 0.074, indicating a deficit of NH4+. Thus, the production of particulate NH4 NO3 was strongly limited and SIAs were likely to remain in more acidic forms, NH4HSO4 or H2SO4 rather than as (NH4)(2)SO4. Chloride depletion of 11%-22% occurred in the samples with high concentrations of excess acidic species (defined as [nss-SO42- + NO3- - NH4+]) and high sea salts. The formation of SIAs and chloride depletion appeared to produce acidic aerosols with a mean pH of 4.51 and high free [H] concentrations of 3.06 +/- 0.75 nmol m(-3) in aerosols, accounting for 77% of the total [H] concentration. This implies that anthropogenic species could be engaged efficiently in modifying of the properties of aerosols at Ny-angstrom lesund. Copyright (C) 2016 Turkish National Committee for Air Pollution Research and Control. Production and hosting by Elsevier B.V. All rights reserved.</t>
  </si>
  <si>
    <t>[Zhan, Jianqiong; Gao, Yuan] Rutgers State Univ, Dept Earth &amp; Environm Sci, Newark, NJ 07102 USA; [Zhan, Jianqiong; Li, Wei; Chen, Liqi; Lin, Qi] State Ocean Adm, Inst Oceanog 3, Key Lab Global Change &amp; Marine Atmospher Chem, Xiamen 361005, Fujian, Peoples R China; [Zhan, Jianqiong] Chinese Acad Sci, State Key Lab Atmospher Boundary Layer Phys &amp; Atm, Inst Atmospher Phys, Beijing 100029, Peoples R China</t>
  </si>
  <si>
    <t>Rutgers University System; Rutgers University Newark; Rutgers University New Brunswick; Third Institute of Oceanography, Ministry of Natural Resources; Chinese Academy of Sciences; Institute of Atmospheric Physics, CAS</t>
  </si>
  <si>
    <t>Zhan, JQ (corresponding author), Chinese Acad Sci, State Key Lab Atmospher Boundary Layer Phys &amp; Atm, Inst Atmospher Phys, Beijing 100029, Peoples R China.</t>
  </si>
  <si>
    <t>zhanjq@mail.iap.ac.cn; liwei@tio.org.cn; chenliqi@tio.org.cn; linqi@tio.org.cn; yuangaoh@andromeda.rutgers.edu</t>
  </si>
  <si>
    <t>National Natural Science Foundation of China [41105094]; The Chinese Arctic and Antarctic Administration of the State Oceanic Administration of China; NOAA Air Resources Laboratory (ARL)</t>
  </si>
  <si>
    <t>National Natural Science Foundation of China(National Natural Science Foundation of China (NSFC)); The Chinese Arctic and Antarctic Administration of the State Oceanic Administration of China; NOAA Air Resources Laboratory (ARL)(United States Department of DefenseUS Army Research Laboratory (ARL)National Oceanic Atmospheric Admin (NOAA) - USA)</t>
  </si>
  <si>
    <t>This work was funded by the National Natural Science Foundation of China (41105094). The Chinese Arctic and Antarctic Administration of the State Oceanic Administration of China supported the field accommodation at YRS. We gratefully acknowledge the NOAA Air Resources Laboratory (ARL) for the provision of HYSPLIT transport and dispersion model, NCAR/NCEP and Globcolour (http://hermes.acri.fr/index.php) for providing the meteorological and chlorophyll data freely. We thank Elisabeth Bjerke Rastad at Kings Bay AS for supplying the harbor log.</t>
  </si>
  <si>
    <t>TURKISH NATL COMMITTEE AIR POLLUTION RES &amp; CONTROL-TUNCAP</t>
  </si>
  <si>
    <t>BUCA</t>
  </si>
  <si>
    <t>DOKUZ EYLUL UNIV, DEPT ENVIRONMENTAL ENGINEERING, TINAZTEPE CAMPUS, BUCA, IZMIR 35160, TURKEY</t>
  </si>
  <si>
    <t>1309-1042</t>
  </si>
  <si>
    <t>ATMOS POLLUT RES</t>
  </si>
  <si>
    <t>Atmos. Pollut. Res.</t>
  </si>
  <si>
    <t>10.1016/j.apr.2016.10.010</t>
  </si>
  <si>
    <t>EP5RF</t>
  </si>
  <si>
    <t>WOS:000397435600019</t>
  </si>
  <si>
    <t>Wilson, DJ; Lyver, PO; Greene, TC; Whitehead, AL; Dugger, KM; Karl, BJ; Barringer, JRF; McGarry, R; Pollard, AM; Ainley, DG</t>
  </si>
  <si>
    <t>Wilson, Deborah J.; Lyver, Philip O'B; Greene, Terry C.; Whitehead, Amy L.; Dugger, Katie M.; Karl, Brian J.; Barringer, James R. F.; McGarry, Roger; Pollard, Annie M.; Ainley, David G.</t>
  </si>
  <si>
    <t>South Polar Skua breeding populations in the Ross Sea assessed from demonstrated relationship with Ad,lie Penguin numbers</t>
  </si>
  <si>
    <t>Distance sampling; Environmental change; Pygoscelis adeliae; Seabirds; South Polar Skua; Stercorarius maccormicki</t>
  </si>
  <si>
    <t>CATHARACTA-MACCORMICKI; ENVIRONMENTAL-CHANGE; DESIGN; ISLAND; MODEL; BIRD; DIET; FOOD</t>
  </si>
  <si>
    <t>In the Ross Sea region, most South Polar Skuas (Stercorarius maccormicki) nest near Ad,lie Penguin (Pygoscelis adeliae) colonies, preying and scavenging on fish, penguins, and other carrion. To derive a relationship to predict skua numbers from better-quantified penguin numbers, we used distance sampling to estimate breeding skua numbers within 1000 m of 5 penguin nesting locations (Cape Crozier, Cape Royds, and 3 Cape Bird locations) on Ross Island in 3 consecutive years. Estimated numbers of skua breeding pairs were highest at Cape Crozier (270,000 penguin pairs; 1099 and 1347 skua pairs in 2 respective years) and lowest at Cape Royds (3000 penguin pairs; 45 skua pairs). The log-log linear relationship (R (2) = 0.98) between pairs of skuas and penguins was highly significant, and most historical estimates of skua and penguin numbers in the Ross Sea were within 95 % prediction intervals of the regression. Applying our regression model to current Ad,lie Penguin colony sizes at 23 western Ross Sea locations predicted that 4635 pairs of skuas now breed within 1000 m of penguin colonies in the Ross Island metapopulation (including Beaufort Island) and northern Victoria Land. We estimate, using published skua estimates for elsewhere in Antarctica, that the Ross Sea South Polar Skua population comprises similar to 50 % of the world total, although this may be an overestimate because of incomplete data elsewhere. To improve predictions and enable measurement of future skua population change, we recommend additional South Polar Skua surveys using consistent distance-sampling methods at penguin colonies of a range of sizes.</t>
  </si>
  <si>
    <t>[Wilson, Deborah J.] Landcare Res, Private Bag 1930, Dunedin 9054, New Zealand; [Lyver, Philip O'B; Karl, Brian J.; Barringer, James R. F.] Landcare Res, POB 69040, Lincoln 7640, New Zealand; [Greene, Terry C.] Dept Conservat, Private Bag 4715, Christchurch 8140, New Zealand; [Whitehead, Amy L.] Natl Inst Water &amp; Atmospher Res, 10 Kyle St, Christchurch 8011, New Zealand; [Dugger, Katie M.] Oregon State Univ, Dept Fisheries &amp; Wildlife, Oregon Cooperat Fish &amp; Wildlife Res Unit, US Geol Survey, Corvallis, OR 97331 USA; [McGarry, Roger] POB 57-021, Auckland 1025, New Zealand; [Pollard, Annie M.] 247 South 2nd St, Coos Bay, OR 97420 USA; [Ainley, David G.] HT Harvey &amp; Associates Ecol Consultants, Los Gatos, CA 95032 USA</t>
  </si>
  <si>
    <t>Landcare Research - New Zealand; Landcare Research - New Zealand; National Institute of Water &amp; Atmospheric Research (NIWA) - New Zealand; Oregon State University; United States Department of the Interior; United States Geological Survey</t>
  </si>
  <si>
    <t>Wilson, DJ (corresponding author), Landcare Res, Private Bag 1930, Dunedin 9054, New Zealand.</t>
  </si>
  <si>
    <t>wilsond@landcareresearch.co.nz</t>
  </si>
  <si>
    <t>Wilson, Deborah J/B-8651-2008; Whitehead, Amy/E-6505-2010</t>
  </si>
  <si>
    <t>Whitehead, Amy/0000-0002-4164-9047; Wilson, Deborah/0000-0002-6401-3092</t>
  </si>
  <si>
    <t>contestable Grants [C01X1226, C01X1001]; New Zealand Ministry of Business, Innovation and Employment's Science and Innovation Group; New Zealand Ministry for Primary Industries [MPI17238-S01-LC]; New Zealand Department of Conservation (Science and Capability); U.S. National Science Foundation [ANT-0944411]; Directorate For Geosciences; Office of Polar Programs (OPP) [1543459, 0944411] Funding Source: National Science Foundation; Office of Polar Programs (OPP); Directorate For Geosciences [1543541] Funding Source: National Science Foundation</t>
  </si>
  <si>
    <t>contestable Grants; New Zealand Ministry of Business, Innovation and Employment's Science and Innovation Group(New Zealand Ministry of Business, Innovation and Employment (MBIE)); New Zealand Ministry for Primary Industries; New Zealand Department of Conservation (Science and Capability); U.S. National Science Foundation(National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</si>
  <si>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We thank G. Barclay, J. Whitehead, Q. Barr-Glintborg and R. Hunter for assistance in the field, K. Drew for data compilation, Antarctica New Zealand and the U.S. Antarctic Program for logistical support, and the New Zealand Ministry for Primary Industries' Antarctic Fisheries Working Group for discussions. We are grateful to W. Fraser and E. Woehler for insights into skuas and penguins in the Antarctic Peninsula and East Antarctic regions, respectively; W. Fraser of the Palmer LTER also provided unpublished data on skua numbers in the middle portion of the Antarctic Peninsula. Similarly, we thank C. Harris for access to the Important Bird Areas data base to check on our gleaning of the literature for skua numbers in the Antarctic Peninsula. We thank reviewers and editors for their valuable comments on previous versions of this paper. This research was conducted in compliance with New Zealand Ministry of Foreign Affairs and Trade Preliminary Environmental Evaluation Notification/Permits (K121-1112; K121-1213 and K122-1415-A). It was supported by contestable Grants (C01X1226 and C01X1001) and core funding for Crown Research Institutes from the New Zealand Ministry of Business, Innovation and Employment's Science and Innovation Group, by the New Zealand Ministry for Primary Industries (MPI17238-S01-LC), by the New Zealand Department of Conservation (Science and Capability), and by Grant ANT-0944411 from the U.S. National Science Foundation. Any use of trade, firm, or product names is for descriptive purposes only and does not imply endorsement by the US government.</t>
  </si>
  <si>
    <t>10.1007/s00300-016-1980-4</t>
  </si>
  <si>
    <t>EM2WR</t>
  </si>
  <si>
    <t>WOS:000395177000007</t>
  </si>
  <si>
    <t>Lee, WY; Jung, JW; Choi, HG; Chung, H; Han, YD; Cho, SR; Kim, JH</t>
  </si>
  <si>
    <t>Lee, Won Young; Jung, Jin-Woo; Choi, Han-Gu; Chung, Hosung; Han, Yeong-Deok; Cho, Sam-Rae; Kim, Jeong-Hoon</t>
  </si>
  <si>
    <t>Behavioral responses of chinstrap and gentoo penguins to a stuffed skua and human nest intruders</t>
  </si>
  <si>
    <t>Nest defense behavior; Human disturbance; Pygoscelis antarcticus; Pygoscelis papua</t>
  </si>
  <si>
    <t>KING-GEORGE-ISLAND; HUMAN DISTURBANCE; BREEDING SUCCESS; PYGOSCELIS-ANTARCTICA; MAGELLANIC PENGUINS; STRESS-RESPONSE; PARENTAL CARE; DEFENSE; PREDATION; ADELIE</t>
  </si>
  <si>
    <t>Breeding animals can increase the survival of their offspring by defending their offspring and perform a conspicuous display against nest predators and potential risks. Here, we recorded the behavioral responses of Antarctic penguins when a stuffed skua and a human approached their nests. We investigated (1) how sympatrically breeding chinstrap (Pygoscelis antarcticus) and gentoo (Pygoscelis papua) penguins responded to the approaching skua (a real nest predator) and human (a newly introduced intruder) and (2) how the penguin responses varied based on the degree of previous exposure to humans. Our results showed that chinstrap penguins mostly displayed strongly threatening behavior, with physical attacks on both the skua and human. However, gentoo penguins displayed a weaker threatening behavior toward the skua and responded differently to the presence of a human. Many gentoo individuals avoided the human rather than displaying threatening behavior. Furthermore, gentoo penguins near the pathway used by humans exhibited weak responses after 4 weeks of exposures to passers-by, whereas other individuals far from the pathway responded with threatening behavior. These results indicate that chinstrap and gentoo penguins may have different strategies for defending their offspring; gentoo penguins might discriminate between intruder types depending on the degree of danger, whereas chinstrap penguins consistently reacted to any intruders approaching to their nest sites. Our findings suggest that gentoo penguins may become habituated with humans following prior to short-term exposure.</t>
  </si>
  <si>
    <t>[Lee, Won Young; Jung, Jin-Woo; Choi, Han-Gu; Chung, Hosung; Kim, Jeong-Hoon] Korea Polar Res Inst, Div Polar Life Sci, Incheon 406840, South Korea; [Jung, Jin-Woo; Han, Yeong-Deok; Cho, Sam-Rae] Kongju Natl Univ, Dept Biol Sci, Gongju, South Korea</t>
  </si>
  <si>
    <t>Korea Polar Research Institute (KOPRI); Kongju National University</t>
  </si>
  <si>
    <t>Kim, JH (corresponding author), Korea Polar Res Inst, Div Polar Life Sci, Incheon 406840, South Korea.</t>
  </si>
  <si>
    <t>jhkim94@kopri.re.kr</t>
  </si>
  <si>
    <t>Han, Yeong-Deok/GWR-0467-2022</t>
  </si>
  <si>
    <t>Long-Term Ecological Researches on King George Island to Predict Ecosystem Responses to Climate Change - Korea Polar Research Institute [PE14020]; Basic Science Research Program through the National Research Foundation of Korea (NRF) - Ministry of Education, Science and Technology [NRF-2014R1A6A3A01008495]</t>
  </si>
  <si>
    <t>Long-Term Ecological Researches on King George Island to Predict Ecosystem Responses to Climate Change - Korea Polar Research Institute(Korea Polar Research Institute of Marine Research Placement (KOPRI)); Basic Science Research Program through the National Research Foundation of Korea (NRF) - Ministry of Education, Science and Technology(National Research Foundation of Korea)</t>
  </si>
  <si>
    <t>We thank Sungjun Choi, Juntae Kim, Hangyu Kim, Hwayun Kang and Minsoo Jung for sharing field work and Dr. Erik Potvin for the English help. This research was supported by the Long-Term Ecological Researches on King George Island to Predict Ecosystem Responses to Climate Change funded by Korea Polar Research Institute (PE14020) and Basic Science Research Program through the National Research Foundation of Korea (NRF) funded by the Ministry of Education, Science and Technology (NRF-2014R1A6A3A01008495).</t>
  </si>
  <si>
    <t>10.1007/s00300-016-1984-0</t>
  </si>
  <si>
    <t>WOS:000395177000010</t>
  </si>
  <si>
    <t>Dilley, BJ; Schramm, M; Ryan, PG</t>
  </si>
  <si>
    <t>Dilley, Ben J.; Schramm, Michael; Ryan, Peter G.</t>
  </si>
  <si>
    <t>Modest increases in densities of burrow-nesting petrels following the removal of cats (Felis catus) from Marion Island</t>
  </si>
  <si>
    <t>Seabird conservation; Predation; Island restoration; (Mus musculus); (Felis catus)</t>
  </si>
  <si>
    <t>PRINCE-EDWARD-ISLANDS; WHITE-CHINNED PETRELS; GOUGH ISLAND; PROCELLARIA-AEQUINOCTIALIS; LONGLINE FISHERY; HOUSE MICE; MOUSE PREDATION; SOUTH-GEORGIA; FERAL CATS; BREEDING BIOLOGY</t>
  </si>
  <si>
    <t>Introduced predators are one of the main threats facing seabirds breeding on oceanic islands. Cats (Felis catus) were introduced to subantarctic Marion Island (290 km(2)) in 1949, and by the 1970s some 2000 cats were killing about 450,000 seabirds per year, greatly reducing burrowing petrel populations. Cats were eradicated by 1991, but house mice (Mus musculus) remain. The densities of utilised petrel burrows were estimated in 2013 by systematically searching for their burrows in 741 10 x 10 m sample quadrats in the north-eastern sector of Marion Island, repeating the sampling design and methods used by Schramm in 1979. The mean burrow densities and 95 % CIs were compared between surveys by species for the different habitat and vegetation types, with non-overlapping CIs considered indicative of an increase in burrow density. With cats eradicated and the potential for immigration from nearby Prince Edward Island (free of introduced mammals), we could expect a multi-fold increase in petrel numbers over the last two decades; however, burrow densities at Marion have increased by only 56 % since 1979. White-chinned petrels (Procellaria aequinoctialis) showed the greatest increase, despite being listed as vulnerable due to incidental mortality on fishing gear at sea. The recovery of other summer-breeding species decreased with decreasing body size, and winter-breeding species showed even smaller recoveries, similar to patterns of breeding success at Gough Island, where mice are major predators of petrel chicks and eggs. Predation by mice is the most likely explanation for the limited recovery of Marion's petrel populations.</t>
  </si>
  <si>
    <t>[Dilley, Ben J.; Schramm, Michael; Ryan, Peter G.] Univ Cape Town, Percy Fitzpatrick Inst African Ornithol, DST NRF Ctr Excellence, ZA-7701 Rondebosch, South Africa; [Schramm, Michael] NISC Pty Ltd, POB 377, ZA-6140 Grahamstown, South Africa</t>
  </si>
  <si>
    <t>Dilley, BJ (corresponding author), Univ Cape Town, Percy Fitzpatrick Inst African Ornithol, DST NRF Ctr Excellence, ZA-7701 Rondebosch, South Africa.</t>
  </si>
  <si>
    <t>dilleyben@gmail.com</t>
  </si>
  <si>
    <t>National Research Foundation (South African National Antarctic Programme)</t>
  </si>
  <si>
    <t>We thank Delia Davies for support and assistance in the field and the 69th Marion Expedition Team members for their support. We commend Marthan Bester and all the cat hunters for their perseverance. Susan Cunningham and Jessica Shaw assisted with data analyses. Rachael Alderman (Wildlife Management Branch, DPIPWE, Tasmania) provided information on Macquarie Island. Stefan Schoombie found breeding diving petrels on Marion in 2015. The South African Department of Environmental Affairs provided logistical support. Financial support was received from the National Research Foundation (South African National Antarctic Programme). We thank Graham Parker, Jeroen Creuwels and one anonymous reviewer for their helpful comments.</t>
  </si>
  <si>
    <t>10.1007/s00300-016-1985-z</t>
  </si>
  <si>
    <t>WOS:000395177000011</t>
  </si>
  <si>
    <t>Vanella, FA; Duarte, CA; Lattuca, ME; Fernández, DA; Boy, CC</t>
  </si>
  <si>
    <t>Alberto Vanella, Fabian; Alejandra Duarte, Claudia; Eugenia Lattuca, Maria; Alfredo Fernandez, Daniel; Clementina Boy, Claudia</t>
  </si>
  <si>
    <t>Effects of changes in salinity on oxygen and food consumption of the young sub-Antarctic notothenioid Eleginops maclovinus: possible implications of their use of an estuarine habitat</t>
  </si>
  <si>
    <t>Eleginops maclovinus; Metabolism; Respirometry; Salinity; Estuarial zone; Lapataia Bay</t>
  </si>
  <si>
    <t>SALMON ONCORHYNCHUS-TSHAWYTSCHA; BEAGLE CHANNEL; FISH; GROWTH; METABOLISM; CHILE; OSTEICHTHYES; VALENCIENNES; TEMPERATURE; ENERGETICS</t>
  </si>
  <si>
    <t>Salinity is one of the most important structuring factors in the distribution and bioenergetics of estuarine fishes. The aims of this work were to study the distribution of the sub-Antarctic, eurythermic, euryhaline and coastal notothenioid Eleginops maclovinus in Lapataia estuary (Tierra del Fuego National Park), in relation to salinity conditions, and the effect of salinity on the oxygen consumption of this species. The spread of the mixing zone of Lapataia was studied and physicochemical properties (conductivity, pH, temperature and salinity) were measured. Distribution of E. maclovinus juveniles was investigated principally by electrofishing in the field. Oxygen consumption of absorptive and post-absorptive young-of-the-year individuals (8-10 cm total length) was analyzed by stop-flow respirometry measurements, performed at three salinities (1, 12 and 30 psu). The intermediate mixing zone is relatively small in this system, showing an extension of similar to 1.5 km upstream from Lapataia Bay. It was found that there was a strong relationship between the mixing zone and the distribution of juveniles of E. maclovinus. No differences were found in the metabolic baseline at different salinities. A punctual feeding provoked a typical SDA response, with a significant higher ingested food and metabolic scope at intermediate salinity (12 psu). An increased scope was reached by increasing the energy intake and not through a decrease in the standard metabolic rate. Under an available food condition, this capacity could result in an increased growth rate at intermediate salinity.</t>
  </si>
  <si>
    <t>[Alberto Vanella, Fabian; Eugenia Lattuca, Maria; Alfredo Fernandez, Daniel; Clementina Boy, Claudia] Ctr Austral Invest Cient CADIC CONICET, Lab Ecol Fisiol &amp; Evoluc Organismos Acuat, Ushuaia, Tierra Del Fueg, Argentina; [Alejandra Duarte, Claudia; Alfredo Fernandez, Daniel] Univ Nacl Tierra Del Fuego, Inst Ciencias Polares Recursos Nat &amp; Ambientes, Ushuaia, Argentina</t>
  </si>
  <si>
    <t>Consejo Nacional de Investigaciones Cientificas y Tecnicas (CONICET)</t>
  </si>
  <si>
    <t>Vanella, FA (corresponding author), Ctr Austral Invest Cient CADIC CONICET, Lab Ecol Fisiol &amp; Evoluc Organismos Acuat, Ushuaia, Tierra Del Fueg, Argentina.</t>
  </si>
  <si>
    <t>fvanella@gmail.com</t>
  </si>
  <si>
    <t>Fernandez, Daniel Alfredo/0000-0002-3367-4138</t>
  </si>
  <si>
    <t>PICT [0580]; PIP [0321]; Administracion de Parques Nacionales [957, 1038, 032 CPA]</t>
  </si>
  <si>
    <t>PICT(ANPCyT); PIP; Administracion de Parques Nacionales</t>
  </si>
  <si>
    <t>This research was supported by PICT 0580, PIP 0321 and Administracion de Parques Nacionales (Projects 957, 1038, 032 CPA). We are very grateful to the laboratory technicians Daniel Aureliano, Sonia Rimbau, and Marcelo Gutierrez for their help and to Isabel Ledesma for assistance with the English language.</t>
  </si>
  <si>
    <t>10.1007/s00300-016-1986-y</t>
  </si>
  <si>
    <t>WOS:000395177000012</t>
  </si>
  <si>
    <t>Troncoso, E; Barahona, S; Carrasco, M; Villarreal, P; Alcaíno, J; Cifuentes, V; Baeza, M</t>
  </si>
  <si>
    <t>Troncoso, Evelin; Barahona, Salvador; Carrasco, Mario; Villarreal, Pablo; Alcaino, Jennifer; Cifuentes, Victor; Baeza, Marcelo</t>
  </si>
  <si>
    <t>Identification and characterization of yeasts isolated from the South Shetland Islands and the Antarctic Peninsula</t>
  </si>
  <si>
    <t>Antarctic yeasts; Psychrophilic-psychrotolerant yeasts; Extracellular enzyme activities; rDNA yeast identification</t>
  </si>
  <si>
    <t>EXTRACELLULAR ENZYMATIC-ACTIVITIES; PSYCHROPHILIC MICROORGANISMS; BASIDIOMYCETOUS YEASTS; ALKALINE-PHOSPHATASE; DIVERSITY; ENZYMES; XYLANASE; STRAINS; SEA; ENVIRONMENTS</t>
  </si>
  <si>
    <t>Antarctica is considered one of the most extreme environments on Earth because of its low temperatures, dryness, high incidence of solar radiation and low nutrient availability. Nevertheless, microorganisms including yeast have successfully colonized Antarctica; however, little is known about Antarctic yeast. In this study, cultivable yeast from soil samples collected from several islands of the South Shetland archipelago and Antarctic Peninsula were identified and characterized at different levels. Most yeasts were psychrotolerant and belonged to eleven genera, with the majority belonging to the Cryptococcus genus. Most yeasts were able to oxidize dextrin, alpha-d-glucose, sucrose and d-trehalose and to assimilate turanose, d-xylose, dextrin, d-trehalose, alpha-d-glucose and salicin. Evaluation of twelve hydrolytic enzymes revealed that yeast isolates displayed four to seven different enzyme activities, with lipase, alkaline phosphatase and invertase activities being observed in the majority of isolates. The isolates identified as Cryptococcus gastricus, Cryptococcus victoriae, Cryptococcus gilvencens, Leucosporidium sp. and Rhodotorula mucilaginosa displayed toxicity against other yeast isolates via the secretion of a protein factor. These results reflect the adaptation of yeast to their environment. The yeasts identified in this study have the potential for use as a biosource for the production of enzymes for industrial applications that require high enzyme activities at low temperatures.</t>
  </si>
  <si>
    <t>[Troncoso, Evelin; Barahona, Salvador; Carrasco, Mario; Villarreal, Pablo; Alcaino, Jennifer; Cifuentes, Victor; Baeza, Marcelo] Univ Chile, Fac Ciencias, Dept Ciencias Ecol, Lab Genet, Las Palmeras 3425,Casilla 653, Santiago, Chile</t>
  </si>
  <si>
    <t>Baeza, M (corresponding author), Univ Chile, Fac Ciencias, Dept Ciencias Ecol, Lab Genet, Las Palmeras 3425,Casilla 653, Santiago, Chile.</t>
  </si>
  <si>
    <t>evelintroncoso7@gmail.com; barahona.salvador@gmail.com; mario.carrasco.t@gmail.com; pablovillarreal07@gmail.com; jalcainog@u.uchile.cl; vcifuentes@uchile.cl; mbaeza@u.uchile.cl</t>
  </si>
  <si>
    <t>/C-6686-2008; Alcaino, Jennifer/H-4576-2012</t>
  </si>
  <si>
    <t>Villarreal, Pablo/0000-0002-2254-0417</t>
  </si>
  <si>
    <t>Instituto Antartico Chileno [T_07-13]</t>
  </si>
  <si>
    <t>Instituto Antartico Chileno</t>
  </si>
  <si>
    <t>This work was supported by Grant T_07-13 from the Instituto Antartico Chileno.</t>
  </si>
  <si>
    <t>10.1007/s00300-016-1988-9</t>
  </si>
  <si>
    <t>WOS:000395177000013</t>
  </si>
  <si>
    <t>Richerson, K; Santora, JA; Mangel, M</t>
  </si>
  <si>
    <t>Richerson, Kate; Santora, Jarrod A.; Mangel, Marc</t>
  </si>
  <si>
    <t>Climate variability and multi-scale assessment of the krill preyscape near the north Antarctic Peninsula</t>
  </si>
  <si>
    <t>Euphausia superba; Acoustic survey; Spatial ecology; Climate; ENSO</t>
  </si>
  <si>
    <t>SOUTH SHETLAND ISLANDS; EUPHAUSIA-SUPERBA; ENVIRONMENTAL VARIABILITY; SPATIAL VARIABILITY; MARINE ECOSYSTEM; ELEPHANT ISLAND; SCOTIA SEA; BIOMASS; RECRUITMENT; RESPONSES</t>
  </si>
  <si>
    <t>Antarctic krill (Euphausia superba) densities vary in space and time across multiple scales, with consequences for krill predators, the krill fishery, and management decisions. We use acoustic data collected from 1997 to 2011 around the South Shetland Islands near the northern Antarctic Peninsula to quantify spatiotemporal patterns in krill biomass, distribution, and patchiness both within and across years. Moreover, we evaluate potential climate drivers of krill biomass and spatial organization through comparison with seasonally lagged climate indices. Krill abundance varied by an order of magnitude throughout the study period, with mean biomass ranging from a high of 171.9 g m(-2) in 1997 to a low of 9.4 g m(-2) in 2002. We find that across years, krill abundance and variability are correlated with seasonally averaged measures of El Nio-Southern Oscillation at lags of approximately 2-2.5 years, which may correspond to strong reproduction and recruitment events. Krill biomass shows generally weak to moderate spatial autocorrelation and high aggregation, with measures of spatial organization correlated with abundance in some habitats. Within years, there was an overall trend of declining krill abundance and/or detectability and contracted spatial distribution between midsummer and late summer, but this pattern was not consistent across all years. This synthesis provides the background to model krill prey landscapes in order to better understand regional foraging ecology of krill predators and fishery performance.</t>
  </si>
  <si>
    <t>[Richerson, Kate; Santora, Jarrod A.; Mangel, Marc] Univ Calif Santa Cruz, Dept Appl Math &amp; Stat, Ctr Stock Assessment Res, Santa Cruz, CA 95064 USA; [Richerson, Kate] Univ Calif Santa Cruz, Dept Ecol &amp; Evolutionary Biol, Santa Cruz, CA 95064 USA; [Richerson, Kate] Northwest Fisheries Sci Ctr, Conservat Biol Div, Seattle, WA 98112 USA; [Mangel, Marc] Univ Bergen, Dept Biol, Theoret Ecol Grp, N-9020 Bergen, Norway</t>
  </si>
  <si>
    <t>Richerson, K (corresponding author), Univ Calif Santa Cruz, Dept Appl Math &amp; Stat, Ctr Stock Assessment Res, Santa Cruz, CA 95064 USA.;Richerson, K (corresponding author), Univ Calif Santa Cruz, Dept Ecol &amp; Evolutionary Biol, Santa Cruz, CA 95064 USA.;Richerson, K (corresponding author), Northwest Fisheries Sci Ctr, Conservat Biol Div, Seattle, WA 98112 USA.</t>
  </si>
  <si>
    <t>katericherson@gmail.com</t>
  </si>
  <si>
    <t>Richerson, Kate/0000-0001-5414-2459</t>
  </si>
  <si>
    <t>NSF Graduate Research Fellowship; Center for Stock Assessment Research</t>
  </si>
  <si>
    <t>NSF Graduate Research Fellowship(National Science Foundation (NSF)); Center for Stock Assessment Research</t>
  </si>
  <si>
    <t>Many thanks to the US AMLR Program, especially GM Watters, CS Reiss and A Cossio, for creating and sharing this data set. This work was partially supported by an NSF Graduate Research Fellowship to KR and by the Center for Stock Assessment Research, a training program between the Southwest Fisheries Science Center and UC Santa Cruz. We thank three anonymous reviewers for thoughtful and helpful comments that improved the manuscript.</t>
  </si>
  <si>
    <t>10.1007/s00300-016-1994-y</t>
  </si>
  <si>
    <t>WOS:000395177000017</t>
  </si>
  <si>
    <t>Lamilla, C; Pavez, M; Santos, A; Hermosilla, A; Llanquinao, V; Barrientos, L</t>
  </si>
  <si>
    <t>Lamilla, Claudio; Pavez, Monica; Santos, Andres; Hermosilla, Andrea; Llanquinao, Vicente; Barrientos, Leticia</t>
  </si>
  <si>
    <t>Bioprospecting for extracellular enzymes from culturable Actinobacteria from the South Shetland Islands, Antarctica</t>
  </si>
  <si>
    <t>Antarctica; Actinobacteria; Cold-stable enzymes; Psychrophilic-psychrotolerant bacteria</t>
  </si>
  <si>
    <t>COLD-ADAPTED ENZYMES; BACTERIAL DIVERSITY; NOCARDIOIDES-SP; ROSS SEA; SOILS; MICROORGANISMS; CLASSIFICATION; PROKARYOTES; PROTEASE; GLACIER</t>
  </si>
  <si>
    <t>The development of novel biological products, such as enzymes, dyes, antibiotics, and others with high potential use for biotechnological applications, continues to stimulate the search for microorganisms in extreme environments. In recent years, the study of Antarctic ecosystems and their microorganisms has received more attention because psychrophilic microorganisms-mainly bacteria and their enzymes-have assumed considerable importance for biotechnological applications. In this study, we characterized a collection of 30 culturable Actinobacteria isolated from the South Shetland Islands, Antarctica, in order to relate their distribution and ability to produce extracellular enzymes with their biotechnological potential. The isolates belonged to eight genus in the phylum Actinobacteria: Arthrobacter, Brevibacterium, Curtobacterium, Janibacter, Knoellia, Rhodococcus, Streptomyces and Thermoleophilum. The screening for biologically active products showed that all the evaluated strains produced at least one extracellular enzyme at 4 A degrees C, with protease, gelatinase and cellulase enzymes being the most common. In conclusion, our data showed that various Antarctic ecosystems are good sources for isolating cultivable Actinobacteria. Furthermore, these bacteria provide high-quality biological material for screening cold-active enzymes that have potential biotechnological applications and economic benefits.</t>
  </si>
  <si>
    <t>[Lamilla, Claudio; Pavez, Monica; Santos, Andres; Hermosilla, Andrea; Llanquinao, Vicente; Barrientos, Leticia] Lab Appl &amp; Mol Biol, Ave Alemania 0458, Temuco 4810296, Chile; [Lamilla, Claudio; Pavez, Monica; Santos, Andres; Llanquinao, Vicente; Barrientos, Leticia] Univ La Frontera, Sci &amp; Technol Bioresource Nucleus BIOREN, Ave Francisco Salazar 01145, Temuco 4811230, Chile</t>
  </si>
  <si>
    <t>Universidad de La Frontera</t>
  </si>
  <si>
    <t>Barrientos, L (corresponding author), Lab Appl &amp; Mol Biol, Ave Alemania 0458, Temuco 4810296, Chile.;Barrientos, L (corresponding author), Univ La Frontera, Sci &amp; Technol Bioresource Nucleus BIOREN, Ave Francisco Salazar 01145, Temuco 4811230, Chile.</t>
  </si>
  <si>
    <t>Lamilla, Claudio/HSF-0976-2023; Lamilla, Claudio/I-2496-2018; pavez, monica/AAB-3826-2019; Barrientos, Leticia/R-6205-2017; Santos, Andres/AAB-2096-2022</t>
  </si>
  <si>
    <t>Universidad de La Frontera [DI15-22]; Universidad de La Frontera/Fundacao de Amparo a Pesquisa do Estado do Rio de Janeiro-FAPERJ [FPJ15-0009]; [INACH RT_14-12]</t>
  </si>
  <si>
    <t>Universidad de La Frontera; Universidad de La Frontera/Fundacao de Amparo a Pesquisa do Estado do Rio de Janeiro-FAPERJ;</t>
  </si>
  <si>
    <t>We thank Ms. Judith Hoffman for her revision of the English manuscript. The authors gratefully acknowledge Grants INACH RT_14-12; the Instituto Antartico Chileno, Ministerio de Relaciones Exteriores de Chile, Grant DI15-22 from Universidad de La Frontera and Grant FPJ15-0009 from Universidad de La Frontera/Fundacao de Amparo a Pesquisa do Estado do Rio de Janeiro-FAPERJ-for logistical support.</t>
  </si>
  <si>
    <t>10.1007/s00300-016-1977-z</t>
  </si>
  <si>
    <t>WOS:000395177000019</t>
  </si>
  <si>
    <t>Subramaniam, RC; Melbourne-Thomas, J; Davidson, AT; Corney, SP</t>
  </si>
  <si>
    <t>Subramaniam, Roshni C.; Melbourne-Thomas, Jessica; Davidson, Andrew T.; Corney, Stuart P.</t>
  </si>
  <si>
    <t>Mechanisms driving Antarctic microbial community responses to ocean acidification: a network modelling approach</t>
  </si>
  <si>
    <t>Model; CO2; Iron; Antarctic microbial community</t>
  </si>
  <si>
    <t>SOUTHERN-OCEAN; PHYTOPLANKTON GROWTH; IRON AVAILABILITY; CO2; MICROZOOPLANKTON; TEMPERATURE; DYNAMICS; PLANKTON; PCO(2); PH</t>
  </si>
  <si>
    <t>Rising atmospheric CO2 concentrations and the subsequent changes to ocean chemistry may have pronounced effects on marine microbial communities, particularly for the cold Southern Ocean. Changes to the microbial community in this region could affect the way nutrients are cycled, impact the efficiency of carbon drawdown, and cause shifts in food supply to higher trophic levels. Increased CO2 could affect the bioavailability of iron to phytoplankton. Fertilisation experiments show that iron can influence phytoplankton community composition, favouring large phytoplankton species in iron-replete conditions. The potential interactive effects of CO2 and iron bioavailability are currently poorly understood but are likely to be important in determining CO2-induced changes to the microbial community. We employ a qualitative network modelling approach to evaluate alternative hypotheses regarding the effects of elevated CO2 on Antarctic microbial communities in incubation experiments. We used a sequential approach to model development and testing, where we first formulated a base model for microbial community interactions, and then sequentially added direct and indirect effects of elevated CO2 on particular groups. We found that model simulations were most consistent with observations from incubation experiments when we assumed an indirect effect of CO2 on phytoplankton. In particular, when we assumed a negative effect of elevated CO2 on the uptake of iron by large phytoplankton, as a result of a decrease in iron bioavailability. Our findings show that qualitative network models can be used to test hypotheses relating to results from experimental studies, and help identify key processes to target in future studies.</t>
  </si>
  <si>
    <t>[Subramaniam, Roshni C.; Melbourne-Thomas, Jessica; Davidson, Andrew T.; Corney, Stuart P.] Univ Tasmania, Antarctic Climate &amp; Ecosyst Cooperat Res Ctr ACE, Private Bag 80, Hobart, Tas 7001, Australia; [Melbourne-Thomas, Jessica; Davidson, Andrew T.] Australian Antarctic Div, Dept Environm, Kingston, Tas 7050, Australia; [Subramaniam, Roshni C.; Davidson, Andrew T.] Univ Tasmania, Inst Marine &amp; Antarctic Studies IMAS, Private Bag 129, Hobart, Tas 7001, Australia</t>
  </si>
  <si>
    <t>Antarctic Climate &amp; Ecosystems Cooperative Research Centre (ACE CRC); University of Tasmania; Australian Antarctic Division; University of Tasmania</t>
  </si>
  <si>
    <t>Melbourne-Thomas, J (corresponding author), Univ Tasmania, Antarctic Climate &amp; Ecosyst Cooperat Res Ctr ACE, Private Bag 80, Hobart, Tas 7001, Australia.;Melbourne-Thomas, J (corresponding author), Australian Antarctic Div, Dept Environm, Kingston, Tas 7050, Australia.</t>
  </si>
  <si>
    <t>Jess.Melbourne-Thomas@aad.gov.au</t>
  </si>
  <si>
    <t>Melbourne-Thomas, Jess/N-2437-2019; Subramaniam, Roshni/ADZ-6878-2022</t>
  </si>
  <si>
    <t>Melbourne-Thomas, Jess/0000-0001-6585-876X; Subramaniam, Roshni/0000-0001-7368-8086</t>
  </si>
  <si>
    <t>Australian Government's Cooperative Research Centres Programme through the Antarctic Climate and Ecosystems Cooperative Research Centre</t>
  </si>
  <si>
    <t>Australian Government's Cooperative Research Centres Programme through the Antarctic Climate and Ecosystems Cooperative Research Centre(Australian GovernmentDepartment of Industry, Innovation and ScienceCooperative Research Centres (CRC) Programme)</t>
  </si>
  <si>
    <t>The authors would like to thank the two anonymous reviewers for providing valuable comments and suggestions. This study was supported by the Australian Government's Cooperative Research Centres Programme through the Antarctic Climate and Ecosystems Cooperative Research Centre.</t>
  </si>
  <si>
    <t>10.1007/s00300-016-1989-8</t>
  </si>
  <si>
    <t>WOS:000395177000020</t>
  </si>
  <si>
    <t>Moles, J; Wägele, H; Schrödl, M; Avila, C</t>
  </si>
  <si>
    <t>Moles, Juan; Waegele, Heike; Schroedl, Michael; Avila, Conxita</t>
  </si>
  <si>
    <t>A new Antarctic heterobranch clade is sister to all other Cephalaspidea (Mollusca: Gastropoda)</t>
  </si>
  <si>
    <t>ZOOLOGICA SCRIPTA</t>
  </si>
  <si>
    <t>PHYLOGENETIC ANALYSIS; MOLECULAR PHYLOGENY; ATLANTIC-OCEAN; OPISTHOBRANCHIA; SYSTEMATICS; HISTOLOGY; EVOLUTION; BIOGEOGRAPHY; DIAPHANIDAE; GENE</t>
  </si>
  <si>
    <t>For a long time, Diaphanidae has been considered a basal family within Cephalaspidea, based on the presence of plesiomorphic morphological features within this taxon. Traditionally, the family contained the genera Bogasonia, Colobocephalus, Colpodaspis, Diaphana, Newnesia, Toledonia and Woodbridgea. Some phylogenetic analyses of several of these genera support the basal position of Diaphanidae within Cephalaspidea sensu stricto. However, the family is presently confirmed to be a polyphyletic taxon in which only the genus Diaphana is included. Several genera previously embraced within the family, such as the monotypic Newnesia, have never been previously analysed in molecular studies. Here, we provide an extensive morphological, anatomical and histological description of a new species of Newnesia from Antarctic deep waters (967-1227m depth) in the Drake Passage. We also discuss the similarities to the traditional Diaphanidae genera to try to shed light into this phylogenetic conundrum. We sequenced cytochrome c oxidase subunit I, 16S rRNA, 28S rRNA and histone H3 markers of Newnesia antarctica and Newnesia joani n. sp. We analysed a comprehensive dataset of sequenced genera to evaluate the placement of both Newnesia species within the cephalaspidean families. Maximum-likelihood and Bayesian phylograms support the monophyly of N.joani n. sp. and suggest cryptic speciation in N.antarctica specimens. Newnesia is recovered as the most basal offshoot of Cephalaspidea, suggesting the establishment of a new family restricted to Antarctic waters, named Newnesiidae n. fam., to hold both species. The possible Antarctic origin of Cephalaspidea is discussed.</t>
  </si>
  <si>
    <t>[Moles, Juan; Avila, Conxita] Univ Barcelona, Dept Anim Biol Invertebrates, Avinguda Diagonal 643, E-08028 Barcelona, Catalonia, Spain; [Moles, Juan; Avila, Conxita] Univ Barcelona, Biodivers Res Inst IrBIO, Avinguda Diagonal 643, E-08028 Barcelona, Catalonia, Spain; [Waegele, Heike] Zool Forsch Museum Alexander Koenig, Adenauerallee 160, D-53113 Bonn, Germany; [Schroedl, Michael] SNSB Bavarian State Collect Zool, Munchhausenstr 21, D-81247 Munich, Germany; [Schroedl, Michael] Ludwig Maximilians Univ Munchen, Biozentrum, Munich, Germany; [Schroedl, Michael] Ludwig Maximilians Univ Munchen, GeoBio Ctr, Munich, Germany</t>
  </si>
  <si>
    <t>University of Barcelona; University of Barcelona; Zoologisches Forschungsmuseum Alexander Koenig (ZFMK); University of Munich; University of Munich</t>
  </si>
  <si>
    <t>Moles, J (corresponding author), Univ Barcelona, Dept Anim Biol Invertebrates, Avinguda Diagonal 643, E-08028 Barcelona, Catalonia, Spain.;Moles, J (corresponding author), Univ Barcelona, Biodivers Res Inst IrBIO, Avinguda Diagonal 643, E-08028 Barcelona, Catalonia, Spain.</t>
  </si>
  <si>
    <t>moles.sanchez@gmail.com; H.Waegele@zfmk.de; Michael.Schroedl@zsm.mwn.de; conxita.avila@ub.edu</t>
  </si>
  <si>
    <t>Moles, Juan/H-4786-2018; Avila, Conxita/B-9466-2008</t>
  </si>
  <si>
    <t>Moles, Juan/0000-0003-4511-4055; Avila, Conxita/0000-0002-5489-8376</t>
  </si>
  <si>
    <t>Spanish government through the ECOQUIM Project [REN2003- 00545, REN2002-12006-E ANT]; Spanish government through the ACTIQUIM Project [CGL2007-65453, CTM2010-17415/ANT]; Spanish government through the DISTANTCOM Project [CTM2013-42667/ANT]; DFG [SCHR667/15-1]; Spanish Government (MEC) [BES-2011-045325]</t>
  </si>
  <si>
    <t>Spanish government through the ECOQUIM Project; Spanish government through the ACTIQUIM Project; Spanish government through the DISTANTCOM Project; DFG(German Research Foundation (DFG)); Spanish Government (MEC)(Spanish Government)</t>
  </si>
  <si>
    <t>We thank Prof. W. Arntz and the crew of the RV Polarstern for allowing the participation of C. Avila in the Antarctic cruise ANT XV/3 (AWI, Bremerhaven, Germany). C. Etzbauer is also acknowledged for her support in the molecular lab of the ZFMK. We are indebted to A. Riesgo for her help with the molecular data treatment, while J. Gimenez helped designing the map. We would like to thank two anonymous reviewers for valuable comments on the manuscript. Funding was provided by the Spanish government through the ECOQUIM (REN2003- 00545, REN2002-12006-E ANT), ACTIQUIM (CGL2007-65453, CTM2010-17415/ANT), and DISTANTCOM (CTM2013-42667/ANT) Projects, and the DFG grant SCHR667/15-1. J. Moles was supported by a Ph.D. grant of the Spanish Government (MEC; BES-2011-045325). This work is part of the AntEco (State of the Antarctic Ecosystem) Scientific Research Programme.</t>
  </si>
  <si>
    <t>0300-3256</t>
  </si>
  <si>
    <t>1463-6409</t>
  </si>
  <si>
    <t>ZOOL SCR</t>
  </si>
  <si>
    <t>Zool. Scr.</t>
  </si>
  <si>
    <t>10.1111/zsc.12199</t>
  </si>
  <si>
    <t>EM1NL</t>
  </si>
  <si>
    <t>WOS:000395084200001</t>
  </si>
  <si>
    <t>Stevens, MI; D'Haese, CA</t>
  </si>
  <si>
    <t>Stevens, Mark I.; D'Haese, Cyrille A.</t>
  </si>
  <si>
    <t>Morphologically tortured: taxonomic placement of an Antarctic springtail (Collembola: Isotomidae) misguided by morphology and ecology</t>
  </si>
  <si>
    <t>PHYLOGENY; HEXAPODA; GENUS; LAND</t>
  </si>
  <si>
    <t>An endemic springtail from northern Victoria Land, Antarctica, was recently moved from Desoria to the new genus Chionobora, erected for a new species C.amila from lakes in the central highland plateau of Tasmania. This new combination for klovstadi was based on characters similar to both species (although not definitive) and an apparent preference for aquatic habitats. Here we show that neither of these inferences are valid. We sampled from two lake localities to obtain C.amila, and in doing so, we describe its habitat as riparian, not aquatic. We compared specimens of C.amila with klovstadi within a phylogeny using three genes (mtDNA COI, 18S rDNA, D1-D5 of 28S rDNA) for 59 Isotominae terminals. We show that klovstadi is not closely related to the genus Chionobora that has closest affinities to the genus Isotomurus. As previously identified, klovstadi has no close affinities to any existing genus in Isotominae. Based on additional ecological, morphological and molecular evidence, we erect a new genus for klovstadi, Kaylathalia gen. n.</t>
  </si>
  <si>
    <t>[Stevens, Mark I.] South Australian Museum, North Terrace,GPO Box 234, Adelaide, SA 5000, Australia; [Stevens, Mark I.] Univ South Australia, Sch Pharm &amp; Med Sci, Adelaide, SA 5000, Australia; [D'Haese, Cyrille A.] Museum Natl Hist Nat, Dept Systemat &amp; Evolut, UMR CNRS MNHN 7179, MECADEV,Entomol CP50, 45 Rue Buffon, F-75005 Paris, France</t>
  </si>
  <si>
    <t>South Australian Museum; University of South Australia; Centre National de la Recherche Scientifique (CNRS); CNRS - Institute of Ecology &amp; Environment (INEE); Museum National d'Histoire Naturelle (MNHN)</t>
  </si>
  <si>
    <t>Stevens, MI (corresponding author), South Australian Museum, North Terrace,GPO Box 234, Adelaide, SA 5000, Australia.</t>
  </si>
  <si>
    <t>mark.stevens@samuseum.sa.gov.au; dhaese@mnhn.fr</t>
  </si>
  <si>
    <t>D'HAESE, Cyrille A./D-4896-2012</t>
  </si>
  <si>
    <t>Antarctica New Zealand [K024]; Australian Antarctic Division [ASAC 2355]; BoEM laboratory; CaFoTrop; Techmohygiene; MNHN parallel computing cluster; National Institutes of Health Research (NIHR) [K024] Funding Source: National Institutes of Health Research (NIHR)</t>
  </si>
  <si>
    <t>Antarctica New Zealand; Australian Antarctic Division; BoEM laboratory; CaFoTrop; Techmohygiene; MNHN parallel computing cluster; National Institutes of Health Research (NIHR)(National Institutes of Health Research (NIHR))</t>
  </si>
  <si>
    <t>Thanks to Chris Emms, David Fulford, Michael Driessen (Tasmania Parks and Wildlife Service) for advice on access, and to Penny Greenslade for information regarding collecting localities in the Central Plateau. All collecting undertaken with permits (No. FA 15063) issued by the Depart. Primary Industries, Parks, Water and Environment. Thanks also to Christophe Daugeron (Museum national d'Histoire naturelle, Paris) for his assistance in collecting in Tasmania. We are extremely grateful for logistic and/or financial support that contributed in part to this study from Antarctica New Zealand (K024), Australian Antarctic Division (ASAC 2355), BoEM laboratory, CaFoTrop, Techmohygiene and the MNHN parallel computing cluster.</t>
  </si>
  <si>
    <t>10.1111/zsc.12204</t>
  </si>
  <si>
    <t>WOS:000395084200005</t>
  </si>
  <si>
    <t>Sanamzadeh, M; Tsang, L; Johnson, JT; Burkholder, RJ; Tan, SR</t>
  </si>
  <si>
    <t>Sanamzadeh, Mohammadreza; Tsang, Leung; Johnson, Joel T.; Burkholder, Robert J.; Tan, Shurun</t>
  </si>
  <si>
    <t>Scattering of electromagnetic waves from 3D multilayer random rough surfaces based on the second-order small perturbation method: energy conservation, reflectivity, and emissivity</t>
  </si>
  <si>
    <t>JOURNAL OF THE OPTICAL SOCIETY OF AMERICA A-OPTICS IMAGE SCIENCE AND VISION</t>
  </si>
  <si>
    <t>4TH-ORDER; OPTICS</t>
  </si>
  <si>
    <t>A theoretical investigation of energy conservation, reflectivity, and emissivity in the scattering of electromagnetic waves from 3D multilayer media with random rough interfaces using the second-order small perturbation method (SPM2) is presented. The approach is based on the extinction theorem and develops integral equations for surface fields in the spectral domain. Using the SPM2, we calculate the scattered and transmitted coherent fields and incoherent fields. Reflected and transmitted powers are then found in the form of 2D integrations over wave-number in the spectral domain. In the integrand, there is a summation over the spectral densities of each of the rough interfaces with each weighted by a corresponding kernel function. We show in this paper that there exists a strong condition of energy conservation in that the kernel functions multiplying the spectral density of each interface obey energy conservation exactly. This means that energy is conserved independent of the roughness spectral densities of the rough surfaces. Results of this strong condition are illustrated numerically for up to 50 rough interfaces without requiring specification of surface roughness properties. Two examples are illustrated. One is a multilayer configuration having weak contrasts between adjacent layers, random layer thicknesses, and randomly generated permittivity profiles. The second example is a photonic crystal of periodically alternating permittivities of larger dielectric contrast. The methodology is applied to study the effect of roughness on the brightness temperatures of the Antarctic ice sheet, which is characterized by layers of ice with permittivity fluctuations in addition to random rough interfaces. The results show that the influence of roughness can significantly increase horizontally polarized thermal emission while leaving vertically polarized emissions relatively unaffected. (C) 2017 Optical Society of America</t>
  </si>
  <si>
    <t>[Sanamzadeh, Mohammadreza; Tsang, Leung; Tan, Shurun] Univ Michigan, Dept Elect Engn &amp; Comp Sci, 1301 Beal Ave, Ann Arbor, MI 48109 USA; [Johnson, Joel T.; Burkholder, Robert J.] Ohio State Univ, Dept Elect &amp; Comp Engn, 2015 Neil Ave, Columbus, OH 43210 USA</t>
  </si>
  <si>
    <t>University of Michigan System; University of Michigan; University System of Ohio; Ohio State University</t>
  </si>
  <si>
    <t>Sanamzadeh, M (corresponding author), Univ Michigan, Dept Elect Engn &amp; Comp Sci, 1301 Beal Ave, Ann Arbor, MI 48109 USA.</t>
  </si>
  <si>
    <t>mrsanam@umich.edu</t>
  </si>
  <si>
    <t>Burkholder, Robert/HIR-4329-2022; Burkholder, Robert/R-1083-2019</t>
  </si>
  <si>
    <t>Burkholder, Robert/0000-0003-3448-9265</t>
  </si>
  <si>
    <t>National Aeronautics and Space Administration (NASA) [NNH13ZDA001N-IIP]</t>
  </si>
  <si>
    <t>National Aeronautics and Space Administration (NASA)(National Aeronautics &amp; Space Administration (NASA))</t>
  </si>
  <si>
    <t>National Aeronautics and Space Administration (NASA) (NNH13ZDA001N-IIP).</t>
  </si>
  <si>
    <t>OPTICAL SOC AMER</t>
  </si>
  <si>
    <t>2010 MASSACHUSETTS AVE NW, WASHINGTON, DC 20036 USA</t>
  </si>
  <si>
    <t>1084-7529</t>
  </si>
  <si>
    <t>1520-8532</t>
  </si>
  <si>
    <t>J OPT SOC AM A</t>
  </si>
  <si>
    <t>J. Opt. Soc. Am. A-Opt. Image Sci. Vis.</t>
  </si>
  <si>
    <t>10.1364/JOSAA.34.000395</t>
  </si>
  <si>
    <t>Optics</t>
  </si>
  <si>
    <t>EN0HU</t>
  </si>
  <si>
    <t>WOS:000395691700013</t>
  </si>
  <si>
    <t>Barr, NG; Lohrer, AM; Cummings, VJ</t>
  </si>
  <si>
    <t>Barr, Neill G.; Lohrer, Andrew M.; Cummings, Vonda J.</t>
  </si>
  <si>
    <t>An in situ incubation method for measuring the productivity and responses of under-ice algae to ocean acidification and warming in polar marine habitats</t>
  </si>
  <si>
    <t>LIMNOLOGY AND OCEANOGRAPHY-METHODS</t>
  </si>
  <si>
    <t>SEA-ICE; ROSS SEA; BENTHIC COMMUNITIES; OXYGEN; ANTARCTICA; ECOSYSTEMS; SYSTEMS; FLOW</t>
  </si>
  <si>
    <t>During the Antarctic spring, algae grows under extensive areas of sea-ice and is a fundamental source of primary production. Understanding how under-ice (bottom-ice) algae will be affected by ocean warming and acidification is critically important in determining the probable future flow-on effects to the ecological communities this algae supports. To investigate this we designed and built a customised experimental system to assess the in situ responses of under-ice algae to changes in both seawater pH and temperature. We conducted two trials in 2013 followed by a successful 14-day incubation experiment in 2014 in the Ross Sea, Antarctica, using the system described here. Assessment of our main control parameters indicated we could reliably control and monitor both pH and temperature in transparent under-ice chambers. The plug-andplay nature of our novel system meant it was easy for divers to deploy and maintain in the very cold temperatures experienced under the sea-ice. Moreover, the system could be remotely sampled from a surface laboratory. This enabled robust monitoring and analyses of manipulated seawater conditions (e.g., pH and temperature), and of responses of the associated biological communities (e.g., fluxes in dissolved oxygen and nutrient levels).</t>
  </si>
  <si>
    <t>[Barr, Neill G.; Cummings, Vonda J.] Natl Inst Water &amp; Atmospher Res Ltd NIWA, Wellington, New Zealand; [Lohrer, Andrew M.] Natl Inst Water &amp; Atmospher Res Ltd NIWA, Hamilton, New Zealand</t>
  </si>
  <si>
    <t>Barr, NG (corresponding author), Natl Inst Water &amp; Atmospher Res Ltd NIWA, Wellington, New Zealand.</t>
  </si>
  <si>
    <t>neill.barr@niwa.co.nz</t>
  </si>
  <si>
    <t>Cummings, Vonda/0000-0003-1076-3995</t>
  </si>
  <si>
    <t>Royal Society of New Zealand Marsden Fund [NIW1101]; National Institute for Water and Atmospheric Research (NIWA)</t>
  </si>
  <si>
    <t>Royal Society of New Zealand Marsden Fund(Royal Society of New ZealandMarsden Fund (NZ)); National Institute for Water and Atmospheric Research (NIWA)</t>
  </si>
  <si>
    <t>We wish to acknowledge the Royal Society of New Zealand Marsden Fund (NIW1101) for financial support for our project (Under the Weather: warming and acidification effects under the ice in Antarctica). We acknowledge the operational support of AntarcticA New Zealand, and while in Antarctica from the talented and dedicated staff at Scott Base. We particularly acknowledge the crucial diving support that made this project possible and the underwater photography; Peter Marriott, Rod Budd, Pete Notman, Scott Edhouse and Dave Bremner. Also thank you to Graeme Moss for the invaluable assistance during many under the radar hours assembling chambers and umbilical cables, and also for reviewing this manuscript. Thank you to Jojo Donavan for final proof reading. Finally we acknowledge the National Institute for Water and Atmospheric Research (NIWA) for CAPEX funding for the construction of the under-ice chambers.</t>
  </si>
  <si>
    <t>1541-5856</t>
  </si>
  <si>
    <t>LIMNOL OCEANOGR-METH</t>
  </si>
  <si>
    <t>Limnol. Oceanogr. Meth.</t>
  </si>
  <si>
    <t>10.1002/lom3.10154</t>
  </si>
  <si>
    <t>EP9ZV</t>
  </si>
  <si>
    <t>WOS:000397732400003</t>
  </si>
  <si>
    <t>Tsuji, M; Tsujimoto, M; Imura, S</t>
  </si>
  <si>
    <t>Tsuji, Masaharu; Tsujimoto, Megumu; Imura, Satoshi</t>
  </si>
  <si>
    <t>Cystobasidium tubakii and Cystobasidium ongulense, new basidiomycetous yeast species isolated from East Ongul Island, East Antarctica</t>
  </si>
  <si>
    <t>MYCOSCIENCE</t>
  </si>
  <si>
    <t>Antarctic yeast; Cystobasidiomycetes; LSU D1/D2 domain; Syowa station</t>
  </si>
  <si>
    <t>SP-NOV; ADAPTATION; SVALBARD; AREA; SOIL</t>
  </si>
  <si>
    <t>Two new cold-adapted yeast species, Cystobasidium tubakii sp. nov. and Cystobasidium ongulense sp. nov., were isolated from soil collected from East Ongul Island, East Antarctica, during the 49th Japanese Antarctic Research Expedition (JARE 49). Molecular analysis based on large subunit (LSU) D1/D2 domain and the combined sequences of small subunit (SSU) rDNA, internal transcribed spacer (ITS) region, LSU D1/D2 domain and TEF1 sequences showed that these species are novel. Both species could grow at sub-zero temperatures and in vitamin-free media. These characteristics were likely obtained by the yeasts to survive oligotrophic environments such as that in Antarctica. This is the first report of new fungal species isolated from near the Syowa station in the 60-y history of JARE. (C) 2016 The Mycological Society of Japan. Published by Elsevier B. V. All rights reserved.</t>
  </si>
  <si>
    <t>[Tsuji, Masaharu; Tsujimoto, Megumu; Imura, Satoshi] NIPR, 10-3 Midori Cho, Tachikawa, Tokyo 1908518, Japan; [Tsujimoto, Megumu; Imura, Satoshi] SOKENDAI Grad Univ Adv Studies, Dept Polar Sci, 10-3 Midori Cho, Tachikawa, Tokyo 1908518, Japan</t>
  </si>
  <si>
    <t>Research Organization of Information &amp; Systems (ROIS); National Institute of Polar Research (NIPR) - Japan; Graduate University for Advanced Studies - Japan</t>
  </si>
  <si>
    <t>Tsuji, M (corresponding author), NIPR, 10-3 Midori Cho, Tachikawa, Tokyo 1908518, Japan.</t>
  </si>
  <si>
    <t>spindletuber@gmail.com</t>
  </si>
  <si>
    <t>Tsujimoto, Megumu/JCE-5500-2023; Tsuji, Masaharu/M-6609-2019</t>
  </si>
  <si>
    <t>Tsujimoto, Megumu/0000-0001-5160-6086; Tsuji, Masaharu/0000-0002-9375-7998</t>
  </si>
  <si>
    <t>NIPR under MEXT, Japan; SOKENDAI; JSPS [16K12643, 16H06211, 18310024]; NIPR publication subsidy; Grants-in-Aid for Scientific Research [16K12643, 16H06211, 17H04474, 18310024] Funding Source: KAKEN</t>
  </si>
  <si>
    <t>NIPR under MEXT, Japan; SOKENDAI(Graduate University for Advanced Studies - Japan); JSPS(Ministry of Education, Culture, Sports, Science and Technology, Japan (MEXT)Japan Society for the Promotion of Science); NIPR publication subsidy; Grants-in-Aid for Scientific Research(Ministry of Education, Culture, Sports, Science and Technology, Japan (MEXT)Japan Society for the Promotion of ScienceGrants-in-Aid for Scientific Research (KAKENHI))</t>
  </si>
  <si>
    <t>This work was carried out as part of the Science Program of the 49th JARE. It was supported by NIPR under MEXT, Japan and SOKENDAI. This work was supported by a JSPS Grant-in-Aid for Challenging Exploratory Research (No. 16K12643), Young Scientists (A) (No. 16H06211) to M. Tsuji and Scientific Research (B) (No. 18310024) to S. Imura. The preparation of this paper was supported by an NIPR publication subsidy. We are grateful to Kenichi Watanabe for his technical support.</t>
  </si>
  <si>
    <t>1340-3540</t>
  </si>
  <si>
    <t>1618-2545</t>
  </si>
  <si>
    <t>Mycoscience</t>
  </si>
  <si>
    <t>10.1016/j.myc.2016.11.002</t>
  </si>
  <si>
    <t>Mycology</t>
  </si>
  <si>
    <t>EM7OS</t>
  </si>
  <si>
    <t>WOS:000395502600005</t>
  </si>
  <si>
    <t>Fuentes-Lillo, E; Cuba-Díaz, M; Rifo, S</t>
  </si>
  <si>
    <t>Fuentes-Lillo, Eduardo; Cuba-Diaz, Marely; Rifo, Sergio</t>
  </si>
  <si>
    <t>Morpho-physiological response of Colobanthus quitensis and Juncus bufonius under different simulations of climate change</t>
  </si>
  <si>
    <t>Climate change; Colobanthus quitensis; Juncus bufonius; Morpho-physiological traits; Non-native species</t>
  </si>
  <si>
    <t>ANTARCTIC VASCULAR PLANTS; POA-ANNUA; PHOTOSYNTHESIS; BIOMASS; TRAITS; ANDES</t>
  </si>
  <si>
    <t>Global warming has caused an increase in ambient temperature in Antarctica, which has led to changes in water availability due to increases of precipitation and the melting of permafrost. This scenario of climate change is shown to improve growth conditions, as well as increase populations and local expansion of native and non-native species in the Maritime Antarctic. We hypothesize that the combined effect of the increase in temperature and water availability will enhance the eco-physiological performance in Colobanthus quitensis (Kunth) Bartl. and Juncus bufonius L., being more evident in the non-native species. To test this, a combined effect of temperatures and water availability (4 degrees C H2O (field capacity), 4 degrees C + H2O (40% more than field capacity), 15 degrees C H2O, 15 degrees C + H2O, 20 degrees C + H2O and 20 degrees C + H2O) on morphological and physiological variables on both species were assessed. Temperatures and water availability increased significantly, which enhanced variables such as plant length, number of inflorescences, Fv/Fm and chlorophyll content for both species. When evaluating both species separately, we determined that the most crucial climate factor for the growth and development of C. quitensis was water availability, while the main determinate factor for the growth and development of J. bufonius was temperature. Also, through the simulated temperature rise and increased water availability, J. bufonius reached higher growth rates compared to C. quitensis. (C) 2016 Elsevier B.V. and NIPR. All rights reserved.</t>
  </si>
  <si>
    <t>[Fuentes-Lillo, Eduardo; Cuba-Diaz, Marely] Univ Concepcion, Escuela Ciencias &amp; Tecnol, Dept Ciencias &amp; Tecnol Vegetal, Lab Biotecnol &amp; Estudios Ambientales, Campus Los Angeles,Juan Antonio Coloma 0201, Los Angeles, Chile; [Rifo, Sergio] Univ Concepcion, Escuela Ciencias &amp; Tecnol, Dept Gest Empresarial, Campus Los Angeles,Juan Antonio Coloma 0201, Los Angeles, Chile</t>
  </si>
  <si>
    <t>Universidad de Concepcion; Universidad de Concepcion</t>
  </si>
  <si>
    <t>Cuba-Díaz, M (corresponding author), Univ Concepcion, Escuela Ciencias &amp; Tecnol, Dept Ciencias &amp; Tecnol Vegetal, Lab Biotecnol &amp; Estudios Ambientales, Campus Los Angeles,Juan Antonio Coloma 0201, Los Angeles, Chile.</t>
  </si>
  <si>
    <t>mcuba@udec.cl</t>
  </si>
  <si>
    <t>Cuba-Diaz, Marely/V-3109-2019</t>
  </si>
  <si>
    <t>Cuba-Diaz, Marely/0000-0002-2981-0328; Rifo, Sergio/0000-0002-1455-5272; Fuentes-Lillo, Eduardo/0000-0001-5657-954X</t>
  </si>
  <si>
    <t>Fondecyt [1140441, INACH FR_03-14]; [INACH RG_02-13]</t>
  </si>
  <si>
    <t>Fondecyt(Comision Nacional de Investigacion Cientifica y Tecnologica (CONICYT)CONICYT FONDECYT);</t>
  </si>
  <si>
    <t>This study was financed by projects INACH RG_02-13 and Fondecyt 1140441 (INACH FR_03-14). We would like to thank the reviewers who put time and effort into improving our paper during the peer review process for Polar Science. The authors thank International Journal Revisions (http://www.journalrevisions.com) for the final English language revision.</t>
  </si>
  <si>
    <t>10.1016/j.polar.2016.11.003</t>
  </si>
  <si>
    <t>EM6XL</t>
  </si>
  <si>
    <t>WOS:000395455800002</t>
  </si>
  <si>
    <t>David, TD; Krishnan, KP</t>
  </si>
  <si>
    <t>David, Divya T.; Krishnan, K. P.</t>
  </si>
  <si>
    <t>Recent variability in the Atlantic water intrusion and water masses in Kongsfjorden, an Arctic fjord</t>
  </si>
  <si>
    <t>Polar waters; Kongsfjorden; Interannual variability; Water masses; Atlantic water intrusion</t>
  </si>
  <si>
    <t>SEA-ICE; OCEAN; INFLOW; ADVECTION</t>
  </si>
  <si>
    <t>The present study reports high inter-annual variability in the water masses and in the intrusion of Atlantic origin waters in Kongsfjorden from 2000 to 2013 using both the historical (2000-2010 summers) and recent CTD measurements (2011-2013 summer/fall). An earlier intrusion of Atlantic Water (AW) into Kongsfjorden was observed in the contemporary years. An overall summertime subsurface warming is evident from the maximum September AW temperature in 2011 (4.8 degrees C), 2012 (5.8 degrees C) and 2013 (7 degrees C). The combination of a compensating surface flow to the subsurface intrusion of AW and the strong southeasterly surface winds during the peak summer, resulted in a corresponding net outflow of the surface fresh water layer from Kongsfjorden. This led to the decreased freshwater volume inside the fjord during 2013 (1 km(3)) compared to 2011 (3.1 km(3)) and 2012 (2.3 km(3)). (C) 2016 Elsevier B.V. and NIPR. All rights reserved.</t>
  </si>
  <si>
    <t>[David, Divya T.; Krishnan, K. P.] Minist Earth Sci, Natl Ctr Antarctic &amp; Ocean Res, Vasco Da Gama 403804, Goa, India</t>
  </si>
  <si>
    <t>David, TD (corresponding author), Minist Earth Sci, Natl Ctr Antarctic &amp; Ocean Res, Vasco Da Gama 403804, Goa, India.</t>
  </si>
  <si>
    <t>divyadavidt@gmail.com</t>
  </si>
  <si>
    <t>P, Krishnan K/ABF-8783-2020</t>
  </si>
  <si>
    <t>, K. P. Krishnan/0000-0003-1101-657X; David T, Divya/0000-0002-8385-839X</t>
  </si>
  <si>
    <t>10.1016/j.polar.2016.11.004</t>
  </si>
  <si>
    <t>WOS:000395455800004</t>
  </si>
  <si>
    <t>Rochera, C; Quesada, A; Toro, M; Rico, E; Camacho, A</t>
  </si>
  <si>
    <t>Rochera, Carlos; Quesada, Antonio; Toro, Manuel; Rico, Eugenio; Camacho, Antonio</t>
  </si>
  <si>
    <t>Plankton assembly in an ultra-oligotrophic Antarctic lake over the summer transition from the ice-cover to ice-free period: A size spectra approach</t>
  </si>
  <si>
    <t>Peninsula Byers; Ice-covered lake; Boeckella poppei; Top-down control; Pareto distribution</t>
  </si>
  <si>
    <t>FOOD-WEB; MARITIME ANTARCTICA; AQUATIC ECOSYSTEMS; BOECKELLA-POPPEI; BYERS PENINSULA; IMAGE-ANALYSIS; CELL-VOLUME; PHYTOPLANKTON; COMMUNITY; PREDATION</t>
  </si>
  <si>
    <t>Lakes from the Antarctic maritime region experience climate change as a main stressor capable of modifying their plankton community structure and function, essentially because summer temperatures are commonly over the freezing point and the lake's ice cap thaws. This study was conducted in such seasonally ice-covered lake (Lake Limnopolar, Byers Peninsula, Livingston Is., Antarctica), which exhibits a microbial dominated pelagic food web. An important feature is also the occurrence of benthic mosses (Drepanocladus longifolius) covering the lake bottom. Plankton dynamics were investigated during the ice-thawing transition to the summer maximum. Both bacterioplankton and viral-like particles were higher near the lake's bottom, suggesting a benthic support. When the lake was under dim conditions because of the snow-and-ice cover, autotrophic picoplankters dominated at deep layers. The taxaspecific photopigments indicated dominance of picocyanobacteria among them when the light availability was lower. By contrast, larger and less edible phytoplankton dominated at the onset of the ice melting. The plankton size spectra were fitted to the continuous model of Pareto distribution. Spectra evolved similarly at two sampled depths, in surface and near the bottom, with slopes increasing until mid-January. However, slopes were less steep (i.e., size classes more uniformly distributed) at the bottom, thus denoting a more efficient utilization of resources. These findings suggest that microbial loop pathways in the lake are efficiently channelized during some periods to the metazoan production (mainly the copepod Boeckella poppei). Our results point to that trophic interactions may still occur in these lakes despite environmental harshness. This results of interest in a framework of increasing temperatures that may reduce the climatic restrictions and therefore stimulate biotic interactions. (C) 2017 Elsevier B.V. and NIPR. All rights reserved.</t>
  </si>
  <si>
    <t>[Rochera, Carlos; Camacho, Antonio] Univ Valencia, Cavanilles Inst Biodivers &amp; Evolutionary Biol, E-46100 Burjassot, Spain; [Rochera, Carlos; Camacho, Antonio] Univ Valencia, Dept Microbiol &amp; Ecol, E-46100 Burjassot, Spain; [Rochera, Carlos] Univ Castilla La Mancha, Reg Ctr Water Studies CREA, E-13071 Ciudad Real, Spain; [Quesada, Antonio] Autonomous Univ Madrid, Dept Biol, E-28049 Madrid, Spain; [Toro, Manuel] CEDEX, Ctr Hydrog Studies, Madrid 28005, Spain; [Rico, Eugenio] Autonomous Univ Madrid, Dept Ecol, E-28049 Madrid, Spain</t>
  </si>
  <si>
    <t>University of Valencia; University of Valencia; Universidad de Castilla-La Mancha; Autonomous University of Madrid; Autonomous University of Madrid</t>
  </si>
  <si>
    <t>Rochera, C (corresponding author), Univ Valencia, Cavanilles Inst Biodivers &amp; Evolutionary Biol, E-46100 Burjassot, Spain.;Rochera, C (corresponding author), Univ Valencia, Dept Microbiol &amp; Ecol, E-46100 Burjassot, Spain.</t>
  </si>
  <si>
    <t>carlos.rochera@uv.es</t>
  </si>
  <si>
    <t>Rochera, Carlos/M-2932-2014; Camacho, Antonio/I-3417-2015; Rico, Eugenio/L-2429-2013; Quesada, Antonio/L-2430-2013</t>
  </si>
  <si>
    <t>Rochera, Carlos/0000-0002-8294-4755; Camacho, Antonio/0000-0003-0841-2010; Rico, Eugenio/0000-0001-6978-645X; Quesada, Antonio/0000-0002-8913-5993</t>
  </si>
  <si>
    <t>Science and Technology Ministry (Spain) [REN2000-0435-ANT]; Spanish Ministry of Education and Science [CGL2005-06549-C02-02/ANT]; European FEDER funds; VALi+d postdoctoral contract of Generalitat Valenciana [APOSTD/2015/088]</t>
  </si>
  <si>
    <t>Science and Technology Ministry (Spain)(Spanish Government); Spanish Ministry of Education and Science(Spanish Government); European FEDER funds(European Union (EU)); VALi+d postdoctoral contract of Generalitat Valenciana</t>
  </si>
  <si>
    <t>Fieldwork was supported by grant REN2000-0435-ANT from the Science and Technology Ministry (Spain) to AQ. Sample processing was supported by grant CGL2005-06549-C02-02/ANT from the Spanish Ministry of Education and Science to AC, which was co-financed by European FEDER funds. CR is a recipient of a VALi+d postdoctoral contract of Generalitat Valenciana APOSTD/2015/088. We are very thankful with the UTM (Maritime Technology Unit, CSIC) and Las Palmas crew (Spanish Navy) who provided us with the logistical support to make possible this expedition. We also thank the fieldwork support of Prof. Wolfgang Petz and Prof. Ana Justel.</t>
  </si>
  <si>
    <t>10.1016/j.polar.2017.01.001</t>
  </si>
  <si>
    <t>WOS:000395455800007</t>
  </si>
  <si>
    <t>Turney, CSM; Wilmshurst, JM; Jones, RT; Wood, JR; Palmer, JG; Hogg, AG; Fenwick, P; Crowley, SF; Privat, K; Thomas, Z</t>
  </si>
  <si>
    <t>Turney, C. S. M.; Wilmshurst, J. M.; Jones, R. T.; Wood, J. R.; Palmer, J. G.; Hogg, A. G.; Fenwick, P.; Crowley, S. F.; Privat, K.; Thomas, Z.</t>
  </si>
  <si>
    <t>Reconstructing atmospheric circulation over southern New Zealand: Establishment of modern westerly airflow 5500 years ago and implications for Southern Hemisphere Holocene climate change</t>
  </si>
  <si>
    <t>Southern Hemisphere westerly winds; Jet stream; Wind-blown sediments; Southern Ocean; Roaring Forties; Southern Annular Mode (SAM)</t>
  </si>
  <si>
    <t>ORGANIC-MATTER SOURCES; ANNULAR MODE; STEWART ISLAND; ANTARCTIC PENINSULA; ICE-SHELF; PEAT BOG; VEGETATION; RECORD; VARIABILITY; INTENSITY</t>
  </si>
  <si>
    <t>Late-twentieth century changes in the intensity and migration of Southern Hemisphere westerly winds have been implicated in spatially complex variability in atmospheric and ocean circulation, and ice-sheet dynamics, across the mid- to high-latitudes. A major uncertainty, however, is whether present day hemispheric-wide symmetrical airflow is representative of past behaviour. Here we report a multi-proxy study from Stewart Island and southern Fiordland, New Zealand (46-47 degrees S) reconstructing Holocene changes at the northern limit of westerly airflow. Increased minerogenic input and a pronounced shift in cool-loving vegetation around 5500 years ago is consistent with the establishment of westerly airflow at this latitude in the southwest Pacific. In marked contrast, stronger winds are reported further south over the subantarctic Auckland (50 degrees S) and Campbell (52 degrees S) Islands from 8000 years ago. Intriguingly, reconstructions from the east Pacific suggest a weakening of core westerly airflow after 8500 years ago, but an expansion along the northern limits sometime after 5500 years ago. Our results suggest similar atmospheric circulation changes have been experienced in the Pacific since 5500 years ago, but indicate an expanded network of sites is needed to comprehensively test the driver(s) and impact(s) of Holocene mid-latitude westerly winds across the Southern Hemisphere. (C) 2016 Elsevier Ltd. All rights reserved.</t>
  </si>
  <si>
    <t>[Turney, C. S. M.; Palmer, J. G.; Privat, K.; Thomas, Z.] Univ New South Wales, Palaeontol Geobiol &amp; Earth Arch Res Ctr, Sch Biol Earth &amp; Environm Sci, Sydney, NSW, Australia; [Turney, C. S. M.; Palmer, J. G.; Thomas, Z.] Univ New South Wales, Climate Change Res Ctr, Sch Biol Earth &amp; Environm Sci, Sydney, NSW, Australia; [Wilmshurst, J. M.; Wood, J. R.] Landcare Res, Long Term Ecol Lab, POB 69040, Lincoln 7640, New Zealand; [Wilmshurst, J. M.] Univ Auckland, Sch Environm, Private Bag 92019, Auckland 1142, New Zealand; [Jones, R. T.] Univ Exeter, Dept Geog, Exeter EX4 4RJ, Devon, England; [Hogg, A. G.] Univ Waikato, Waikato Radiocarbon Lab, Private Bag 3105, Hamilton, New Zealand; [Fenwick, P.] Gondwana Tree Ring Lab, POB 14, Canterbury 7546, New Zealand; [Crowley, S. F.] Univ Liverpool, Dept Earth &amp; Ocean Sci, Liverpool L69 3GP, Merseyside, England; [Privat, K.] Univ New South Wales, Mark Wainwright Analyt Ctr, Electron Microscope Unit, Sydney, NSW, Australia</t>
  </si>
  <si>
    <t>University of New South Wales Sydney; University of New South Wales Sydney; Landcare Research - New Zealand; University of Auckland; University of Exeter; University of Waikato; University of Liverpool; University of New South Wales Sydney</t>
  </si>
  <si>
    <t>Turney, CSM (corresponding author), Univ New South Wales, Palaeontol Geobiol &amp; Earth Arch Res Ctr, Sch Biol Earth &amp; Environm Sci, Sydney, NSW, Australia.</t>
  </si>
  <si>
    <t>Wood, Jamie/AAU-5530-2021; Hogg, Alan G/M-8427-2014; Wilmshurst, Janet/O-8611-2019; Palmer, Jonathan/J-7834-2012; Turney, Chris/P-8701-2018; Wood, Jamie/A-9393-2008; Thomas, Zoe/D-1656-2016</t>
  </si>
  <si>
    <t>Wilmshurst, Janet/0000-0002-4474-8569; Palmer, Jonathan/0000-0002-6665-4483; Privat, Karen/0000-0002-6311-0990; Turney, Chris/0000-0001-6733-0993; Wood, Jamie/0000-0001-8008-6083; Thomas, Zoe/0000-0002-2323-4366; Fenwick, Pavla/0000-0002-0462-2371</t>
  </si>
  <si>
    <t>Australian Research Council [FL100100195, DP130104156]; New Zealand Department of Conservation; New Zealand Ministry of Business, Innovation and Employment's Science and Innovation Group; Australian Research Council [FL100100195] Funding Source: Australian Research Council</t>
  </si>
  <si>
    <t>Australian Research Council(Australian Research Council); New Zealand Department of Conservation; New Zealand Ministry of Business, Innovation and Employment's Science and Innovation Group(New Zealand Ministry of Business, Innovation and Employment (MBIE)); Australian Research Council(Australian Research Council)</t>
  </si>
  <si>
    <t>CSMT would like to thank the Australian Research Council for the provision of a Laureate Fellowship and Discovery Project that helped fund this work (FL100100195 and DP130104156). JMW and JRW were funded by the New Zealand Department of Conservation and Core funding for Crown Research Institutes from the New Zealand Ministry of Business, Innovation and Employment's Science and Innovation Group. We thank the New Zealand Department of Conservation for providing access and permitting us to undertake this work (Landcare Research Global Concession (GC) Permit Number: CA-31615-OTH). A big thanks to Margaret Hopkins and Raymond Hector for sampling the Doughboy Bay sands used in this study. The SEM analysis was performed at the University of New South Wales Electron Microscope Unit, Mark Wainwright Analytical Centre. Three anonymous reviewers kindly provided invaluable input to previous drafts of this manuscript.</t>
  </si>
  <si>
    <t>10.1016/j.quascirev.2016.12.017</t>
  </si>
  <si>
    <t>EM9CR</t>
  </si>
  <si>
    <t>WOS:000395609300006</t>
  </si>
  <si>
    <t>Bader, NA; Licht, KJ; Kaplan, MR; Kassab, C; Winckler, G</t>
  </si>
  <si>
    <t>Bader, Nicole A.; Licht, Kathy J.; Kaplan, Michael R.; Kassab, Christine; Winckler, Gisela</t>
  </si>
  <si>
    <t>East Antarctic ice sheet stability recorded in a high-elevation ice-cored moraine</t>
  </si>
  <si>
    <t>Provenance; Outlet glacier; Detrital zircon; Till; Lithology; Antarctica; Transantarctic mountains</t>
  </si>
  <si>
    <t>CENTRAL TRANSANTARCTIC MOUNTAINS; GEOLOGIC CONSTRAINTS; GLACIER; DEPOSITS; LAND</t>
  </si>
  <si>
    <t>Till in an extensive blue ice moraine in the central Transantarctic Mountains at Mt. Achernar shows relatively continuous deposition by East Antarctic derived ice throughout the last glacial cycle. The most recently exposed material along the active margin of the Law Glacier (Zone 1) has hummocky topography that transitions into to a relatively flat region (Zone 2), followed by a series of similar to 2 m high continuous, parallel/sub-parallel ridges and troughs (Zones 3-5). The entire moraine is ice-cored. Past surface changes of &lt;40 m are indicated by a lateral moraine at the base of Mt. Achernar and substantial topographic relief across Zone 3. Pebble lithology and detrital zircon geochronology were analyzed on samples along a 6.5 km transect across the moraine which formed from sub- and englacial debris. Beacon and Ferrar Supergroup rocks comprise most rock types on the moraine surface. Overall, pebbles in Zones 1, 4 and 5 are dominated by igneous rocks of the Ferrar dolerite, whereas Zones 2 and 3 have similar to 40% more Beacon Supergroup sedimentary rocks. Zone 4 is characterized by distinctly colored lithologic bands, 5-20 m wide, that alternate between dominant Beacon and Ferrar rock types. When combined with surface exposure ages, we conclude that Zones 2 and 3 contain sediment accumulated through the last glacial maximum (LGM). In contrast to pebble data, the U-Pb zircon data from till across all zones show little variability and are consistent with a Beacon Supergroup source, as samples show significant populations from the Proterozoic, similar to 550-600 Ma and similar to 950-1270 Ma, as well as the late Archean similar to 2700-2770 Ma. The Mackellar, Fairchild, and lower Buckley Formations are interpreted as dominant sources of the detrital zircons. The zircon data lack the spatio-temporal variability indicated by the pebble fraction because the local Ferrar dolerite is not zircon bearing, highlighting the broader importance of using multiple techniques when interpreting provenance changes over time. Rather than reflecting major changes in ice flow path over time, the provenance changes are interpreted to indicate relative stability of the East Antarctic ice sheet, as the Law Glacier tapped into and eroded successively lower stratigraphic units of the Beacon Supergroup. This has important implications for interpreting offshore provenance records. (C) 2016 Elsevier Ltd. All rights reserved.</t>
  </si>
  <si>
    <t>[Bader, Nicole A.; Licht, Kathy J.; Kassab, Christine] Indiana Univ Purdue Univ, Dept Earth Sci, Indianapolis, IN 46202 USA; [Kaplan, Michael R.; Winckler, Gisela] Lamont Doherty Earth Observ, Palisades, NY USA</t>
  </si>
  <si>
    <t>Kaplan, Michael R/D-4720-2011</t>
  </si>
  <si>
    <t>Licht, Kathy/0000-0002-2233-2853</t>
  </si>
  <si>
    <t>National Science Foundation Office of Polar Programs [NSF-0944578, NSF-0944475]; IUPUI Educational Enhancement and School of Science Graduate Student Council Grants; Directorate For Geosciences; Office of Polar Programs (OPP) [1141906] Funding Source: National Science Foundation; Directorate For Geosciences; Office of Polar Programs (OPP) [1443213] Funding Source: National Science Foundation</t>
  </si>
  <si>
    <t>National Science Foundation Office of Polar Programs(National Science Foundation (NSF)NSF - Directorate for Geosciences (GEO)); IUPUI Educational Enhancement and School of Science Graduate Student Council Grants; Directorate For Geosciences; Office of Polar Programs (OPP)(National Science Foundation (NSF)NSF - Directorate for Geosciences (GEO)); Directorate For Geosciences; Office of Polar Programs (OPP)(National Science Foundation (NSF)NSF - Directorate for Geosciences (GEO))</t>
  </si>
  <si>
    <t>This research was supported by the National Science Foundation Office of Polar Programs grant NSF-0944578 and NSF-0944475 and IUPUI Educational Enhancement and School of Science Graduate Student Council Grants. We appreciate constructive comments by D. Sugden and an anonymous reviewer. We thank R.J. Swope, T. Flood, T. Dits, B. Welke, J. Graly, J. Isbell, D. Elliot, J. Schaefer, M.J. Parker, and S. Black for helpful suggestions and discussions. Thank you also to the University of Arizona Laserchron Center for assistance with U-Pb analyses, A. Grunow at the Polar Rock Repository, the Polar Geospatial Center, and the United States Antarctic Program and mountaineer Mike Roberts for fieldwork support.</t>
  </si>
  <si>
    <t>10.1016/j.quascirev.2016.12.005</t>
  </si>
  <si>
    <t>WOS:000395609300007</t>
  </si>
  <si>
    <t>Moriarty, S</t>
  </si>
  <si>
    <t>Moriarty, Sinead</t>
  </si>
  <si>
    <t>Unstable Space: Mapping the Antarctic for Children in Heroic Era'' Antarctic Literature</t>
  </si>
  <si>
    <t>CHILDRENS LITERATURE IN EDUCATION</t>
  </si>
  <si>
    <t>Maps; Landscape; Antarctic; British children's literature; Wilderness</t>
  </si>
  <si>
    <t>This article examines the Antarctic landscape as one of the last places in the world to be explored and mapped, and as one of the most changeable landscapes in the world. The mapping exercises involved in the early, heroic-era Antarctic expeditions, helped to reduce a once mysterious and unknown landscape into a known entity, something that could be contained and restrained through visual representation. These maps focus on the limits of landscape, on the outer edges and the upper peaks and so mapping minimises and places limits upon landscapes, creating an image of the landscape which is static, re-presented for human consumption. The article will, therefore, look at the use of maps in a cross-section of six heroic-era Antarctic non-fiction narratives for children written within the last twenty years, and which recount the early Antarctic expeditions, recreating and re-presenting heroic-era maps as a means of enforcing stasis on this dynamic landscape. The children's stories, such as Michael McCurdy's Trapped by the Ice! (1997), Meredith Hooper's Race to the Pole (2002), and Dowdeswell, Dowdeswell &amp; Seddon's Scott of the Antarctic (2012), show that the stultifying effect of maps is exacerbated in the children's heroic-era narratives as they seek to fix the landscape geographically, as well as temporally, in the early twentieth century. The article will examine the way in which the maps in the modern retellings of heroic-era narratives seek to undermine the mutable nature of the Antarctic in order to present the child reader with an image of the continent, which is dominated by stasis.</t>
  </si>
  <si>
    <t>[Moriarty, Sinead] Univ Roehampton, London, England</t>
  </si>
  <si>
    <t>Roehampton University</t>
  </si>
  <si>
    <t>Moriarty, S (corresponding author), Univ Roehampton, London, England.</t>
  </si>
  <si>
    <t>moriarts@roehampton.ac.uk</t>
  </si>
  <si>
    <t>Moriarty, Sinead/0000-0003-3014-2563</t>
  </si>
  <si>
    <t>0045-6713</t>
  </si>
  <si>
    <t>1573-1693</t>
  </si>
  <si>
    <t>CHILD LIT EDUC</t>
  </si>
  <si>
    <t>Child. Lit. Educ.</t>
  </si>
  <si>
    <t>10.1007/s10583-016-9307-1</t>
  </si>
  <si>
    <t>Literature</t>
  </si>
  <si>
    <t>Arts &amp; Humanities Citation Index (A&amp;HCI)</t>
  </si>
  <si>
    <t>EL9SY</t>
  </si>
  <si>
    <t>WOS:000394961600005</t>
  </si>
  <si>
    <t>Oliva, M; Ruiz-Fernández, J; Zarankin, A; Casanova-Katny, A; Nofre, J</t>
  </si>
  <si>
    <t>Oliva, Marc; Ruiz-Fernandez, Jesus; Zarankin, Andres; Casanova-Katny, Angelica; Nofre, Jordi</t>
  </si>
  <si>
    <t>Geoecology and Historical Heritage in the Ice-Free Area of Elephant Point (Antarctica). Proposal for Future Environmental Protection</t>
  </si>
  <si>
    <t>GEOHERITAGE</t>
  </si>
  <si>
    <t>Antarctica; Elephant Point; Geoecology; Archaeology; Antarctic Treaty System</t>
  </si>
  <si>
    <t>SOUTH SHETLAND ISLANDS; KING GEORGE ISLAND; MARITIME ANTARCTICA; LIVINGSTON ISLAND; BYERS PENINSULA; SURFACE; MANAGEMENT; LANDFORMS; BEACHES; SNOW</t>
  </si>
  <si>
    <t>The Antarctic Treaty provides the general environmental policies for all areas south of parallel 60 degrees S. In addition, some enclaves have a higher degree of environmental protection regulated by three categories: Antarctic Specially Protected Areas (ASPA), Antarctic Specially Managed Areas and Historic Sites or Monuments. Most of the protected areas in Antarctica have been designated based on the national geopolitical strategies, giving special attention to those areas where access and logistics are easier. This paper focuses on Elephant Point (Livingston, South Shetland Islands), an ice-free area of 1.16 km2 where activities are only regulated by the Antarctic Treaty System and no further environmental protection exists. By using a geoecological approach based on the geomorphology together with the distribution of the fauna and flora existing in the area, we have distinguished six geoecological environments in Elephant Point: Rotch glacier, proglacial environment, moraine system, bedrock plateaus, marine terraces and present-day beach. The distribution of fauna and flora is highly conditioned by the age of deglaciation as well as by the glacial, paraglacial and periglacial geomorphological landforms and processes. Besides this, five well preserved archaeological sites have been found in Elephant Point. These sites were used for sealers and whalers who sailed across the Maritime Antarctic during the eighteenth and nineteenth centuries. The rich biodiversity together with the high geomorphological and historical significance of this peninsula within the Maritime Antarctic constitutes the scientific basis to propose Elephant Point to be designated an ASPA in order to preserve the unique scientific heritage existing in this small peninsula.</t>
  </si>
  <si>
    <t>[Oliva, Marc] Univ Lisbon, Ctr Geog Studies, Inst Geog &amp; Spatial Planning, Alameda Univ, P-1600214 Alameda, CA, Portugal; [Ruiz-Fernandez, Jesus] Univ Oviedo, Dept Geog, Teniente Alfonso Martinez S-N, Oviedo 33011, Spain; [Zarankin, Andres] Univ Fed Minas Gerais, Dept Antrhopol &amp; Archaeol, Ave Antonio Carlos 6-627,Campus Pampulha 31, BR-270901 Belo Horizonte, MG, Brazil; [Casanova-Katny, Angelica] Catholic Univ Temuco, Program Environm Studies NEA, Temuco, Chile; [Nofre, Jordi] Univ Nova Lisboa, Interdisciplinary Ctr Social Sci, Ave Berna 26-C,R D Bldg,Room 3-14, P-1069061 Lisbon, Portugal</t>
  </si>
  <si>
    <t>Universidade de Lisboa; University of Oviedo; Universidade Federal de Minas Gerais; Universidad Catolica de Temuco; Universidade Nova de Lisboa</t>
  </si>
  <si>
    <t>Oliva, M (corresponding author), Univ Lisbon, Ctr Geog Studies, Inst Geog &amp; Spatial Planning, Alameda Univ, P-1600214 Alameda, CA, Portugal.</t>
  </si>
  <si>
    <t>oliva_marc@yahoo.com</t>
  </si>
  <si>
    <t>Casanova-Katny, Angelica/M-3994-2014; NOFRE, JORDI/M-3380-2017; Zarankin, Andres/AAI-3419-2020; Oliva, Marc/K-5423-2014</t>
  </si>
  <si>
    <t>NOFRE, JORDI/0000-0002-7367-1337; Zarankin, Andres/0000-0002-0020-0606; Ruiz-Fernandez, Jesus/0000-0001-7161-3320; Oliva, Marc/0000-0001-6521-6388</t>
  </si>
  <si>
    <t>AXA Research Fund; General Directorate of Research and Postgraduate Studies of the Catholic University of Temuco, DGIPUCT [CD2010-01]; Portuguese Polar Program (PROPOLAR) - Portuguese Science Foundation; research project HOLOANTAR (Holocene environmental change in the Maritime Antarctic. Interactions Between permafrost and the lacustrine environment) - Portuguese Science Foundation; FONDECYT (Fondo Nacional de Desarrollo Cientifico y Tecnologico, Chile) [1120895]; PROANTAR/CNPq (Brazil)</t>
  </si>
  <si>
    <t>AXA Research Fund(AXA Research Fund); General Directorate of Research and Postgraduate Studies of the Catholic University of Temuco, DGIPUCT; Portuguese Polar Program (PROPOLAR) - Portuguese Science Foundation; research project HOLOANTAR (Holocene environmental change in the Maritime Antarctic. Interactions Between permafrost and the lacustrine environment) - Portuguese Science Foundation; FONDECYT (Fondo Nacional de Desarrollo Cientifico y Tecnologico, Chile)(Comision Nacional de Investigacion Cientifica y Tecnologica (CONICYT)CONICYT FONDECYT); PROANTAR/CNPq (Brazil)</t>
  </si>
  <si>
    <t>M. Oliva thanks the AXA Research Fund for sponsoring his research, and A. Casanova-Katny acknowledges the support of the General Directorate of Research and Postgraduate Studies of the Catholic University of Temuco, DGIPUCT No CD2010-01. This study was financially supported by the Portuguese Polar Program (PROPOLAR) and the research project HOLOANTAR (Holocene environmental change in the Maritime Antarctic. Interactions Between permafrost and the lacustrine environment), both funded by the Portuguese Science Foundation. Funding was also provided by the project 1120895 of the FONDECYT (Fondo Nacional de Desarrollo Cientifico y Tecnologico, Chile). The archaeological research has been funded by the PROANTAR/CNPq (Brazil). We acknowledge the Brazilian and Chilean Antarctic programmes for their logistic support in the field.</t>
  </si>
  <si>
    <t>1867-2477</t>
  </si>
  <si>
    <t>1867-2485</t>
  </si>
  <si>
    <t>Geoheritage</t>
  </si>
  <si>
    <t>10.1007/s12371-016-0184-1</t>
  </si>
  <si>
    <t>EL1HJ</t>
  </si>
  <si>
    <t>WOS:000394370800008</t>
  </si>
  <si>
    <t>Abadi, F; Barbraud, C; Gimenez, O</t>
  </si>
  <si>
    <t>Abadi, Fitsum; Barbraud, Christophe; Gimenez, Olivier</t>
  </si>
  <si>
    <t>Integrated population modeling reveals the impact of climate on the survival of juvenile emperor penguins</t>
  </si>
  <si>
    <t>Bayesian; climate change; emperor penguins; integrated population model; sea ice concentration; southern annular mode; survival</t>
  </si>
  <si>
    <t>ADELIE LAND; ANTARCTIC OSCILLATION; POINTE GEOLOGIE; DYNAMICS; RESPONSES; DECLINES; WEATHER</t>
  </si>
  <si>
    <t>Early-life demographic traits are poorly known, impeding our understanding of population processes and sensitivity to climate change. Survival of immature individuals is a critical component of population dynamics and recruitment in particular. However, obtaining reliable estimates of juvenile survival (i.e., from independence to first year) remains challenging, as immatures are often difficult to observe and to monitor individually in the field. This is particularly acute for seabirds, in which juveniles stay at sea and remain undetectable for several years. In this work, we developed a Bayesian integrated population model to estimate the juvenile survival of emperor penguins (Aptenodytes forsteri), and other demographic parameters including adult survival and fecundity of the species. Using this statistical method, we simultaneously analyzed capture-recapture data of adults, the annual number of breeding females, and the number of fledglings of emperor penguins collected at Dumont d'Urville, Antarctica, for the period 1971-1998. We also assessed how climate covariates known to affect the species foraging habitats and prey [southern annular mode (SAM), sea ice concentration (SIC)] affect juvenile survival. Our analyses revealed that there was a strong evidence for the positive effect of SAM during the rearing period (SAMR) on juvenile survival. Our findings suggest that this large-scale climate index affects juvenile emperor penguins body condition and survival through its influence on wind patterns, fast ice extent, and distance to open water. Estimating the influence of environmental covariates on juvenile survival is of major importance to understand the impacts of climate variability and change on the population dynamics of emperor penguins and seabirds in general and to make robust predictions on the impact of climate change on marine predators.</t>
  </si>
  <si>
    <t>[Abadi, Fitsum] Univ Witwatersrand, Sch Stat &amp; Actuarial Sci, ZA-2050 Johannesburg, South Africa; [Abadi, Fitsum; Gimenez, Olivier] Univ Paul Valery Montpellier EPHE, Univ Montpellier, CNRS, CEFE,UMR 5175, 1919 Route Mende, F-34293 Montpellier, France; [Barbraud, Christophe] Univ La Rochelle, Ctr Etud Biol Chize, CNRS, UMR7372, Villiers En Bois, France</t>
  </si>
  <si>
    <t>University of Witwatersrand; 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 La Rochelle Universite; Centre National de la Recherche Scientifique (CNRS); CNRS - Institute of Ecology &amp; Environment (INEE)</t>
  </si>
  <si>
    <t>Abadi, F (corresponding author), Univ Witwatersrand, Sch Stat &amp; Actuarial Sci, ZA-2050 Johannesburg, South Africa.;Abadi, F (corresponding author), Univ Paul Valery Montpellier EPHE, Univ Montpellier, CNRS, CEFE,UMR 5175, 1919 Route Mende, F-34293 Montpellier, France.</t>
  </si>
  <si>
    <t>fitaba@gmail.com</t>
  </si>
  <si>
    <t>Barbraud, Christophe/A-5870-2012; Gimenez, Olivier/G-4281-2010</t>
  </si>
  <si>
    <t>Barbraud, Christophe/0000-0003-0146-212X; Gimenez, Olivier/0000-0001-7001-5142</t>
  </si>
  <si>
    <t>IPEV [109]; Zone Atelier Antarctique (INEECNRS); Terres Australes et Antarctiques. Francaises</t>
  </si>
  <si>
    <t>IPEV; Zone Atelier Antarctique (INEECNRS); Terres Australes et Antarctiques. Francaises</t>
  </si>
  <si>
    <t>We thank all the people involved in the data collection and D. Besson and K. Delord for their help in data management. The Ethics Committee of Institut Polaire Francais Paul-Emile Victor (IPEV) approved all field procedures. The present work was financially and logistically supported by IPEV (program 109: resp. H. Weimerskirch), Zone Atelier Antarctique (INEECNRS), and Terres Australes et Antarctiques. Francaises.</t>
  </si>
  <si>
    <t>10.1111/gcb.13538</t>
  </si>
  <si>
    <t>EO6UZ</t>
  </si>
  <si>
    <t>WOS:000396829300031</t>
  </si>
  <si>
    <t>Marzloff, MP; Melbourne-Thomas, J; Hamon, KG; Hoshino, E; Jennings, S; Van Putten, IE; Pecl, GT</t>
  </si>
  <si>
    <t>Marzloff, Martin Pierre; Melbourne-Thomas, Jessica; Hamon, Katell G.; Hoshino, Eriko; Jennings, Sarah; Van Putten, Ingrid E.; Pecl, Gretta T.</t>
  </si>
  <si>
    <t>Modelling marine community responses to climate-driven species redistribution to guide monitoring and adaptive ecosystem-based management (vol 22, pg 462, 2016)</t>
  </si>
  <si>
    <t>[Marzloff, Martin Pierre; Pecl, Gretta T.] Univ Tasmania, Inst Marine &amp; Antarctic Studies, Private Bag 129, Hobart, Tas 7001, Australia; [Melbourne-Thomas, Jessica] Australian Antarctic Div, Dept Environm, Channel Highway, Kingston, Tas 7005, Australia; [Melbourne-Thomas, Jessica] Antarctic Climate &amp; Ecosyst Cooperat Res Ctr, Private Bag 80, Hobart, Tas 7001, Australia; [Hamon, Katell G.] LEI Wageningen UR, POB 29703, NL-2502 LS The Hague, Netherlands; [Hoshino, Eriko; Jennings, Sarah] Univ Tasmania, Tasmanian Sch Business &amp; Econ, Private Bag 84, Hobart, Tas 7001, Australia; [Hoshino, Eriko; Van Putten, Ingrid E.] CSIRO Oceans &amp; Atmosphere, Hobart, Tas 7001, Australia; [Jennings, Sarah; Van Putten, Ingrid E.; Pecl, Gretta T.] Univ Tasmania, Ctr Marine Socioecol, Hobart, Tas 7001, Australia</t>
  </si>
  <si>
    <t>University of Tasmania; Australian Antarctic Division; Antarctic Climate &amp; Ecosystems Cooperative Research Centre (ACE CRC); Wageningen University &amp; Research; University of Tasmania; Commonwealth Scientific &amp; Industrial Research Organisation (CSIRO); University of Tasmania</t>
  </si>
  <si>
    <t>Marzloff, MP (corresponding author), Univ Tasmania, Inst Marine &amp; Antarctic Studies, Private Bag 129, Hobart, Tas 7001, Australia.</t>
  </si>
  <si>
    <t>Pecl, Gretta/D-7267-2011; Melbourne-Thomas, Jess/N-2437-2019; Jennings, Sarah M/J-7888-2014; Hamon, Katell G/C-7206-2011; van putten, ingrid/AAV-1301-2021; Marzloff, Martin/AAY-3833-2020; Hoshino, Eriko/N-7557-2013</t>
  </si>
  <si>
    <t>Pecl, Gretta/0000-0003-0192-4339; Melbourne-Thomas, Jess/0000-0001-6585-876X; van putten, ingrid/0000-0001-8397-9768; Marzloff, Martin/0000-0002-8152-4273;</t>
  </si>
  <si>
    <t>10.1111/gcb.13607</t>
  </si>
  <si>
    <t>WOS:000396829300032</t>
  </si>
  <si>
    <t>Randall, J; Hermand, JP; Ernould, ME; Ross, J; Johnson, C</t>
  </si>
  <si>
    <t>Randall, Jo; Hermand, Jean-Pierre; Ernould, Marie-Elise; Ross, Jeff; Johnson, Craig</t>
  </si>
  <si>
    <t>Measurement of acoustic material properties of macroalgae (Ecklonia radiata) (vol 461, pg 430, 2014)</t>
  </si>
  <si>
    <t>[Randall, Jo; Hermand, Jean-Pierre] Univ Libre Bruxelles, Environm Hydroacoust Lab, B-1050 Brussels, Belgium; [Randall, Jo; Ross, Jeff; Johnson, Craig] Univ Tasmania, Inst Marine &amp; Antarctic Studies, Hobart, Tas 7001, Australia; [Ernould, Marie-Elise] Laborelec Res Ctr, B-1630 Linkebeek, Belgium</t>
  </si>
  <si>
    <t>Universite Libre de Bruxelles; University of Tasmania; GDF Suez</t>
  </si>
  <si>
    <t>Randall, J (corresponding author), Univ Libre Bruxelles, Environm Hydroacoust Lab, B-1050 Brussels, Belgium.</t>
  </si>
  <si>
    <t>Joanne.Randall@ulb.ac.be</t>
  </si>
  <si>
    <t>Johnson, Craig R/E-1788-2013</t>
  </si>
  <si>
    <t>10.1016/j.jembe.2016.10.025</t>
  </si>
  <si>
    <t>EL1TI</t>
  </si>
  <si>
    <t>WOS:000394403500014</t>
  </si>
  <si>
    <t>Winter, A; Steinhage, D; Arnold, EJ; Blankenship, DD; Cavitte, MGP; Corr, HFJ; Paden, JD; Urbini, S; Young, DA; Eisen, O</t>
  </si>
  <si>
    <t>Winter, Anna; Steinhage, Daniel; Arnold, Emily J.; Blankenship, Donald D.; Cavitte, Marie G. P.; Corr, Hugh F. J.; Paden, John D.; Urbini, Stefano; Young, Duncan A.; Eisen, Olaf</t>
  </si>
  <si>
    <t>Comparison of measurements from different radio-echo sounding systems and synchronization with the ice core at Dome C, Antarctica</t>
  </si>
  <si>
    <t>CHRONOLOGY AICC2012; WEST ANTARCTICA; KOHNEN STATION; SHEET; PERMITTIVITY; ATTENUATION; TEMPERATURE; CLIMATE; VOSTOK; FLOW</t>
  </si>
  <si>
    <t>We present a compilation of radio-echo sounding (RES) measurements of five radar systems (AWI, BAS, CReSIS, INGV and UTIG) around the EPICA Dome C (EDC) drill site, East Antarctica. The aim of our study is to investigate the differences of the various systems in their resolution of internal reflection horizons (IRHs) and bed topography, penetration depth and capacity of imaging the basal layer. We address the questions of the compatibility of existing radar data for common interpretation and the suitability of the individual systems for reconnaissance surveys. We find that the most distinct IRHs and IRH patterns can be identified and transferred between most data sets. Considerable differences between the RES systems exist in range resolution and depiction of the bottom-most region. Considering both aspects, which we judge as crucial factors in the search for old ice, the CReSIS and the UTIG systems are the most suitable ones. In addition to the RES data set comparison we calculate a synthetic radar trace from EDC density and conductivity profiles. We identify 10 common IRHs in the measured RES data and the synthetic trace. We then conduct a sensitivity study for which we remove certain peaks from the input conductivity profile. As a result the respective reflections disappear from the modeled radar trace. In this way, we establish a depth conversion of the measured travel times of the IRHs. Furthermore, we use these sensitivity studies to investigate the cause of observed reflections. The identified IRHs are assigned ages from the EDC's timescale. Due tothe isochronous character of these conductivity-caused IRHs, they are a means to extend the Dome C age structure by tracing the IRHs along the RES profiles.</t>
  </si>
  <si>
    <t>[Winter, Anna; Steinhage, Daniel; Eisen, Olaf] Alfred Wegener Inst, Helmholtz Zentrum Polar &amp; Meeresforsch, Bremerhaven, Germany; [Arnold, Emily J.; Paden, John D.] Ctr Remote Sensing Ice Sheets, Lawrence, KS USA; [Blankenship, Donald D.; Cavitte, Marie G. P.; Young, Duncan A.] Univ Texas Austin, Inst Geophys, Austin, TX USA; [Corr, Hugh F. J.] British Antarctic Survey, Cambridge, England; [Urbini, Stefano] Ist Nazl Geofis &amp; Vulcanol, Rome, Italy; [Eisen, Olaf] Univ Bremen, Fachbereich Geowissensch, Bremen, Germany</t>
  </si>
  <si>
    <t>Helmholtz Association; Alfred Wegener Institute, Helmholtz Centre for Polar &amp; Marine Research; University of Texas System; University of Texas Austin; UK Research &amp; Innovation (UKRI); Natural Environment Research Council (NERC); NERC British Antarctic Survey; Istituto Nazionale Geofisica e Vulcanologia (INGV); University of Bremen</t>
  </si>
  <si>
    <t>Winter, A (corresponding author), Alfred Wegener Inst, Helmholtz Zentrum Polar &amp; Meeresforsch, Bremerhaven, Germany.</t>
  </si>
  <si>
    <t>anna.winter@awi.de</t>
  </si>
  <si>
    <t>Blankenship, Donald D./G-5935-2010; Arnold, Emily/AAF-1062-2022; Corr, Hugh/C-5398-2011; Cavitte, Marie/AAB-8533-2020; Eisen, Olaf/K-3846-2012; Arnold, Emily/AFF-8696-2022; Young, Duncan/G-6256-2010</t>
  </si>
  <si>
    <t>Cavitte, Marie/0000-0002-5777-0933; Eisen, Olaf/0000-0002-6380-962X; Winter, Anna/0000-0002-0179-6798; Young, Duncan/0000-0002-6866-8176; urbini, stefano/0000-0002-8053-4197</t>
  </si>
  <si>
    <t>US Antarctic Program; Institut Polaire Francais Paul-Emile Victor (IPEV); Italian Antarctic Program (PNRA); Italian Antarctic Program (ENEA); Japanese National Institute of Polar Research (NIPR); NSF [ANT-0733025]; UK's NERC grant [NE/D003733/1]; French ANR Dome C project [ANR-07-BLAN-0125]; NERC [bas0100034] Funding Source: UKRI; Natural Environment Research Council [bas0100034] Funding Source: researchfish</t>
  </si>
  <si>
    <t>US Antarctic Program; Institut Polaire Francais Paul-Emile Victor (IPEV); Italian Antarctic Program (PNRA); Italian Antarctic Program (ENEA); Japanese National Institute of Polar Research (NIPR); NSF(National Science Foundation (NSF)); UK's NERC grant; French ANR Dome C project(Agence Nationale de la Recherche (ANR)); NERC(UK Research &amp; Innovation (UKRI)Natural Environment Research Council (NERC)); Natural Environment Research Council(UK Research &amp; Innovation (UKRI)Natural Environment Research Council (NERC))</t>
  </si>
  <si>
    <t>Operational support was provided by the US Antarctic Program, the Institut Polaire Francais Paul-Emile Victor (IPEV), the Italian Antarctic Program (PNRA and ENEA) and the Japanese National Institute of Polar Research (NIPR). We acknowledge that several CReSIS faculty, staff and students contributed to the development of radars and antenna arrays used to collect data reported here. The UTIG line was funded as part of NSF's International Polar Year activities (grant ANT-0733025) to the University of Texas at Austin and the UK's NERC grant NE/D003733/1 to University of Edinburgh. Additional support was provided by the French ANR Dome C project (ANR-07-BLAN-0125). We would like to thank T. Jordan and one anonymous reviewer for their comments which greatly improved the original manuscript and R. Bingham for handling our submission. This is UTIG contribution 3088.</t>
  </si>
  <si>
    <t>10.5194/tc-11-653-2017</t>
  </si>
  <si>
    <t>EM3FW</t>
  </si>
  <si>
    <t>WOS:000395200900001</t>
  </si>
  <si>
    <t>Lang, SA; Wu, Q; Liu, XJ; Zhao, B; Zhang, WX; Chen, XW</t>
  </si>
  <si>
    <t>Lang, Shinan; Wu, Qiang; Liu, Xiaojun; Zhao, Bo; Zhang, Wenxin; Chen, Xiuwei</t>
  </si>
  <si>
    <t>Modified Planar Subarray Processing Algorithm Based on ISFT for Real-Time Imaging of Ice-Sounding Data</t>
  </si>
  <si>
    <t>Inverse scaled Fourier transform (ISFT); message passing interface (MPI); planar subarray processing (PSAP); real-time imaging of ice-sounding data</t>
  </si>
  <si>
    <t>WEST ANTARCTICA; SAR; GLACIER; SHEETS</t>
  </si>
  <si>
    <t>We develop and then demonstrate a modified planar subarray processing algorithm based on the inverse scaled Fourier transform applied to very high frequency ice-sounding data that produces swath measurements of ice sheet surface topography, ice thickness, and radar reflectivity of both internal reflecting horizons and bedrock of the ice sheet. It is a real-time ice-sounding imaging method. First, theory analysis has been carried on the proposed algorithm. Then, we give the particular realizing steps to implement this algorithm. Finally, we apply this algorithm to the simulation point targets and real data collected during the 29th Chinese Antarctic Research Expedition to prove its validity of imaging of ice sheets. Furthermore, compared with two previous algorithms in two major aspects-the power of azimuth clutter reduction and calculating time-the proposed algorithm could considerably reduce the imaging time to meet the requirement of real-time imaging of ice-sounding data without degrading the ability of azimuth clutter reduction via C+ MPI language on a parallel computer system.</t>
  </si>
  <si>
    <t>[Lang, Shinan; Wu, Qiang] Beijing Univ Technol, Sch Informat &amp; Commun Engn, Beijing 100124, Peoples R China; [Liu, Xiaojun; Zhao, Bo; Zhang, Wenxin; Chen, Xiuwei] Chinese Acad Sci, Key Lab Electromagnet Radiat &amp; Sensing Technol, Beijing 100190, Peoples R China</t>
  </si>
  <si>
    <t>Beijing University of Technology; Chinese Academy of Sciences</t>
  </si>
  <si>
    <t>Lang, SA; Wu, Q (corresponding author), Beijing Univ Technol, Sch Informat &amp; Commun Engn, Beijing 100124, Peoples R China.</t>
  </si>
  <si>
    <t>langshinan@gmail.com; wuqiang@bjut.edu.cn</t>
  </si>
  <si>
    <t>Chen, Xiuwei/AAH-6695-2021; bo, zhao/JRY-8300-2023</t>
  </si>
  <si>
    <t>Zhang, Wenxin/0000-0001-6274-3422</t>
  </si>
  <si>
    <t>National Natural Science Foundation of China [41606219]; China Postdoctoral Science Foundation; Beijing Postdoctoral Research Foundation</t>
  </si>
  <si>
    <t>National Natural Science Foundation of China(National Natural Science Foundation of China (NSFC)); China Postdoctoral Science Foundation(China Postdoctoral Science Foundation); Beijing Postdoctoral Research Foundation(China Postdoctoral Science Foundation)</t>
  </si>
  <si>
    <t>This work was supported in part by the National Natural Science Foundation of China under Grant 41606219, in part by the China Postdoctoral Science Foundation Funded Project, and in part by the Beijing Postdoctoral Research Foundation.</t>
  </si>
  <si>
    <t>10.1109/TGRS.2016.2631278</t>
  </si>
  <si>
    <t>EN6IC</t>
  </si>
  <si>
    <t>WOS:000396106700041</t>
  </si>
  <si>
    <t>Boyd, PW; Ellwood, MJ; Tagliabue, A; Twining, BS</t>
  </si>
  <si>
    <t>Boyd, Philip W.; Ellwood, Michael J.; Tagliabue, Alessandro; Twining, Benjamin S.</t>
  </si>
  <si>
    <t>Biotic and abiotic retention, recycling and remineralization of metals in the ocean</t>
  </si>
  <si>
    <t>MESOSCALE IRON ENRICHMENT; SIZE-FRACTIONATED IRON; DISSOLVED IRON; NATURAL FERTILIZATION; BINDING LIGANDS; TRACE-ELEMENTS; SOUTHERN-OCEAN; TIME-SERIES; PHYTOPLANKTON; STOICHIOMETRY</t>
  </si>
  <si>
    <t>Trace metals shape both the biogeochemical functioning and biological structure of oceanic provinces. Trace metal biogeochemistry has primarily focused on modes of external supply of metals from aeolian, hydrothermal, sedimentary and other sources. However, metals also undergo internal transformations such as abiotic and biotic retention, recycling and remineralization. The role of these internal transformations in metal biogeochemical cycling is now coming into focus. First, the retention of metals by biota in the surface ocean for days, weeks or months depends on taxon-specific metal requirements of phytoplankton, and on their ultimate fate: that is, viral lysis, senescence, grazing and/or export to depth. Rapid recycling of metals in the surface ocean can extend seasonal productivity by maintaining higher levels of metal bioavailability compared to the influence of external metal input alone. As metal-containing organic particles are exported from the surface ocean, different metals exhibit distinct patterns of remineralization with depth. These patterns are mediated by a wide range of physicochemical and microbial processes such as the ability of particles to sorb metals, and are influenced by the mineral and organic characteristics of sinking particles. We conclude that internal metal transformations play an essential role in controlling metal bioavailability, phytoplankton distributions and the subsurface resupply of metals.</t>
  </si>
  <si>
    <t>[Boyd, Philip W.] Univ Tasmania, Inst Marine &amp; Antarctic Studies, Hobart, Tas 7004, Australia; [Boyd, Philip W.] Univ Tasmania, Antarctic Climate &amp; Ecosyst CRC, Battery Point, Tas 7004, Australia; [Ellwood, Michael J.] Australian Natl Univ, Res Sch Earth Sci, Canberra, ACT 0200, Australia; [Tagliabue, Alessandro] Univ Liverpool, Sch Environm Sci, Liverpool L69 3GP, Merseyside, England; [Twining, Benjamin S.] Bigelow Lab Ocean Sci, East Boothbay, ME 04544 USA</t>
  </si>
  <si>
    <t>University of Tasmania; University of Tasmania; Australian National University; University of Liverpool; Bigelow Laboratory for Ocean Sciences</t>
  </si>
  <si>
    <t>Boyd, PW (corresponding author), Univ Tasmania, Inst Marine &amp; Antarctic Studies, Hobart, Tas 7004, Australia.;Boyd, PW (corresponding author), Univ Tasmania, Antarctic Climate &amp; Ecosyst CRC, Battery Point, Tas 7004, Australia.</t>
  </si>
  <si>
    <t>Philip.Boyd@utas.edu.au</t>
  </si>
  <si>
    <t>Ellwood, Michael J/G-7390-2011; Boyd, Philip/J-7624-2014</t>
  </si>
  <si>
    <t>Boyd, Philip/0000-0001-7850-1911; Twining, Benjamin/0000-0002-1365-9192; Ellwood, Michael/0000-0003-4288-8530</t>
  </si>
  <si>
    <t>US Department of Energy (DOE) [DE-AC02-06CH11357]; Australian Research Council Australian Laureate Fellowship [FL160100131]; Antarctic Climate and Ecosystems Cooperative Research Centre; Australian Research Council Discovery Project [DP130100679]; US National Science Foundation grant [OCE-1232814]; N8 HPC Centre of Excellence; N8 consortium; EPSRC [EP/K000225/1]</t>
  </si>
  <si>
    <t>US Department of Energy (DOE)(United States Department of Energy (DOE)); Australian Research Council Australian Laureate Fellowship(Australian Research Council); Antarctic Climate and Ecosystems Cooperative Research Centre(Australian GovernmentDepartment of Industry, Innovation and ScienceCooperative Research Centres (CRC) Programme); Australian Research Council Discovery Project(Australian Research Council); US National Science Foundation grant(National Science Foundation (NSF)); N8 HPC Centre of Excellence; N8 consortium; EPSRC(UK Research &amp; Innovation (UKRI)Engineering &amp; Physical Sciences Research Council (EPSRC))</t>
  </si>
  <si>
    <t>The authors thank G. Jackson (Texas A&amp;M University) and T. Kiorboe (Technical University of Denmark) for the provision of unpublished data/video footage. The authors acknowledge the role of collaborations with David Hutchins, Sylvia Sander, Robert Strzepek and Steve Wilhelm in developing this Perspective. The sinking particles presented in Supplementary Fig. 2c were collected by Z. Baumann (University of Connecticut) and analysed with the assistance of D. Ohnemus (Bigelow Laboratory for Ocean Sciences). This analysis used resources of the Advanced Photon Source, a US Department of Energy (DOE) Office of Science User Facility operated for the DOE Office of Science by Argonne National Laboratory under Contract No. DE-AC02-06CH11357. Support was provided by Australian Research Council Australian Laureate Fellowship project FL160100131 and Antarctic Climate and Ecosystems Cooperative Research Centre funding to P.W.B., an Australian Research Council Discovery Project DP130100679 to M.J.E. and P.W.B. B.S.T. was supported by US National Science Foundation grant OCE-1232814. Model simulations by A.T. are supported by N8 HPC Centre of Excellence, provided and funded by the N8 consortium and EPSRC (Grant No. EP/K000225/1).</t>
  </si>
  <si>
    <t>U112</t>
  </si>
  <si>
    <t>10.1038/NGEO2876</t>
  </si>
  <si>
    <t>EN1SX</t>
  </si>
  <si>
    <t>WOS:000395791400006</t>
  </si>
  <si>
    <t>Camenzuli, D; Wise, LE; Stokes, AJ; Gore, DB</t>
  </si>
  <si>
    <t>Camenzuli, Danielle; Wise, Lauren E.; Stokes, Alex J.; Gore, Damian B.</t>
  </si>
  <si>
    <t>Treatment of soil co-contaminated with inorganics and petroleum hydrocarbons using silica: Implications for remediation in cold regions</t>
  </si>
  <si>
    <t>COLD REGIONS SCIENCE AND TECHNOLOGY</t>
  </si>
  <si>
    <t>Remediation; Pollution; Silica; Stabilisation; Immobilisation; Encapsulation</t>
  </si>
  <si>
    <t>SODIUM-CALCIUM ALUMINOSILICATE; PERMEABLE REACTIVE BARRIER; ZERO-VALENT IRON; HEAVY-METALS; CHEMICAL IMMOBILIZATION; CASEY STATION; PLANT-GROWTH; GROUND-WATER; DIESEL FUEL; LEAD</t>
  </si>
  <si>
    <t>Successful remediation of contaminated land in cold regions is challenged by freeze-thaw cycling, slow rates of natural hydrocarbon attenuation, extreme weather and financial and logistical constraints. At sites co-contaminated with metals and petroleum hydrocarbons, microbial activity is suppressed and biodegradation of petroleum hydrocarbons is also slowed. This study assesses the performance of eight silica treatments for immobilising inorganics (Al, Cr, Fe, Ni, Cu, Zn, As, Cd and Pb) and encapsulating petroleum hydrocarbons (a winterised diesel) in co-contaminated soil at 2 degrees C. Treatments containing orthophosphoric acid immobilised Cu, Zn, Cd and Pb, but mobilised As. The formation of hydroxypyromorphite, sodium aluminosilicates and calcium beating minerals were observed following treatment, demonstrating the potential for successful immobilisation of inorganics using silica treatments. Silica treatments were less effective at reducing total extractable concentrations of petroleum hydrocarbons in soil, indicating that further research is required to optimise treatment performance in soil co-contaminated with inorganics and petroleum hydrocarbons. (C) 2016 Published by Elsevier B.V.</t>
  </si>
  <si>
    <t>[Camenzuli, Danielle; Gore, Damian B.] Macquarie Univ, Dept Environm Sci, Fac Sci &amp; Engn, N Ryde, NSW 2119, Australia; [Wise, Lauren E.] Australian Antarctic Div, Dept Environm, Kingston, Tas 7050, Australia; [Stokes, Alex J.] Macquarie Univ, Fac Sci &amp; Engn, MQ Photon Res Ctr, N Ryde, NSW 2119, Australia</t>
  </si>
  <si>
    <t>Macquarie University; Australian Antarctic Division; Macquarie University</t>
  </si>
  <si>
    <t>Camenzuli, D (corresponding author), Macquarie Univ, Dept Environm Sci, Fac Sci &amp; Engn, N Ryde, NSW 2119, Australia.</t>
  </si>
  <si>
    <t>camenzulidanielle@gmail.com</t>
  </si>
  <si>
    <t>Toase, Danielle/0000-0003-2259-7883; Gore, Damian/0000-0002-0377-8518</t>
  </si>
  <si>
    <t>0165-232X</t>
  </si>
  <si>
    <t>1872-7441</t>
  </si>
  <si>
    <t>COLD REG SCI TECHNOL</t>
  </si>
  <si>
    <t>Cold Reg. Sci. Tech.</t>
  </si>
  <si>
    <t>10.1016/j.coldregions.2016.10.008</t>
  </si>
  <si>
    <t>Engineering, Environmental; Engineering, Civil; Geosciences, Multidisciplinary</t>
  </si>
  <si>
    <t>Engineering; Geology</t>
  </si>
  <si>
    <t>EK1YR</t>
  </si>
  <si>
    <t>WOS:000393724200002</t>
  </si>
  <si>
    <t>Kuuliala, L; Kujala, P; Suominen, M; Montewka, J</t>
  </si>
  <si>
    <t>Kuuliala, Lauri; Kujala, Pentti; Suominen, Mikko; Montewka, Jakub</t>
  </si>
  <si>
    <t>Estimating operability of ships in ridged ice fields</t>
  </si>
  <si>
    <t>Winter navigation; Ridged ice; Ship's performance; Transit simulation; Statistical simulation; Sensitivity analysis</t>
  </si>
  <si>
    <t>SEA-ICE; TOPOGRAPHY; MORPHOLOGY</t>
  </si>
  <si>
    <t>A method for estimating ship's resistance caused by sea ice ridge keels is revised and used as a part of a method for predicting performance of ships in ridged ice conditions. The resistance method is based on a continuum plasticity model of ridge rubble and is simple to compute. The performance prediction method combines deterministic simulations of ship motion with probabilistic modelling of ridged ice fields. Performance estimates given by the model are distribution of attainable mean speeds for given ice conditions and probability of the ship being able to operate independently. A comprehensive sensitivity analysis was performed to gain insight into the model and identify possible problematic parameters. The sensitivity analysis covered both the ice conditions and modelling assumptions. Two data-sets were used to test the simulation method. One set included the depth profile of sea ice, machinery data and the speed of a ship operating in ridged ice. The resistance method was able to predict the mean speed over 3km well. The second data-set consisted of a history of ship's speeds and positions from AIS data and ice conditions estimated by a numerical ice model HELMI, developed in the Finnish Meteorological Institute. Observed mean speeds were mostly well within the distributions of mean speeds simulated by the transit simulation model. Predictions of independent operation were also promising. (C) 2016 The Authors. Published by Elsevier B.V.</t>
  </si>
  <si>
    <t>[Kuuliala, Lauri; Kujala, Pentti; Suominen, Mikko; Montewka, Jakub] Aalto Univ, Sch Engn, Dept Mech Engn, POB 14100, FI-00076 Aalto, Finland; [Montewka, Jakub] Finnish Geospatial Res Inst, Dept Nav &amp; Positioning, Masala 02431, Finland; [Montewka, Jakub] Gdynia Maritime Univ, Fac Nav, Dept Transport &amp; Logist, PL-81225 Gdynia, Poland</t>
  </si>
  <si>
    <t>Aalto University; The National Land Survey of Finland; Finnish Geospatial Research Institute (FGI); Gdynia Maritime University</t>
  </si>
  <si>
    <t>Kuuliala, L (corresponding author), Aalto Univ, Sch Engn, Dept Mech Engn, POB 14100, FI-00076 Aalto, Finland.</t>
  </si>
  <si>
    <t>lauri.kuuliala@aalto.fi</t>
  </si>
  <si>
    <t>Suominen, Mikko/D-6571-2012; Kujala, Pentti JS/B-3780-2011; Montewka, Jakub/C-7537-2012</t>
  </si>
  <si>
    <t>Suominen, Mikko/0000-0001-9758-9365; Montewka, Jakub/0000-0002-6817-8628</t>
  </si>
  <si>
    <t>European Commission [605190]; academy of Finland project Kara Arctic Monitoring and Operation Planning Platform (KAMON); academy of Finland project Variation of Antarctic sea ice thickness and its effect on the load level of ice navigating (ANTLOAD); TEKES project Vessel Operations and Routing in Ice Conditions (VORIC)</t>
  </si>
  <si>
    <t>European Commission(European Union (EU)European Commission Joint Research Centre); academy of Finland project Kara Arctic Monitoring and Operation Planning Platform (KAMON); academy of Finland project Variation of Antarctic sea ice thickness and its effect on the load level of ice navigating (ANTLOAD); TEKES project Vessel Operations and Routing in Ice Conditions (VORIC)</t>
  </si>
  <si>
    <t>This work has received funding from the European Commission (605190) funded project Joint Operation for Ultra Low Emission of Shipping (JOULES) as well as the academy of Finland projects Kara Arctic Monitoring and Operation Planning Platform (KAMON) and Variation of Antarctic sea ice thickness and its effect on the load level of ice navigating (ANTLOAD) as well as TEKES project Vessel Operations and Routing in Ice Conditions (VORIC).</t>
  </si>
  <si>
    <t>10.1016/j.coldregions.2016.12.003</t>
  </si>
  <si>
    <t>WOS:000393724200006</t>
  </si>
  <si>
    <t>Sinha, RK; Krishnan, KP; Kerkar, S; David, TD</t>
  </si>
  <si>
    <t>Sinha, Rupesh Kumar; Krishnan, K. P.; Kerkar, Savita; David, T. Divya</t>
  </si>
  <si>
    <t>Spatio-Temporal Monitoring and Ecological Significance of Retrievable Pelagic Heterotrophic Bacteria in Kongsfjorden, an Arctic Fjord</t>
  </si>
  <si>
    <t>INDIAN JOURNAL OF MICROBIOLOGY</t>
  </si>
  <si>
    <t>Kongsfjorden; Retrievable heterotrophic bacteria; Water; Arctic fjord</t>
  </si>
  <si>
    <t>COLD-ACTIVE ENZYMES; MARINE-BACTERIA; SP NOV.; MICROBIAL COMMUNITIES; SOUTHERN-OCEAN; GEN. NOV.; SEA-ICE; DIVERSITY; BACTERIOPLANKTON; KROSSFJORDEN</t>
  </si>
  <si>
    <t>Kongsfjorden is a glacial fjord in the Arctic that is influenced by both Atlantic and Arctic water masses. In the present report retrievable heterotrophic bacteria isolated from two distinct zones (outer and inner fjord) of Kongsfjorden was studied during summer to fall of 2012. 16S rRNA gene sequences of the retrievable heterotrophic bacteria corresponded to gamma-proteobacteria (13 phylotypes), alpha-proteobacteria (3 phylotypes), Bacteroidetes (4 phylotypes) and Actinobacteria (2 phylotypes). The heterotrophic bacterial community structure was fundamentally different in different months which could be linked to changes in the water masses and/or phytoplankton bloom dynamics. It is hypothesized that monitoring the retrievable heterotrophic bacterial assemblage in the fjord would give valuable insights into the complex ecological role they play under extreme and dynamic conditions.</t>
  </si>
  <si>
    <t>[Sinha, Rupesh Kumar; Krishnan, K. P.; David, T. Divya] Natl Ctr Antarctic &amp; Ocean Res, Vasco Da Gama 403804, Goa, India; [Kerkar, Savita] Goa Univ, Dept Biotechnol, Taliegao Plateau 403206, Goa, India</t>
  </si>
  <si>
    <t>Ministry of Earth Sciences (MoES) - India; National Centre for Polar and Ocean Research (NCPOR); Goa University</t>
  </si>
  <si>
    <t>Sinha, RK (corresponding author), Natl Ctr Antarctic &amp; Ocean Res, Vasco Da Gama 403804, Goa, India.</t>
  </si>
  <si>
    <t>kineto.magnetic@gmail.com; krishnan@ncaor.gov.in; savitakerkar@gmail.com; divya@ncaor.gov.in</t>
  </si>
  <si>
    <t>P, Krishnan K/ABF-8783-2020; Sinha, Rupesh/ABB-8319-2020</t>
  </si>
  <si>
    <t>David T, Divya/0000-0002-8385-839X; Sinha, Rupesh Kumar/0000-0002-2080-0975; , K. P. Krishnan/0000-0003-1101-657X</t>
  </si>
  <si>
    <t>0046-8991</t>
  </si>
  <si>
    <t>0973-7715</t>
  </si>
  <si>
    <t>INDIAN J MICROBIOL</t>
  </si>
  <si>
    <t>Indian J. Microbiol.</t>
  </si>
  <si>
    <t>10.1007/s12088-016-0621-5</t>
  </si>
  <si>
    <t>EJ9ZH</t>
  </si>
  <si>
    <t>WOS:000393585600014</t>
  </si>
  <si>
    <t>Rezanka, T; Nedbalová, L; Lukavsky, J; Strízek, A; Sigler, K</t>
  </si>
  <si>
    <t>Rezanka, Tomas; Nedbalova, Linda; Lukavsky, Jaromir; Strizek, Antonin; Sigler, Karel</t>
  </si>
  <si>
    <t>Pilot cultivation of the green alga Monoraphidium sp producing a high content of polyunsaturated fatty acids in a low-temperature environment</t>
  </si>
  <si>
    <t>Monoraphidium sp.; Microalgae; Pilot cultivation; Polyunsaturated fatty acids; Low temperature</t>
  </si>
  <si>
    <t>NEUTRAL LIPID-ACCUMULATION; JAMES-ROSS-ISLAND; ANTARCTIC PENINSULA; BIOFUEL PRODUCTION; LIGHT-INTENSITY; NACL INDUCTION; DYBOWSKII LB50; GROWTH; PRODUCTIVITY; MICROALGAE</t>
  </si>
  <si>
    <t>A cold-adapted strain of Monoraphidium (Selenastraceae, Chlorophyta) isolated from an Antarctic ice-covered lake was tested for polyunsaturated fatty acids (PUFAs) production. The strain was successfully cultivated in an outdoor 150 L thin-layer photobioreactor under early winter conditions of Central Europe, where the average temperaturewas 10.0 degrees C and the average intensity of PAR 32 mu molm(-2) s(-1). The growth rate over the 22 days of the pilot cultivation reached a value of 0.341 day(-1) and lipid productivitywas 162 mgL(-1) day(-1). Theproportion of the 16: 4 and 18: 4 acidswas up to 19.1% and/or 34.7% of total fatty acids that resulted in a productivity of these acids of 27.5 and 43.7 mg L-1 day(-1), respectively, which is one order of magnitude higher than previously reported values. These characteristicsmake this strain a prospective candidate for low-temperature biotechnology. (C) 2016 Elsevier B. V. All rights reserved.</t>
  </si>
  <si>
    <t>[Rezanka, Tomas; Sigler, Karel] Acad Sci Czech Republ, Inst Microbiol, Videnska 1083, Prague 14220 4, Czech Republic; [Nedbalova, Linda; Strizek, Antonin] Charles Univ Prague, Dept Ecol, Fac Sci, Vinicna 7, CR-12844 Prague 2, Czech Republic; [Nedbalova, Linda; Lukavsky, Jaromir] Acad Sci Czech Republ, Inst Bot, Dept Plant Ecol, CS-37982 Trebon, Czech Republic; [Nedbalova, Linda; Lukavsky, Jaromir] Biorefinery Ctr Competence, Dukelska 135, CS-37982 Trebon, Czech Republic</t>
  </si>
  <si>
    <t>Czech Academy of Sciences; Institute of Microbiology of the Czech Academy of Sciences; Charles University Prague; Czech Academy of Sciences; Institute of Botany of the Czech Academy of Sciences</t>
  </si>
  <si>
    <t>Rezanka, T (corresponding author), Acad Sci Czech Republ, Inst Microbiol, Videnska 1083, Prague 14220 4, Czech Republic.</t>
  </si>
  <si>
    <t>rezanka@biomed.cas.cz</t>
  </si>
  <si>
    <t>Nedbalová, Linda/AAF-1001-2022; Nedbalová, Linda/AFF-8321-2022; Rezanka, Tomas/A-8399-2008; Strizek, Antonin/Q-8645-2017</t>
  </si>
  <si>
    <t>Nedbalová, Linda/0000-0003-1800-714X; Nedbalová, Linda/0000-0003-1800-714X; lukavsky, jaromir/0000-0002-8939-4725; Rezanka, Tomas/0000-0002-8704-9645; Strizek, Antonin/0000-0001-8305-7042</t>
  </si>
  <si>
    <t>Czech Science Foundation (GACR) project [P503 14-00227S]; Czech Polar 2 Project - Ministry of Education Youth and Sports of the Czech Republic [LM2015078]; Institutional Internal Project [RVO67985939]; BIORAF project of Technology Agency of Czech Rep [TE 01020080]</t>
  </si>
  <si>
    <t>Czech Science Foundation (GACR) project; Czech Polar 2 Project - Ministry of Education Youth and Sports of the Czech Republic; Institutional Internal Project; BIORAF project of Technology Agency of Czech Rep</t>
  </si>
  <si>
    <t>The research was supported by the Czech Science Foundation (GACR) project P503 14-00227S, the Czech Polar 2 Project LM2015078 awarded by the Ministry of Education Youth and Sports of the Czech Republic, by the Institutional Internal Project RVO67985939, and BIORAF project of Technology Agency of Czech Rep. No. TE 01020080. We are indebted particularly to the staff and scientific infrastructure of the J. G. Mendel Czech Antarctic Station.</t>
  </si>
  <si>
    <t>10.1016/j.algal.2016.12.017</t>
  </si>
  <si>
    <t>EP6AT</t>
  </si>
  <si>
    <t>WOS:000397461000018</t>
  </si>
  <si>
    <t>Kim, SM; Park, H; Choi, JI</t>
  </si>
  <si>
    <t>Kim, Su-mi; Park, Hyun; Choi, Jong-il</t>
  </si>
  <si>
    <t>Cloning and Characterization of Cold-Adapted α-Amylase from Antarctic Arthrobacter agilis</t>
  </si>
  <si>
    <t>APPLIED BIOCHEMISTRY AND BIOTECHNOLOGY</t>
  </si>
  <si>
    <t>Arthrobacter agilis; Cold-adapted alpha-amylase; Cloning; Expression</t>
  </si>
  <si>
    <t>PRYDZ BAY; ENZYMES; TEMPERATURE; EXPRESSION; STARCH; GENE; MALTOSYLTRANSFERASE; PURIFICATION; STRAIN; WATER</t>
  </si>
  <si>
    <t>In this study, the gene encoding an alpha-amylase from a psychrophilic Arthrobacter agilis PAMC 27388 strain was cloned into a pET-28a(+) vector and heterologously expressed in Escherichia coli BL21(DE3). The recombinant alpha-amylase with a molecular mass of about 80 kDa was purified by using Ni2+-NTA affinity chromatography. This recombinant alpha-amylase exhibited optimal activity at pH 3.0 and 30 A degrees C and was highly stable at varying temperatures (30-60 A degrees C) and within the pH range of 4.0-8.0. Furthermore, alpha-amylase activity was enhanced in the presence of FeCl3 (1 mM) and beta-mercaptoethanol (5 mM), while CoCl2 (1 mM), ammonium persulfate (5 mM), SDS (10 %), Triton X-100 (10 %), and urea (1 %) inhibited the enzymatic activity. Importantly, the presence of Ca2+ ions and phenylmethylsulfonyl fluoride (PMSF) did not affect enzymatic activity. Thin layer chromatography (TLC) analysis showed that recombinant A. agilis alpha-amylase hydrolyzed starch, maltotetraose, and maltotriose, producing maltose as the major end product. These results make recombinant A. agilis alpha-amylase an attractive potential candidate for industrial applications in the textile, paper, detergent, and pharmaceutical industries.</t>
  </si>
  <si>
    <t>[Kim, Su-mi; Choi, Jong-il] Chonnam Natl Univ, Dept Biotechnol &amp; Bioengn, Interdisciplinary Program Bioenergy &amp; Biomat, Gwangju 61186, South Korea; [Park, Hyun] Korea Polar Res Inst, Incheon 21990, South Korea</t>
  </si>
  <si>
    <t>Chonnam National University; Korea Polar Research Institute (KOPRI)</t>
  </si>
  <si>
    <t>Choi, JI (corresponding author), Chonnam Natl Univ, Dept Biotechnol &amp; Bioengn, Interdisciplinary Program Bioenergy &amp; Biomat, Gwangju 61186, South Korea.</t>
  </si>
  <si>
    <t>choiji01@jnu.ac.kr</t>
  </si>
  <si>
    <t>Choi, Jong-Il/P-7476-2018</t>
  </si>
  <si>
    <t>National Research Foundation of Korea (NRF) - Korea government (MSIP) [NRF-2015R1A2A2A01004733]; Ministry of Agriculture, Ministry of Oceans and Fisheries [213004-04-4-SBA30]; Korea Polar Research Institute grant [PE14070]</t>
  </si>
  <si>
    <t>National Research Foundation of Korea (NRF) - Korea government (MSIP)(National Research Foundation of KoreaMinistry of Science, ICT &amp; Future Planning, Republic of Korea); Ministry of Agriculture, Ministry of Oceans and Fisheries; Korea Polar Research Institute grant(Korea Polar Research Institute of Marine Research Placement (KOPRI))</t>
  </si>
  <si>
    <t>This study was financially supported by the National Research Foundation of Korea (NRF) grant funded by the Korea government (MSIP) (no. NRF-2015R1A2A2A01004733), by Golden Seed Project (213004-04-4-SBA30), Ministry of Agriculture, Ministry of Oceans and Fisheries, and by Korea Polar Research Institute grant (PE14070).</t>
  </si>
  <si>
    <t>0273-2289</t>
  </si>
  <si>
    <t>1559-0291</t>
  </si>
  <si>
    <t>APPL BIOCHEM BIOTECH</t>
  </si>
  <si>
    <t>Appl. Biochem. Biotechnol.</t>
  </si>
  <si>
    <t>10.1007/s12010-016-2267-5</t>
  </si>
  <si>
    <t>EM0EZ</t>
  </si>
  <si>
    <t>WOS:000394992900013</t>
  </si>
  <si>
    <t>Rodzewicz, M; Glowacki, D; Hajduk, J</t>
  </si>
  <si>
    <t>Rodzewicz, Miroslaw; Glowacki, Dominik; Hajduk, Jaroslaw</t>
  </si>
  <si>
    <t>SOME DYNAMIC ASPECTS OF PHOTOGRAMMETRY MISSIONS PERFORMED BY PW-ZOOM - THE UAV OF WARSAW UNIVERSITY OF TECHNOLOGY</t>
  </si>
  <si>
    <t>ARCHIVE OF MECHANICAL ENGINEERING</t>
  </si>
  <si>
    <t>UAV; unmanned aircraft; photogrammetry mission; orthophotomaps</t>
  </si>
  <si>
    <t>The article presents the analyses of the flights carried out the by the Unmanned Aerial Vehicle (UAV) named PW-ZOOM used to perform a photogrammetric mission and monitoring of fauna in Antarctic areas. The analyses focus on the deviations of the optical axis of the photo-camera which occurred during photogrammetric flights carried out on the same route but during several Antarctic expeditions performed in subsequent years (2014 and 2015). The results were subjected to correlation tests with weather conditions (wind speed and variability). The basis for these analyses are the data from the onboard signal recorder integrated with an autopilot.</t>
  </si>
  <si>
    <t>[Rodzewicz, Miroslaw; Glowacki, Dominik] Warsaw Univ Technol, Nowowiejska 24, PL-00665 Warsaw, Poland; [Hajduk, Jaroslaw] Air Force Inst Technol, Warsaw, Poland</t>
  </si>
  <si>
    <t>Warsaw University of Technology; Air Force Institute of Technology</t>
  </si>
  <si>
    <t>Rodzewicz, M (corresponding author), Warsaw Univ Technol, Nowowiejska 24, PL-00665 Warsaw, Poland.</t>
  </si>
  <si>
    <t>miro@meil.pw.edu.pl; dglowacki@meil.pw.edu.pl</t>
  </si>
  <si>
    <t>Rodzewicz, Miroslaw/ABD-7241-2020</t>
  </si>
  <si>
    <t>Rodzewicz, Miroslaw/0000-0003-1424-8624; Glowacki, Dominik/0000-0003-2344-3085; Hajduk, Jaroslaw/0000-0002-8697-3641</t>
  </si>
  <si>
    <t>Polish-Norwegian Research Programme [197810]</t>
  </si>
  <si>
    <t>Polish-Norwegian Research Programme</t>
  </si>
  <si>
    <t>The research leading to these results has received funding from the Polish-Norwegian Research Programme operated by the National Centre for Research and Development under the Norwegian Financial Mechanism 2009-2014 in the frame of Project Contract No 197810.</t>
  </si>
  <si>
    <t>0004-0738</t>
  </si>
  <si>
    <t>2300-1895</t>
  </si>
  <si>
    <t>ARCH MECH ENG</t>
  </si>
  <si>
    <t>Arch. Mech. Eng.</t>
  </si>
  <si>
    <t>10.1515/meceng-2017-0003</t>
  </si>
  <si>
    <t>Engineering, Mechanical</t>
  </si>
  <si>
    <t>EQ5ZI</t>
  </si>
  <si>
    <t>WOS:000398161200003</t>
  </si>
  <si>
    <t>Larraín, J; Bahamonde, N</t>
  </si>
  <si>
    <t>Larrain, Juan; Bahamonde, Nelson</t>
  </si>
  <si>
    <t>The bryophytes of Estancia Cerro Paine, Torres del Paine National Park, Magallanes, Chile</t>
  </si>
  <si>
    <t>Bryophyta; Marchantiophyta; Anthocerotophyta; sub-Antarctic forests; Biosphere Reserve</t>
  </si>
  <si>
    <t>FOREST</t>
  </si>
  <si>
    <t>We present a checklist of non-vascular plants for Estancia Cerro Paine, a private land located in the heart of Torres del Paine National Park. The list includes two hornworts, 29 liverworts and 93 moss species, making a total of 124 bryophyte species. We report 32 new bryophyte records for Ultima Esperanza Province, 11 for Magallanes Region, and three new records for Chile (Btyum apiculatum, Tortella fragilis and Valdonia microcarpa). The known distribution limits of six taxa are extended to the north, whereas for seven taxa the distribution limits are extended to the south. This is the first bryophyte species list made within the limits of Torres del Paine National Park.</t>
  </si>
  <si>
    <t>[Larrain, Juan] Pontificia Univ Catolica Valparaiso, Fac Ciencias, Inst Biol, Campus Curauma,Av Univ 330, Valparaiso, Chile; [Bahamonde, Nelson] AMA Torres Paine, Estancia Cerro Paine SN, Comuna Torres Del Paine, Chile</t>
  </si>
  <si>
    <t>Pontificia Universidad Catolica de Valparaiso</t>
  </si>
  <si>
    <t>Larraín, J (corresponding author), Pontificia Univ Catolica Valparaiso, Fac Ciencias, Inst Biol, Campus Curauma,Av Univ 330, Valparaiso, Chile.</t>
  </si>
  <si>
    <t>musgoschiloe@gmail.com</t>
  </si>
  <si>
    <t>Larrain, Juan B./0000-0002-9423-6561</t>
  </si>
  <si>
    <t>10.31055/1851.2372.v52.n1.16905</t>
  </si>
  <si>
    <t>EV3TL</t>
  </si>
  <si>
    <t>WOS:000401681900003</t>
  </si>
  <si>
    <t>Lauderdale, JM; Williams, RG; Munday, DR; Marshall, DP</t>
  </si>
  <si>
    <t>Lauderdale, Jonathan M.; Williams, Richard G.; Munday, David R.; Marshall, David P.</t>
  </si>
  <si>
    <t>The impact of Southern Ocean residual upwelling on atmospheric CO2 on centennial and millennial timescales</t>
  </si>
  <si>
    <t>Southern Ocean; Atmospheric carbon dioxide; Ocean overturning; Ocean residual circulation; Ocean upwelling; Ocean carbon cycle; Climate metric</t>
  </si>
  <si>
    <t>ANTARCTIC CIRCUMPOLAR CURRENT; WESTERLY WIND CHANGES; OVERTURNING CIRCULATION; TRACER TRANSPORTS; SEA-ICE; CARBON; MODEL; EDDIES; CLIMATE; VARIABILITY</t>
  </si>
  <si>
    <t>The Southern Ocean plays a pivotal role in climate change by exchanging heat and carbon, and provides the primary window for the global deep ocean to communicate with the atmosphere. There has been a widespread focus on explaining atmospheric CO2 changes in terms of changes in wind forcing in the Southern Ocean. Here, we develop a dynamically-motivated metric, the residual upwelling, that measures the primary effect of Southern Ocean dynamics on atmospheric CO2 on centennial to millennial timescales by determining the communication with the deep ocean. The metric encapsulates the combined, net effect of winds and air-sea buoyancy forcing on both the upper and lower overturning cells, which have been invoked as explaining atmospheric CO2 changes for the present day and glacial-interglacial changes. The skill of the metric is assessed by employing suites of idealized ocean model experiments, including parameterized and explicitly simulated eddies, with online biogeochemistry and integrated for 10,000 years to equilibrium. Increased residual upwelling drives elevated atmospheric CO2 at a rate of typically 1-1.5 parts per million/10(6) m(3) s(-1) by enhancing the communication between the atmosphere and deep ocean. This metric can be used to interpret the long-term effect of Southern Ocean dynamics on the natural carbon cycle and atmospheric CO2, alongside other metrics, such as involving the proportion of preformed nutrients and the extent of sea ice cover.</t>
  </si>
  <si>
    <t>[Lauderdale, Jonathan M.] MIT, Dept Earth Atmospher &amp; Planetary Sci, Cambridge, MA 02139 USA; [Williams, Richard G.] Univ Liverpool, Sch Environm Sci, Dept Earth Ocean &amp; Ecol Sci, Liverpool L69 3GP, Merseyside, England; [Munday, David R.] British Antarctic Survey, Cambridge CB3 0ET, England; [Marshall, David P.] Univ Oxford, Dept Phys, Oxford OX1 3PU, England</t>
  </si>
  <si>
    <t>Massachusetts Institute of Technology (MIT); University of Liverpool; UK Research &amp; Innovation (UKRI); Natural Environment Research Council (NERC); NERC British Antarctic Survey; University of Oxford</t>
  </si>
  <si>
    <t>Lauderdale, JM (corresponding author), MIT, Dept Earth Atmospher &amp; Planetary Sci, Cambridge, MA 02139 USA.;Williams, RG (corresponding author), Univ Liverpool, Sch Environm Sci, Dept Earth Ocean &amp; Ecol Sci, Liverpool L69 3GP, Merseyside, England.</t>
  </si>
  <si>
    <t>jml1@mit.edu; ric@liv.ac.uk</t>
  </si>
  <si>
    <t>Marshall, David Philip/B-6767-2009; Munday, David/Y-7052-2019; Williams, Richard G/K-4111-2016; Lauderdale, Jonathan Maitland/AAU-5792-2020; Munday, David R/R-1986-2016</t>
  </si>
  <si>
    <t>Marshall, David Philip/0000-0002-5199-6579; Williams, Richard G/0000-0002-3180-7558; Lauderdale, Jonathan Maitland/0000-0002-2993-7484; Munday, David R/0000-0003-1920-708X</t>
  </si>
  <si>
    <t>UK NERC [NE/K012789/1, NE/G018782/1]; US NSF Chemical Oceanography Grant [1259388]; NERC [NE/K012789/1, NE/N018095/1, NE/K010972/1, NE/N009789/1, bas0100033] Funding Source: UKRI; Division Of Ocean Sciences; Directorate For Geosciences [1259388] Funding Source: National Science Foundation; Natural Environment Research Council [bas0100033, NE/K012789/1, NE/N009789/1, NE/K010972/1] Funding Source: researchfish</t>
  </si>
  <si>
    <t>UK NERC(UK Research &amp; Innovation (UKRI)Natural Environment Research Council (NERC)); US NSF Chemical Oceanography Grant; NERC(UK Research &amp; Innovation (UKRI)Natural Environment Research Council (NERC)); Division Of Ocean Sciences; Directorate For Geosciences(National Science Foundation (NSF)NSF - Directorate for Geosciences (GEO)); Natural Environment Research Council(UK Research &amp; Innovation (UKRI)Natural Environment Research Council (NERC))</t>
  </si>
  <si>
    <t>This research was supported by UK NERC Grant NE/K012789/1. J.M.L. was supported by UK NERC Grant NE/G018782/1 and US NSF Chemical Oceanography Grant 1259388. We thank Mick Follows and the anonymous reviewers for their comments on previous versions of this manuscript.</t>
  </si>
  <si>
    <t>10.1007/s00382-016-3163-y</t>
  </si>
  <si>
    <t>WOS:000395060900013</t>
  </si>
  <si>
    <t>Aichinger, PA; Schmitt, C; Gunes, DZ; Leser, ME; Sagalowicz, L; Michel, M</t>
  </si>
  <si>
    <t>Aichinger, Pierre-Anton; Schmitt, Christophe; Gunes, Deniz Z.; Leser, Martin E.; Sagalowicz, Laurent; Michel, Martin</t>
  </si>
  <si>
    <t>Phase separation in food material design inspired by Nature Or: What ice cream can learn from frogs</t>
  </si>
  <si>
    <t>CURRENT OPINION IN COLLOID &amp; INTERFACE SCIENCE</t>
  </si>
  <si>
    <t>Nature; Self-organization; Phase separation; Biopolymers; Cells; Structure Dairy gels; Foams; Crystallization; Anti-freeze &amp; ice-nucleating proteins</t>
  </si>
  <si>
    <t>GUM ELECTROSTATIC COMPLEXES; ANTIFREEZE PROTEINS; ANIONIC EXOPOLYSACCHARIDES; DEPLETION ATTRACTION; NUCLEATING-AGENTS; SODIUM CASEINATE; ANTARCTIC FISHES; WATER-INTERFACE; DEXTRAN SULFATE; CRYSTAL-GROWTH</t>
  </si>
  <si>
    <t>Many foods are complex multiphasic systems prepared from raw materials and ingredients that are derived from complex hierarchically organized organisms such as plants, bacteria, yeasts or animals. The basic structural building blocks are biopolymers and colloids, which often maintain some of their original structure and functionalities even after extraction and refining. Of particular interest to food material science are the underlying physicochemical mechanisms that are capable to drive and determine the organization, stability of structures and final functionality in both living and non-living systems. We give examples of phase separation phenomena due to thermodynamic incompatibility of biopolymers, complex coacervation and depletion interaction that play a role in both living organisms and foods. The mechanisms discussed are crucial to self-organization providing physiological benefits in living systems. We also present examples of ice crystal growth control in living systems at sub-zero temperatures. For both, phase separation and control thereof in the case of ice crystallization, we discuss how the corresponding structure-functionality relationship present in Nature can be used in the design of complex multiphasic food systems such as ice cream and dairy gels. (C) 2017 Elsevier Ltd. All rights reserved.</t>
  </si>
  <si>
    <t>[Aichinger, Pierre-Anton] Nestle Prod Technol Ctr Dairy, Nestle Str 3, CH-3510 Konolfingen, Switzerland; [Schmitt, Christophe; Gunes, Deniz Z.; Leser, Martin E.; Sagalowicz, Laurent; Michel, Martin] Nestle Res Ctr, CH-1000 Lausanne 26, Switzerland</t>
  </si>
  <si>
    <t>Nestle SA</t>
  </si>
  <si>
    <t>Michel, M (corresponding author), Nestle Res Ctr, CH-1000 Lausanne 26, Switzerland.</t>
  </si>
  <si>
    <t>Martin.Michel@rdls.nestle.com</t>
  </si>
  <si>
    <t>Gunes, Deniz Zeynel/0000-0002-4372-8224; Leser, Martin Erwin/0000-0002-1521-4437</t>
  </si>
  <si>
    <t>ELSEVIER SCIENCE LONDON</t>
  </si>
  <si>
    <t>84 THEOBALDS RD, LONDON WC1X 8RR, ENGLAND</t>
  </si>
  <si>
    <t>1359-0294</t>
  </si>
  <si>
    <t>1879-0399</t>
  </si>
  <si>
    <t>CURR OPIN COLLOID IN</t>
  </si>
  <si>
    <t>Curr. Opin. Colloid Interface Sci.</t>
  </si>
  <si>
    <t>10.1016/j.cocis.2017.03.002</t>
  </si>
  <si>
    <t>Chemistry, Physical</t>
  </si>
  <si>
    <t>EX7MW</t>
  </si>
  <si>
    <t>WOS:000403433300009</t>
  </si>
  <si>
    <t>Dressler-Allame, M; Göcke, C; Kersken, D; Plotkin, A; Janussen, D</t>
  </si>
  <si>
    <t>Dressler-Allame, Melina; Goecke, Christian; Kersken, Daniel; Plotkin, Alexander; Janussen, Dorte</t>
  </si>
  <si>
    <t>Carnivorous sponges (Cladorhizidae) of the deep Weddell Sea, with descriptions of two new species</t>
  </si>
  <si>
    <t>Antarctic; Cladorhiza; Asbestopluma; Chondrocladia; Lycopodina; Porifera</t>
  </si>
  <si>
    <t>DEMOSPONGIAE; PORIFERA</t>
  </si>
  <si>
    <t>This paper presents 29 sponges of the family Cladorhizidae Dendy, 1922 sampled at 18 different stations in the Weddell Sea, Antarctic during two expeditions of RV Polarstern, PS61 ANT-XIX/2 ANDEEP 2 in 2002 and PS67 ANT-XXII/3 ANDEEP 3 in 2005. Fourteen species from four genera have been registered one species of Asbestopluma Topsent, 1901, five species of Chondrocladia Thomson, 1873, three species of Cladorhiza Sars, 1872 and five species of Lycopodina Lundbeck, 1905. Six species are endemics of the Southern Ocean. Four species were previously only known from the areas north of the Antarctic and our records of them are thereby new for this region. Two species of Lycopodina, Lycopodina rhabdostylophora sp. nov. and Lycopodina pediculifera sp. nov., are new to science. Our study has considerably expanded the data on diversity of Cladorhizidae in the Southern Ocean. About 27 cladorhizid species (18-19% of global cladorhizid diversity) are now recorded for this region, of which 56% are endemics. (C) 2016 Elsevier Ltd. All rights reserved.</t>
  </si>
  <si>
    <t>[Dressler-Allame, Melina; Goecke, Christian; Kersken, Daniel; Janussen, Dorte] Senckenberg Res Inst &amp; Nat Museum, Senckenberganlage 25, D-60325 Frankfurt, Germany; [Plotkin, Alexander] Univ Bergen, Dept Biol, Postbox 7803, N-5020 Bergen, Norway</t>
  </si>
  <si>
    <t>Senckenberg Gesellschaft fur Naturforschung (SGN); University of Bergen</t>
  </si>
  <si>
    <t>Janussen, D (corresponding author), Senckenberg Res Inst &amp; Nat Museum, Senckenberganlage 25, D-60325 Frankfurt, Germany.</t>
  </si>
  <si>
    <t>dorte.janussen@senckenberg.de</t>
  </si>
  <si>
    <t>Deutsche Forschungsgemeinschaft (DFG) [JA-1063/14, JA-1063/1-3, JA-1063/17-1]</t>
  </si>
  <si>
    <t>We acknowledge the Deutsche Forschungsgemeinschaft (DFG-Project JA-1063/14, 1-3; JA-1063/17-1) for financial support to our research of Antarctic sponges by Dr. Dorte Janussen, the scientific leader Dr. Angelika Brandt (univ. Hamburg) and the captain and crew of RV Polarstern. Thanks to Ole S. Tendal for valuable discussions. Further thanks are to Tim Bollinger, Saskia Dimter and Heike Szmutka (Senckenberg Frankfurt) for spicule measurements and preparation. This is ANDEEP publication No. 212.</t>
  </si>
  <si>
    <t>10.1016/j.dsr2.2016.08.006</t>
  </si>
  <si>
    <t>WOS:000398749900015</t>
  </si>
  <si>
    <t>Cowan, ZL; Pratchett, M; Messmer, V; Ling, S</t>
  </si>
  <si>
    <t>Cowan, Zara-Louise; Pratchett, Morgan; Messmer, Vanessa; Ling, Scott</t>
  </si>
  <si>
    <t>Known Predators of Crown-of-Thorns Starfish (Acanthaster spp.) and Their Role in Mitigating, If Not Preventing, Population Outbreaks</t>
  </si>
  <si>
    <t>DIVERSITY-BASEL</t>
  </si>
  <si>
    <t>SEA STAR; FUNCTIONAL-RESPONSE; INDIAN-OCEAN; ARM DAMAGE; PLANCI; REEF; PREY; INJECTION; SAPONINS; BEHAVIOR</t>
  </si>
  <si>
    <t>Predatory release has long been considered a potential contributor to population outbreaks of crown-of-thorns starfish (CoTS; Acanthaster spp.). This has initiated extensive searches for potentially important predators that can consume large numbers of CoTS at high rates, which are also vulnerable to over-fishing or reef degradation. Herein, we review reported predators of CoTS and assess the potential for these organisms to exert significant mortality, and thereby prevent and/or moderate CoTS outbreaks. In all, 80 species of coral reef organisms (including fishes, and motile and sessile invertebrates) are reported to predate on CoTS gametes (three species), larvae (17 species), juveniles (15 species), adults (18 species) and/or opportunistically feed on injured (10 species) or moribund (42 species) individuals within reef habitats. It is clear however, that predation on early life-history stages has been understudied, and there are likely to be many more species of reef fishes and/or sessile invertebrates that readily consume CoTS gametes and/or larvae. Given the number and diversity of coral reef species that consume Acanthaster spp., most of which (e. g., Arothron pufferfishes) are not explicitly targeted by reef-based fisheries, links between overfishing and CoTS outbreaks remain equivocal. There is also no single species that appears to have a disproportionate role in regulating CoTS populations. Rather, the collective consumption of CoTS by multiple different species and at different life-history stages is likely to suppress the local abundance of CoTS, and thereby mediate the severity of outbreaks. It is possible therefore, that general degradation of reef ecosystems and corresponding declines in biodiversity and productivity, may contribute to increasing incidence or severity of outbreaks of Acanthaster spp. However, it seems unlikely that predatory release in and of itself could account for initial onset of CoTS outbreaks. In conclusion, reducing anthropogenic stressors that reduce the abundance and/or diversity of potential predatory species represents a no regrets management strategy, but will need to be used in conjunction with other management strategies to prevent, or reduce the occurrence, of CoTS outbreaks.</t>
  </si>
  <si>
    <t>[Cowan, Zara-Louise; Pratchett, Morgan; Messmer, Vanessa] James Cook Univ, ARC Ctr Excellence Coral Reef Studies, Townsville, Qld 4811, Australia; [Ling, Scott] Univ Tasmania, Inst Marine &amp; Antarctic Studies, Hobart, Tas 7001, Australia</t>
  </si>
  <si>
    <t>zaralouise.cowan@my.jcu.edu.au; morgan.pratchett@jcu.edu.au; vanessa.messmer@gmail.com; scott.ling@utas.edu.au</t>
  </si>
  <si>
    <t>Messmer, Vanessa/B-5459-2015; Pratchett, Morgan/AAW-5179-2020; Ling, Scott/J-7161-2014</t>
  </si>
  <si>
    <t>Pratchett, Morgan/0000-0002-1862-8459; Cowan, Zara-Louise/0000-0002-3862-7111; Ling, Scott/0000-0002-5544-8174</t>
  </si>
  <si>
    <t>National Environmental Science Programme Tropical Water Quality Hub; Crown-of-Thorns Starfish Research Grants award; Lizard Island Research Stations; Australian Museum</t>
  </si>
  <si>
    <t>This research was supported by the National Environmental Science Programme Tropical Water Quality Hub, as well as Crown-of-Thorns Starfish Research Grants awarded to M.P., Z.L.C. and V.M. by Lizard Island Research Stations and the Australian Museum. Discussions with Peter Doherty and David Westcott were critical to the development of ideas put forward in this review.</t>
  </si>
  <si>
    <t>1424-2818</t>
  </si>
  <si>
    <t>Diversity-Basel</t>
  </si>
  <si>
    <t>10.3390/d9010007</t>
  </si>
  <si>
    <t>EO2JF</t>
  </si>
  <si>
    <t>WOS:000396522000006</t>
  </si>
  <si>
    <t>Patton, H; Hubbard, A; Bradwell, T; Schomacker, A</t>
  </si>
  <si>
    <t>Patton, Henry; Hubbard, Alun; Bradwell, Tom; Schomacker, Anders</t>
  </si>
  <si>
    <t>The configuration, sensitivity and rapid retreat of the Late Weichselian Icelandic ice sheet</t>
  </si>
  <si>
    <t>Iceland; Late Weichselian; Ice sheet modelling; Geothermal; Collapse; Palaeo reconstruction; Shelf edge</t>
  </si>
  <si>
    <t>LAST GLACIAL MAXIMUM; CL-36 EXPOSURE AGES; SEA-LEVEL RISE; HIGH-RESOLUTION; LATE QUATERNARY; YOUNGER DRYAS; NORTH-ATLANTIC; HEAT-FLOW; ENVIRONMENTAL HISTORY; ACOUSTIC STRATIGRAPHY</t>
  </si>
  <si>
    <t>The fragmentary glacial-geological record across the Icelandic continental shelf has hampered reconstruction of the volume, extent and chronology of the Late Weichselian ice sheet particularly in key offshore zones. Marine geophysical data collected over the last two decades reveal that the ice sheet likely attained a continental shelf-break position in all sectors during the Last Glacial Maximum, though its precise timing and configuration remains largely unknown. Within this context, we review the available empirical evidence and use a well constrained three-dimensional thermomechanical model to investigate the drivers of an extensive Late Weichselian Icelandic ice-sheet, its sensitivity to environmental forcing, and phases of deglaciation. Our reconstruction attains the continental shelf break across all sectors with a total ice volume of 5.96 x 10(5) km(3) with high precipitation rates being critical to forcing extensive ice sheet flow offshore. Due to its location astride an active mantle plume, a relatively fast and dynamic ice sheet with a low aspect ratio is maintained. Our results reveal that once initial ice-sheet retreat was triggered through climate warming at 21.8 ka BP, marine deglaciation was rapid and accomplished in all sectors within c. 5 ka at a mean rate of 71 Gt of mass loss per year. This rate of ice wastage is comparable to contemporary rates observed for the West Antarctic ice sheet. The ice sheet subsequently stabilised on shallow pinning points across the near shelf for two millennia, but abrupt atmospheric warming during the Bolling Interstadial forced a second, dramatic collapse of the ice sheet onshore with a net wastage of 221 Gt a(-1) over 750 years, analogous to contemporary Greenland rates of mass loss. Geothermal conditions impart a significant control on the ice sheet's transient response, particularly during phases of rapid retreat. Insights from this study suggests that large sectors of contemporary ice sheets overlying geothermally active regions, such as Siple Coast, Antarctica, and NE Greenland, have the potential to experience rapid phases of mass loss and deglaciation once initial retreat is initiated. (C) 2017 Elsevier B.V. All rights reserved.</t>
  </si>
  <si>
    <t>[Patton, Henry; Hubbard, Alun] UiT Arctic Univ Norway, CAGE Ctr Arct Gas Hydrate Environm &amp; Climate, Dept Geosci, N-9037 Tromso, Norway; [Hubbard, Alun] Aberystwyth Univ, Dept Geog &amp; Earth Sci, Aberystwyth SY23 3DB, Dyfed, Wales; [Bradwell, Tom] Univ Stirling, Biol &amp; Environm Sci, Stirling FK9 4LA, Scotland; [Bradwell, Tom] Lyell Ctr, British Geol Survey, Edinburgh EH14 4AP, Midlothian, Scotland; [Schomacker, Anders] UiT Arctic Univ Norway, Dept Geosci, N-9037 Tromso, Norway</t>
  </si>
  <si>
    <t>UiT The Arctic University of Tromso; Aberystwyth University; University of Stirling; UK Research &amp; Innovation (UKRI); Natural Environment Research Council (NERC); NERC British Geological Survey; UiT The Arctic University of Tromso</t>
  </si>
  <si>
    <t>Patton, H (corresponding author), UiT Arctic Univ Norway, CAGE Ctr Arct Gas Hydrate Environm &amp; Climate, Dept Geosci, N-9037 Tromso, Norway.</t>
  </si>
  <si>
    <t>henry.patton@uit.no</t>
  </si>
  <si>
    <t>Schomacker, Anders/I-6569-2019; Patton, Henry/H-7525-2019; Hubbard, Alun/R-5085-2017</t>
  </si>
  <si>
    <t>Schomacker, Anders/0000-0002-8031-9008; Patton, Henry/0000-0001-9670-611X; Hubbard, Alun/0000-0002-0503-3915; Bradwell, Tom/0000-0003-0947-3309</t>
  </si>
  <si>
    <t>Research Council of Norway through its Centres of Excellence funding scheme [223259]; PetroMaks project Glaciations in the Barents Sea area (GlaciBar) [200672]</t>
  </si>
  <si>
    <t>Research Council of Norway through its Centres of Excellence funding scheme(Research Council of Norway); PetroMaks project Glaciations in the Barents Sea area (GlaciBar)</t>
  </si>
  <si>
    <t>This work was supported by the Research Council of Norway through its Centres of Excellence funding scheme, project number 223259, and the PetroMaks project Glaciations in the Barents Sea area (GlaciBar), project number 200672. Echo-sounder bathymetry data products have been derived from the EMODnet Bathymetry portal http://www.emodnet-bathymetry.eu. Two anonymous reviewers are thanked for their constructive comments.</t>
  </si>
  <si>
    <t>10.1016/j.earscirev.2017.02.001</t>
  </si>
  <si>
    <t>EO8XO</t>
  </si>
  <si>
    <t>WOS:000396974000011</t>
  </si>
  <si>
    <t>García-Peña, FJ; Llorente, MT; Serrano, T; Ruano, MJ; Belliure, J; Benzal, J; Herrera-León, S; Vidal, V; D'Amico, V; Pérez-Boto, D; Barbosa, A</t>
  </si>
  <si>
    <t>Garcia-Pena, F. J.; Llorente, M. T.; Serrano, T.; Ruano, M. J.; Belliure, J.; Benzal, J.; Herrera-Leon, S.; Vidal, V.; D'Amico, V.; Perez-Boto, D.; Barbosa, A.</t>
  </si>
  <si>
    <t>Isolation of Campylobacter spp. from Three Species of Antarctic Penguins in Different Geographic Locations</t>
  </si>
  <si>
    <t>ECOHEALTH</t>
  </si>
  <si>
    <t>Campylobacter; pygoscelids penguins; Antarctica</t>
  </si>
  <si>
    <t>FRAGMENT LENGTH POLYMORPHISM; WILD BIRDS; SP NOV.; JEJUNI; LARI; IDENTIFICATION; COLI; SALMONELLA; PREVALENCE; DIVERSITY</t>
  </si>
  <si>
    <t>The presence of Campylobacter species was studied in three Antarctic penguin species, Adelie (Pygoscelis adeliae), chinstrap (Pygoscelis antarctica) and gentoo (Pygoscelis papua). A total of 390 penguins were captured in 12 different rookeries along the Antarctic Peninsula with differences in the amount of human visitation: six colonies were highly visited [Stranger Point, King George Island (P. papua and P. adeliae); Hannah Point, Livingston Island (P. papua and P. antarctica); Deception Island (P. antarctica); and Paradise Bay, Antarctic Peninsula (P. papua)], and six colonies were rarely visited [Devil's Point, Byers Peninsula, Livingston Island (P. papua); Cierva Cove, Antarctic Peninsula (P. papua); Ronge Island (P. papua and P. antarctica); Yalour Island (P. adeliae); and Avian Island (P. adeliae)]. A total of 23 strains were isolated from penguins from nine different rookeries. Campylobacter lari subsp. lari was isolated from eight samples (seven from P. papua and one from P. adeliae); C. lari subsp. concheus from 13 (ten from P. adeliae and three from P. antarctica) and C. volucris from two samples (both from P. papua). We did not find any significant differences in the prevalence of Campylobacter spp. between the populations in highly and rarely visited areas. This is the first report of C. lari subsp. concheus and C. volucris isolation from penguins in the Antarctic region.</t>
  </si>
  <si>
    <t>[Garcia-Pena, F. J.; Ruano, M. J.] LCV Algete, Dept Bacteriol 2, Carretera Madrid Algete M-106, Madrid 28110, Spain; [Llorente, M. T.; Herrera-Leon, S.] Inst Salud Carlos III, Ctr Nacl Microbiol, Lab Enterobacterias, Madrid, Spain; [Serrano, T.] Grp TRAGSA, Madrid, Spain; [Belliure, J.] Univ Alcala de Henares, Dept Ecol, Madrid, Spain; [Benzal, J.] CSIC, Estn Expt Zonas Aridas, Dept Ecol Func &amp; Evolut, Almeria, Spain; [Vidal, V.] CSIC, Museo Nacl Ciencias Nat, Dept Ecol Evolut, Madrid, Spain; [D'Amico, V.] Ctr Nacl Patagon CENPAT CONICET, Puerto Madryn, Chubut, Argentina; [Perez-Boto, D.] Ctr Nacl Alimentac AECOSAN, Madrid, Spain</t>
  </si>
  <si>
    <t>Instituto de Salud Carlos III; Centro Nacional de Microbiologia (CNM); Universidad de Alcala; Consejo Superior de Investigaciones Cientificas (CSIC); CSIC - Estacion Experimental de Zonas Aridas (EEZA); Consejo Superior de Investigaciones Cientificas (CSIC); CSIC - Museo Nacional de Ciencias Naturales (MNCN); Centro Nacional Patagonico (CENPAT); Consejo Nacional de Investigaciones Cientificas y Tecnicas (CONICET)</t>
  </si>
  <si>
    <t>García-Peña, FJ (corresponding author), LCV Algete, Dept Bacteriol 2, Carretera Madrid Algete M-106, Madrid 28110, Spain.</t>
  </si>
  <si>
    <t>fgarciap@magrama.es</t>
  </si>
  <si>
    <t>Barbosa, Andrés/C-3208-2008; Benzal, Jesús/T-4555-2017; Belliure, Josabel/R-8513-2018</t>
  </si>
  <si>
    <t>Barbosa, Andrés/0000-0001-8434-3649; Belliure, Josabel/0000-0001-7697-3616; Llorente, Maria Teresa/0000-0002-4638-5386</t>
  </si>
  <si>
    <t>Spanish Ministry of Science and Innovation; European Regional Development Fund [CGL2004-01348, POL2006-05175, CGL2007-60369, CTM2011-24427]</t>
  </si>
  <si>
    <t>Spanish Ministry of Science and Innovation(Spanish Government); European Regional Development Fund(European Union (EU))</t>
  </si>
  <si>
    <t>We thank the Spanish Antarctic Base Gabriel de Castilla'' for their help, assistance and hospitality, the Marine Technology Unit (CSIC) and the Spanish Navy's Oceanographic Research Ship Las Palmas for their help, logistics and transport. We greatly appreciate Carmen Carrillo and Maria Jose Palacios for assistance in fieldwork and Nieves Frias, Sara Lorente, Elena San Miguel and Claudia Buhigas for assistance in laboratory work. We thank to OXOID Ltd., and specially to Tania Fernandez Satre, for their disinterested and generous cooperation. Permission to work in the studied area and for penguin handling was granted by Spanish Polar Committee. This study has been funded by Spanish Ministry of Science and Innovation and European Regional Development Fund under the Projects CGL2004-01348, POL2006-05175, CGL2007-60369 and CTM2011-24427 during writing. This is a contribution to the PINGUCLIM project.</t>
  </si>
  <si>
    <t>1612-9202</t>
  </si>
  <si>
    <t>1612-9210</t>
  </si>
  <si>
    <t>EcoHealth</t>
  </si>
  <si>
    <t>10.1007/s10393-016-1203-z</t>
  </si>
  <si>
    <t>EQ3UJ</t>
  </si>
  <si>
    <t>WOS:000397998300009</t>
  </si>
  <si>
    <t>Tin, T</t>
  </si>
  <si>
    <t>Tin, Tina</t>
  </si>
  <si>
    <t>From the Anthropocentric to the Abiotic: Environmental Ethics and Values in the Antarctic Wilderness</t>
  </si>
  <si>
    <t>ENVIRONMENTAL ETHICS</t>
  </si>
  <si>
    <t>MARINE ECOSYSTEMS; SPACE-EXPLORATION; CHALLENGES; MANAGEMENT; TOURISM; IMPACTS; POLICY</t>
  </si>
  <si>
    <t>Over the past six decades, Antarctic Treaty Consultative Parties have developed legal agreements to protect various aspects of the Antarctic environment. Strong anthropocentrism (e.g., unsustainable harvesting of marine living resources) is generally rejected, and stewardship (e.g., minimizing risks of contamination) is accepted while protection of nonanthropocentric values (e.g., wilderness and intrinsic values) is evoked when it furthers human interests. As one of the world's remaining large wildernesses, Antarctica is under threat from the continuous expansion of the human footprint and is in need of attention from the wider society, including the environmental ethics community. The interdependence of all life on this planet means that problems in Antarctica are not as far away and trivial as it niay seem. Furthermore, Antarctica's extreme position at the edge of civilization challenges humans as moral agents to think about where our moral duties and rights begin and end on this planet, and elsewhere in the universe. Considerations of wilderness and intrinsic values, equity, and abiotic ethics are some of the issues that environmental ethics can contribute toward the protection of the Antarctic wilderness.</t>
  </si>
  <si>
    <t>[Tin, Tina] Rue St Michel, F-73190 Charles Les Eaux, France</t>
  </si>
  <si>
    <t>Tin, T (corresponding author), Rue St Michel, F-73190 Charles Les Eaux, France.</t>
  </si>
  <si>
    <t>tinatintk@gmail.com</t>
  </si>
  <si>
    <t>ENVIRONMENTAL PHILOSOPHY INC</t>
  </si>
  <si>
    <t>DENTON</t>
  </si>
  <si>
    <t>UNIV NORTH TEXAS, DEPT PHILOSOPHY, PO BOX 13496, DENTON, TX 76203-3496 USA</t>
  </si>
  <si>
    <t>0163-4275</t>
  </si>
  <si>
    <t>2153-7895</t>
  </si>
  <si>
    <t>ENVIRON ETHICS</t>
  </si>
  <si>
    <t>Environ. Ethics</t>
  </si>
  <si>
    <t>SPR</t>
  </si>
  <si>
    <t>10.5840/enviroethics20179264</t>
  </si>
  <si>
    <t>Ethics; Environmental Studies</t>
  </si>
  <si>
    <t>Social Sciences - Other Topics; Environmental Sciences &amp; Ecology</t>
  </si>
  <si>
    <t>FN1XQ</t>
  </si>
  <si>
    <t>WOS:000415784900004</t>
  </si>
  <si>
    <t>Lecours, V; Devillers, R; Simms, AE; Lucieer, VL; Brown, CJ</t>
  </si>
  <si>
    <t>Lecours, Vincent; Devillers, Rodolphe; Simms, Alvin E.; Lucieer, Vanessa L.; Brown, Craig J.</t>
  </si>
  <si>
    <t>Towards a framework for terrain attribute selection in environmental studies</t>
  </si>
  <si>
    <t>Bathymetry; Geomorphometry; Surrogacy; Terrain analysis; Terrain attributes; Topography</t>
  </si>
  <si>
    <t>MUTUAL INFORMATION; FRACTAL DIMENSION; PARALLEL ANALYSIS; MODELS; SLOPE; COMPONENTS; NUMBER; METHODOLOGY; PREDICTION; DEMS</t>
  </si>
  <si>
    <t>Terrain attributes (e.g. slope, rugosity) derived from digital terrain models are commonly used in environmental studies. The increasing availability of GIS tools that generate those attributes can lead users to select a sub-optimal combination of terrain attributes for their applications. Our objectives were to identify sets of terrain attributes that best capture terrain properties and to assess how they vary with surface complexity. 230 tools from 11 software packages were used to derive terrain attributes from nine surfaces of different topographic complexity levels. Covariation and independence of terrain attributes were explored using three multivariate statistical methods. Distinct groups of correlated terrain attributes were identified, and their importance in describing a surface varied with surface complexity. Terrain attributes were highly covarying and sometimes ambiguously defined within software documentation. We found that a combination of six to seven particular terrain attributes always captures more than 70% of the topographic structure of surfaces. (C) 2016 Elsevier Ltd. All rights reserved.</t>
  </si>
  <si>
    <t>[Lecours, Vincent; Devillers, Rodolphe; Simms, Alvin E.; Brown, Craig J.] Mem Univ Newfoundland, Dept Geog, 232 Elizabeth Ave, St John, NF A1B 3X9, Canada; [Lucieer, Vanessa L.] Univ Tasmania, Inst Marine &amp; Antarctic Studies, 20 Castray Esplanade, Battery Point, Tas 7004, Australia; [Brown, Craig J.] Nova Scotia Community Coll, Appl Ocean Technol Res Dept, 80 Mawiomi Pl, Dartmouth, NS B2Y 0A5, Canada</t>
  </si>
  <si>
    <t>Memorial University Newfoundland; University of Tasmania</t>
  </si>
  <si>
    <t>Lecours, V (corresponding author), Univ Florida, Sch Forest Resources &amp; Conservat, Fisheries &amp; Aquat Sci, 1745 McCarty Dr, Gainesville, FL 32611 USA.</t>
  </si>
  <si>
    <t>vlecours@mun.ca; rdeville@mun.ca; asimms@mun.ca; vanessa.lucieer@utas.edu.au; craig.brown@nscc.ca</t>
  </si>
  <si>
    <t>Brown, Craig J/N-7364-2013; Devillers, Rodolphe/AAR-3509-2021; Devillers, Rodolphe/R-3700-2019; Lecours, Vincent/J-5514-2019; Lucieer, Vanessa/D-1697-2009</t>
  </si>
  <si>
    <t>Devillers, Rodolphe/0000-0003-0784-847X; Devillers, Rodolphe/0000-0003-0784-847X; Lecours, Vincent/0000-0002-4777-3348; Brown, Craig/0000-0002-5125-978X; Lucieer, Vanessa/0000-0001-7531-5750</t>
  </si>
  <si>
    <t>Natural Sciences and Engineering Council of Canada (NSERC)</t>
  </si>
  <si>
    <t>Natural Sciences and Engineering Council of Canada (NSERC)(Natural Sciences and Engineering Research Council of Canada (NSERC))</t>
  </si>
  <si>
    <t>Many thanks are due to Dr. Arnaud Vandecasteele for his help with the generation of data, and to Emma LeClerc and Dr. Evan Edinger for their critical comments on the manuscript. This work was supported by the Natural Sciences and Engineering Council of Canada (NSERC).</t>
  </si>
  <si>
    <t>10.1016/j.envsoft.2016.11.027</t>
  </si>
  <si>
    <t>EK0QH</t>
  </si>
  <si>
    <t>WOS:000393631400002</t>
  </si>
  <si>
    <t>Pertierra, LR; Hughes, KA; Tejedo, P; Enríquez, N; Luciañez, MJ; Benayas, J</t>
  </si>
  <si>
    <t>Pertierra, Luis R.; Hughes, Kevin A.; Tejedo, Pablo; Enriquez, Natalia; Jose Lucianez, Maria; Benayas, Javier</t>
  </si>
  <si>
    <t>Eradication of the non-native Poa pratensis colony at Cierva Point, Antarctica: A case study of international cooperation and practical management in an area under multi-party governance</t>
  </si>
  <si>
    <t>Antarctic plants; Introduced species; Exogenous soils; Collembolla; International management</t>
  </si>
  <si>
    <t>TERRESTRIAL INVERTEBRATE FAUNA; BIOLOGICAL INVASIONS; CURRENT KNOWLEDGE; PLANTS; RISK; ISLANDS</t>
  </si>
  <si>
    <t>The on-going introduction of non-native species to Antarctica due to expanding human activity presents an increasing threat to biodiversity. Under the Protocol on Environmental Protection to the Antarctic Treaty, all introduced non-native species should be removed from the Antarctic Treaty area. The non-native grass Poa pratensis was first introduced to Cierva Point (Danco Coast, Antarctic Peninsula), along with substantial quantities of non-Antarctic soil, in the mid-1950s. Consistent with the Protocol, in January 2015 an internationally coordinated team undertook the eradication of the grass. Immediately prior to removal of P. pratensis, factors affecting its establishment, persistence and impacts upon local indigenous species was examined within the international management framework of the Antarctic Treaty System. The underlying soil had a high organic content of 15.5%, which may have contributed to the successful establishment of P. pratensis and restricted, at least initially, its vegetative growth to the enriched area. Examination of P. pratensis expansion from the original introduction sites showed that the plant colony intricate root system facilitated little or no coexistence of other native plants within its extent. The non-native plant colony also constituted a novel habitat for soil fauna within Antarctic terrestrial environments. The P. pratensis plant colony provided an unfavorable habitat for two of the locally endemic soil invertebrates, Cryptopygus antarcticus and Belgica antarctica. These observations led to the selection of an appropriate eradication approach, where the plants were targeted for physical extraction along with all underlying soil. During the eradication, c. 500 kg of soil and plant material from the P. pratensis colony was removed from the site. Monitoring one year later showed no evidence of re-establishment. Consistent with the Committee for Environmental Protection Non-native Species Manual', we recommend development and implementation of rapid response protocols following the discovery of a non-native plant colony to limit future impacts on indigenous species and local habitats. (C) 2016 Elsevier Ltd. All rights reserved.</t>
  </si>
  <si>
    <t>[Pertierra, Luis R.] Univ Rey Juan Carlos, Area Biodiversidad &amp; Conservac, Dept Biol &amp; Geol, Mostoles 28933, Spain; [Hughes, Kevin A.] British Antarctic Survey, Nat Environm Res Council, Madingley Rd, Cambridge CB3 0ET, England; [Tejedo, Pablo; Benayas, Javier] Univ Autonoma Madrid, Dept Ecol, E-28049 Madrid, Spain; [Enriquez, Natalia; Jose Lucianez, Maria] Univ Autonoma Madrid, Dept Biol, E-28049 Madrid, Spain</t>
  </si>
  <si>
    <t>Universidad Rey Juan Carlos; UK Research &amp; Innovation (UKRI); Natural Environment Research Council (NERC); NERC British Antarctic Survey; Autonomous University of Madrid; Autonomous University of Madrid</t>
  </si>
  <si>
    <t>Pertierra, LR (corresponding author), Univ Rey Juan Carlos, Area Biodiversidad &amp; Conservac, Dept Biol &amp; Geol, Mostoles 28933, Spain.</t>
  </si>
  <si>
    <t>luis.pertierra@gmail.com</t>
  </si>
  <si>
    <t>Hughes, Kevin/JVZ-0793-2024; Pertierra, Luis R./K-3727-2017; Benayas Del Alamo, Fco. Javier/E-5663-2017; Tejedo, Pablo/A-7163-2010</t>
  </si>
  <si>
    <t>Pertierra, Luis R./0000-0002-2232-428X; Benayas Del Alamo, Fco. Javier/0000-0002-5906-9569; Lucianez Sanchez, Maria Jose/0000-0001-5679-0951; Tejedo, Pablo/0000-0002-1865-0445</t>
  </si>
  <si>
    <t>I+D Excellence Project ALIENANT - Ministry of Economy and Competitiveness of Spain [CTM2013-47381P]; National Environment Research Council (NERC); NERC [bas010011] Funding Source: UKRI; Natural Environment Research Council [bas010011] Funding Source: researchfish</t>
  </si>
  <si>
    <t>I+D Excellence Project ALIENANT - Ministry of Economy and Competitiveness of Spain; National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</si>
  <si>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The support of personnel at Primavera Station (Argentina) and the Spanish and Argentinean Antarctic Programmes for their logistical support during eradication work is gratefully acknowledged. This research was supported by I+D Excellence Project ALIENANT (Ref. CTM2013-47381P) awarded by the Ministry of Economy and Competitiveness of Spain. This paper is a contribution to the SCAR State of the Antarctic Ecosystem (AntEco) research programme. KH was supported by National Environment Research Council (NERC) core funding to the British Antarctic Survey's programme 'Environment Office - Long Term Monitoring and Survey' (EO-LTMS). The authors acknowledge the very helpful comments of two anonymous reviewers.</t>
  </si>
  <si>
    <t>10.1016/j.envsci.2016.12.009</t>
  </si>
  <si>
    <t>EK1YJ</t>
  </si>
  <si>
    <t>WOS:000393723400006</t>
  </si>
  <si>
    <t>Castilla, A; Panizza, P; Rodríguez, D; Bonino, L; Díaz, P; Irazoqui, G; Giordano, SR</t>
  </si>
  <si>
    <t>Castilla, Agustin; Panizza, Paola; Rodriguez, Diego; Bonino, Luis; Diaz, Pilar; Irazoqui, Gabriela; Rodriguez Giordano, Sonia</t>
  </si>
  <si>
    <t>A novel thermophilic and halophilic esterase from Janibacter sp R02, the first member of a new lipase family (Family XVII)</t>
  </si>
  <si>
    <t>Esterase; Janibacter; Thermophilic; Halophilic</t>
  </si>
  <si>
    <t>SWISS-MODEL; BIOTECHNOLOGICAL APPLICATIONS; BIOCHEMICAL-PROPERTIES; THERMOSTABLE LIPASE; PURIFICATION; CLONING; PROTEINS; ENZYMES; CLASSIFICATION; ENVIRONMENT</t>
  </si>
  <si>
    <t>Janibacter sp. strain R02 (BNM 560) was isolated in our laboratory from an Antarctic soil sample. A remarkable trait of the strain was its high lipolytic activity, detected in Rhodamine-olive oil supplemented plates. Supernatants of Janibacter sp. R02 displayed superb activity on transesterification of acyl glycerols, thus being a good candidate for lipase prospection. Considering the lack of information concerning lipases of the genus Janibacter, we focused on the identification, cloning, expression and characterization of the extracellular lipases of this strain. By means of sequence alignment and clustering of consensus nucleotide sequences, a DNA fragment of 1272 by was amplified, cloned and expressed in E. coli. The resulting recombinant enzyme, named LipJ2, showed preference for short to medium chain-length substrates, and displayed maximum activity at 80 degrees C and pH 8-9, being strongly activated by a mixture of Na+ and K+. The enzyme presented an outstanding stability regarding both pH and temperature. Bioinformatics analysis of the amino acid sequence of LipJ2 revealed the presence of a consensus catalytic triad and a canonical pentapeptide. However, two additional rare motifs were found in LipJ2: an SXXL beta-lactamase motif and two putative Y-type oxyanion holes (YAP). Although some of the previous features could allow assigning LipJ2 to the bacterial lipase families VIII or X, the phylogenetic analysis showed that LipJ2 clusters apart from other members of known lipase families, indicating that the newly isolated Janibacter esterase LipJ2 would be the first characterized member of a new family of bacterial lipases. Published by Elsevier Inc.</t>
  </si>
  <si>
    <t>[Castilla, Agustin; Panizza, Paola; Rodriguez, Diego; Bonino, Luis; Irazoqui, Gabriela; Rodriguez Giordano, Sonia] Univ Republica, Dept Biosci, Fac Quim, Gral Flores 2124, Montevideo 11800, Uruguay; [Diaz, Pilar] Univ Barcelona, Dept Genet Microbiol &amp; Stat, Av Diagonal 643, E-08028 Barcelona, Spain</t>
  </si>
  <si>
    <t>Universidad de la Republica, Uruguay; University of Barcelona</t>
  </si>
  <si>
    <t>Giordano, SR (corresponding author), Univ Republica, Dept Biosci, Fac Quim, Gral Flores 2124, Montevideo 11800, Uruguay.</t>
  </si>
  <si>
    <t>soniar@fq.edu.uy</t>
  </si>
  <si>
    <t>Giordano, Sonia Rodríguez/W-9764-2019</t>
  </si>
  <si>
    <t>Giordano, Sonia Rodríguez/0000-0002-5878-9089; Irazoqui, Gabriela/0000-0003-3093-6005; Panizza, Paola/0000-0003-4368-8936</t>
  </si>
  <si>
    <t>Organization for the Prohibition of Chemical Weapons [L/ICA/ICB/187531/13]; PEDECIBA Quimica; CSIC I + D [611]; UdelaR; Agencia Nacional de Investigacion e Innovacion [FSE_ _1_2014_1_102657]; Instituto Antartico Uruguayo; Agencia Espanola de Cooperacion Internacional [Accion Integrada A2 035635 11]; Scientific and Technological Research Council (MINECO, Spain) [CTQ2014-59632-R]; V Pla de Recerca de Catalunya [2014 SGR 534]; Generalitat de Catalunya</t>
  </si>
  <si>
    <t>Organization for the Prohibition of Chemical Weapons; PEDECIBA Quimica; CSIC I + D; UdelaR; Agencia Nacional de Investigacion e Innovacion; Instituto Antartico Uruguayo; Agencia Espanola de Cooperacion Internacional; Scientific and Technological Research Council (MINECO, Spain)(Spanish Government); V Pla de Recerca de Catalunya; Generalitat de Catalunya(Generalitat de Catalunya)</t>
  </si>
  <si>
    <t>This work was supported by the Organization for the Prohibition of Chemical Weapons (L/ICA/ICB/187531/13); PEDECIBA Quimica; CSIC I + D 611; UdelaR; Agencia Nacional de Investigacion e Innovacion (FSE_ _1_2014_1_102657); Instituto Antartico Uruguayo; Agencia Espanola de Cooperacion Internacional (Accion Integrada A2 035635 11); the Scientific and Technological Research Council (MINECO, Spain), grant CTQ2014-59632-R, the V Pla de Recerca de Catalunya, grant 2014 SGR 534, and by the Generalitat de Catalunya to the Xarxa de Referencia en Biotecnologia (XRB).</t>
  </si>
  <si>
    <t>10.1016/j.enzmictec.2016.12.010</t>
  </si>
  <si>
    <t>EJ5HF</t>
  </si>
  <si>
    <t>WOS:000393247700011</t>
  </si>
  <si>
    <t>Nielsen, NS; Lu, HFS; Bruheim, I; Jacobsen, C</t>
  </si>
  <si>
    <t>Nielsen, Nina Skall; Lu, Henna Fung Sieng; Bruheim, Inge; Jacobsen, Charlotte</t>
  </si>
  <si>
    <t>Quality changes of Antarctic krill powder during long term storage</t>
  </si>
  <si>
    <t>EUROPEAN JOURNAL OF LIPID SCIENCE AND TECHNOLOGY</t>
  </si>
  <si>
    <t>Krill; n-3 Fatty acids; Non-enzymatic browning; Lipid oxidation; Phospholipids</t>
  </si>
  <si>
    <t>VOLATILE COMPOUNDS; LIPID OXIDATION; ASTAXANTHIN; PRODUCTS; HEALTH</t>
  </si>
  <si>
    <t>Krill is a valuable sustainable resource of omega-3 fatty acids and protein, which may be processed into a krill powder for human consumption. The objective of this study was to investigate the stability of krill powder when stored for up to 12 months at room temperature. In addition, the effect of packaging in vacuum was observed. The stability was assessed by changes in concentrations of lipid classes, antioxidants, pyrroles and lipid, and Strecker-derived volatiles. Some degradation occurred during storage at room temperature. Thus, a minor increase in volatiles, an increase in free fatty acids and a concomitant decrease in antioxidants, tocopherol, and astaxanthin was observed. In addition, there was a minor decrease in phospholipids and n-3 fatty acids; however, storage at vacuum improved the oxidative stability of krill powder. Practical applications: For the use of krill powder in human nutrition, it is important, that the quality and stability is sufficiently high to retain the nutritional value during storage. This study contributes with information about the stability during storage up to 12 months at room temperature and the effect of packaging the powder in vacuum.</t>
  </si>
  <si>
    <t>[Nielsen, Nina Skall; Lu, Henna Fung Sieng; Jacobsen, Charlotte] Tech Univ Denmark, Natl Food Inst, Lyngby, Denmark; [Bruheim, Inge] Rimfrost AS, Fosnavaag, Norway</t>
  </si>
  <si>
    <t>Nielsen, NS (corresponding author), Tech Univ Denmark, Natl Food Inst, Lyngby, Denmark.</t>
  </si>
  <si>
    <t>nsni@food.dtu.dk</t>
  </si>
  <si>
    <t>Jacobsen, Charlotte/C-3678-2008</t>
  </si>
  <si>
    <t>Jacobsen, Charlotte/0000-0003-3540-9669</t>
  </si>
  <si>
    <t>Norwegian research council</t>
  </si>
  <si>
    <t>Norwegian research council(Research Council of Norway)</t>
  </si>
  <si>
    <t>The Norwegian research council is acknowledged for financial support. In addition, Rimfrost (Fosnawaag, Norway) is acknowledged for free krill powder samples. Inge Holmberg is thanked for technical assistance.</t>
  </si>
  <si>
    <t>1438-7697</t>
  </si>
  <si>
    <t>1438-9312</t>
  </si>
  <si>
    <t>EUR J LIPID SCI TECH</t>
  </si>
  <si>
    <t>Eur. J. Lipid Sci. Technol.</t>
  </si>
  <si>
    <t>10.1002/ejlt.201600085</t>
  </si>
  <si>
    <t>Food Science &amp; Technology; Nutrition &amp; Dietetics</t>
  </si>
  <si>
    <t>EM7HG</t>
  </si>
  <si>
    <t>WOS:000395481500009</t>
  </si>
  <si>
    <t>Marizcurrena, JJ; Morel, MA; Braña, V; Morales, D; Martinez-López, W; Castro-Sowinski, S</t>
  </si>
  <si>
    <t>Jose Marizcurrena, Juan; Morel, Maria A.; Brana, Victoria; Morales, Danilo; Martinez-Lopez, Wilner; Castro-Sowinski, Susana</t>
  </si>
  <si>
    <t>Searching for novel photolyases in UVC-resistant Antarctic bacteria</t>
  </si>
  <si>
    <t>Antarctic microbiology; Photolyase; UVC-resistant bacteria; Photo-repair</t>
  </si>
  <si>
    <t>CYCLOBUTANE PYRIMIDINE DIMERS; INDUCED DNA-DAMAGE; SP NOV.; REPAIR; RADIATION; HYMENOBACTER; REVEALS; STRAINS; SKIN</t>
  </si>
  <si>
    <t>Ultraviolet (UV) light irradiation has serious consequences for cell survival, including DNA damage by formation of cyclobutane pyrimidine dimers (CPD) and pyrimidine (6,4) pyrimidone photoproducts. In general, the Nucleotide Excision Repair pathway repairs these lesions; however, all living forms, except placental mammals and some marsupials, produce a flavoprotein known as photolyase that directly reverses these lesions. The aim of this work was the isolation and identification of Antarctic UVC-resistant bacteria, and the search for novel photolyases. Two Antarctic water samples were UVC-irradiated (254 nm; 50-200 J m(-2)) and 12 UVC-resistant bacteria were isolated and identified by 16S rDNA amplification/analysis as members of the genera Pseudomonas, Janthinobacterium, Flavobacterium, Hymenobacter and Sphingomonas. The UVC 50% lethal dose and the photorepair ability of isolates were analyzed. The occurrence of photolyase coding sequences in Pseudomonas, Hymenobacter and Sphingomonas isolates were searched by PCR or by searching in the draft DNA genome. Results suggest that Pseudomonas and Hymenobacter isolates produce CDP-photolyases, and Sphingomonas produces two CPD-photolyases and a 6,4-photolyase. Results suggest that the Antarctic environment is an important source of genetic material for the identification of novel photolyase genes with potential biotechnological applications.</t>
  </si>
  <si>
    <t>[Jose Marizcurrena, Juan; Morales, Danilo; Castro-Sowinski, Susana] Univ Republica, Fac Sci, Biochem &amp; Mol Biol, Igua 4225, Montevideo 11400, Uruguay; [Jose Marizcurrena, Juan; Martinez-Lopez, Wilner] Inst Clemente Estable, Epigenet &amp; Genom Instabil Lab, Ave Italia 3318, Montevideo 11600, Uruguay; [Jose Marizcurrena, Juan; Martinez-Lopez, Wilner] Inst Clemente Estable, Biodosimetry Service, Ave Italia 3318, Montevideo 11600, Uruguay; [Morel, Maria A.; Brana, Victoria; Castro-Sowinski, Susana] Inst Clemente Estable, Mol Microbiol, Ave Italia 3318, Montevideo 11600, Uruguay</t>
  </si>
  <si>
    <t>Universidad de la Republica, Uruguay; Instituto de Investigaciones Biologicas Clemente Estable Uruguay; Instituto de Investigaciones Biologicas Clemente Estable Uruguay; Instituto de Investigaciones Biologicas Clemente Estable Uruguay</t>
  </si>
  <si>
    <t>Castro-Sowinski, S (corresponding author), Univ Republica, Fac Sci, Biochem &amp; Mol Biol, Igua 4225, Montevideo 11400, Uruguay.;Castro-Sowinski, S (corresponding author), Inst Clemente Estable, Mol Microbiol, Ave Italia 3318, Montevideo 11600, Uruguay.</t>
  </si>
  <si>
    <t>Marizcurrena, Juan Jose/AAB-5482-2020; Morel, María A./AAJ-8658-2020</t>
  </si>
  <si>
    <t>Morel, María A./0000-0002-9064-5675; Marizcurrena, Juan Jose/0000-0002-5191-1539</t>
  </si>
  <si>
    <t>PEDEC-IBA (Programa de Desarrollo de las Ciencias Basicas); Celsius Laboratory; National Agency of Investigation and Innovation (ANII, Agencia Nacional de Investigacion e Innovacion)</t>
  </si>
  <si>
    <t>This work was partially supported by PEDEC-IBA (Programa de Desarrollo de las Ciencias Basicas) and Celsius Laboratory (http://www.celsius.uy/). The work of JJM was supported by the National Agency of Investigation and Innovation (ANII, Agencia Nacional de Investigacion e Innovacion). The authors thank the Uruguayan Antarctic Institute for the logistic support during the stay in the Artigas Base. S. Castro-Sowinski, M. A. Morel and W. Martinez-Lopez are members of the National Research System (SNI, Sistema Nacional de Investigadores, of ANII).</t>
  </si>
  <si>
    <t>10.1007/s00792-016-0914-y</t>
  </si>
  <si>
    <t>WOS:000397971100016</t>
  </si>
  <si>
    <t>McLeod, C; Dowsett, N; Hallegraeff, G; Harwood, DT; Hay, B; Ibbott, S; Malhi, N; Murray, S; Smith, K; Tan, J; Turnbull, A</t>
  </si>
  <si>
    <t>McLeod, Catherine; Dowsett, Natalie; Hallegraeff, Gustaaf; Harwood, D. Tim; Hay, Brenda; Ibbott, Sam; Malhi, Navreet; Murray, Shauna; Smith, Kirsty; Tan, Jessica; Turnbull, Alison</t>
  </si>
  <si>
    <t>Accumulation and depuration of paralytic shellfish toxins by Australian abalone Haliotis rubra: Conclusive association with Gymnodinium catenatum dinoflagellate blooms</t>
  </si>
  <si>
    <t>FOOD CONTROL</t>
  </si>
  <si>
    <t>Harmful algae; Saxitoxins; Uptake; Depuration; Gastropod</t>
  </si>
  <si>
    <t>GALICIAN COAST; WEST-COAST; IDENTIFICATION; TUBERCULATA; SAXITOXIN; TOXICITY</t>
  </si>
  <si>
    <t>Paralytic shellfish toxins (PST) were detected in abalone (Haliotis rubra) in April 2011 in south-east Tasmania, Australia, during a dinoflagellate bloom of Gymnodinium catenatum. This led to restrictions on abalone harvesting and triggered continued PST monitoring by Ultra Performance Liquid Chromatography (UPLC-FLD) of abalone and mussels (Mytilus galloprovincialis), and concurrent phytoplankton monitoring, between 2011 and 2013. PST up to 2437 lig STX mu q kg(-1) (three times the bivalve regulatory limit) were confirmed in abalone viscera, with toxicity up to 586 pg STX mu q kg(-1) in the muscular foot (mainly doSTX and minor proportions of SIX and doSTX). Mussels accumulated PST at a faster rate than abalone which suggests they can serve as sentinels of PST accumulation to inform abalone risk management protocols. Three lines of evidence for G. catenatum as the source of PST in abalone were established: (1) PST in abalone tissues increased and declined in association with dinoflagellate blooms; (2) G. catenatum DNA was detected by real-time PCR in abalone digestive tracts; and (3) the PST analogues (toxin profile) observed in both abalone viscera and mussels were similar suggesting a common PST source. This is the first time a conclusive linkage between the occurrence of PST in abalone and a dinoflagellate source has been demonstrated. (C) 2016 Elsevier Ltd. All rights reserved.</t>
  </si>
  <si>
    <t>[McLeod, Catherine; Dowsett, Natalie; Malhi, Navreet; Tan, Jessica; Turnbull, Alison] South Australian Res &amp; Dev Inst, GPO Box 397, Adelaide, SA 5001, Australia; [Hallegraeff, Gustaaf] Univ Tasmania, Inst Marine &amp; Antarctic Studies, Private Bag 129, Hobart, Tas 7001, Australia; [Harwood, D. Tim; Smith, Kirsty] Cawthron Inst, 98 Halifax St East,Private Bag 2, Nelson 7042, New Zealand; [Hay, Brenda] AquaBio Consultants Ltd, POB 560 Shortland St PO, Auckland 1140, New Zealand; [Ibbott, Sam] Marine Solut Tasmania Pty Ltd, 110 Swanston St, Newtown, Tas 7008, Australia; [Murray, Shauna] Univ Technol Sydney, Plant Funct Biol &amp; Climate Change Cluster C3, 15 Broadway, Ultimo, NSW 2007, Australia; [Turnbull, Alison] Dept Hlth &amp; Human Serv, GPO Box 125, Hobart, Tas 7001, Australia; [McLeod, Catherine] Seafood Safety Assessment Ltd, Kilmore IV44 8RG, Isle Of Skye, Scotland</t>
  </si>
  <si>
    <t>South Australian Research &amp; Development Institute (SARDI); University of Tasmania; Cawthron Institute; University of Technology Sydney</t>
  </si>
  <si>
    <t>McLeod, C (corresponding author), South Australian Res &amp; Dev Inst, GPO Box 397, Adelaide, SA 5001, Australia.;McLeod, C (corresponding author), Seafood Safety Assessment Ltd, Kilmore IV44 8RG, Isle Of Skye, Scotland.</t>
  </si>
  <si>
    <t>cath@seafoodsafetyassessment.com</t>
  </si>
  <si>
    <t>Harwood, Tim/H-3636-2012; Hallegraeff, Gustaaf/C-8351-2013; Murray, Shauna A/K-5781-2015</t>
  </si>
  <si>
    <t>Hallegraeff, Gustaaf/0000-0001-8464-7343; Murray, Shauna A/0000-0001-7096-1307; Turnbull, Alison/0000-0001-5701-8728; McLeod, Catherine/0000-0001-5619-2898</t>
  </si>
  <si>
    <t>Australian Seafood Cooperative Research Centre; Department of Further Education, Employment, Science and Technology; Fisheries Research and Development Corporation; New Zealand Paua Industry Council; Abalone Council of Australia (ACA); Abalone Association of Australasia (AAA)</t>
  </si>
  <si>
    <t>Australian Seafood Cooperative Research Centre(Australian GovernmentDepartment of Industry, Innovation and ScienceCooperative Research Centres (CRC) Programme); Department of Further Education, Employment, Science and Technology; Fisheries Research and Development Corporation; New Zealand Paua Industry Council; Abalone Council of Australia (ACA); Abalone Association of Australasia (AAA)</t>
  </si>
  <si>
    <t>The authors thank the Australian Seafood Cooperative Research Centre, the Department of Further Education, Employment, Science and Technology, the Fisheries Research and Development Corporation, the New Zealand Paua Industry Council, the Abalone Council of Australia (ACA), and the Abalone Association of Australasia (AAA) for funding to support this research. None of the funding agencies were involved in the design, collection or analysis of data, or in the writing or submission of the publication.</t>
  </si>
  <si>
    <t>0956-7135</t>
  </si>
  <si>
    <t>1873-7129</t>
  </si>
  <si>
    <t>Food Control</t>
  </si>
  <si>
    <t>B</t>
  </si>
  <si>
    <t>10.1016/j.foodcont.2016.10.012</t>
  </si>
  <si>
    <t>FA6EZ</t>
  </si>
  <si>
    <t>WOS:000405537400026</t>
  </si>
  <si>
    <t>Kim, J; Kwon, KK; Kim, BK; Hong, SG; Oha, HM</t>
  </si>
  <si>
    <t>Kim, Junghee; Kwon, Kae Kyoung; Kim, Byung Kwon; Hong, Soon Gyu; Oha, Hyun-Myung</t>
  </si>
  <si>
    <t>Genome Sequence of Deinococcus marmoris PAMC 26562 Isolated from Antarctic Lichen</t>
  </si>
  <si>
    <t>Deinococcus marmoris strain PAMC 26562 was isolated from Usnea sp., a lichen collected from King George Island, Antarctica. We report here the draft genome sequence of strain PAMC 26562, which has xanthorhodopsin and carbon monoxide dehydrogenase genes in addition to major metabolic pathways presented in deinococcal genomes.</t>
  </si>
  <si>
    <t>[Kim, Junghee; Oha, Hyun-Myung] Pukyong Natl Univ, Dept Marine Bio Convergence Sci, Specialized Grad Sch Sci &amp; Technol Convergence, Busan, South Korea; [Kwon, Kae Kyoung] Korea Inst Ocean Sci &amp; Technol, Marine Biotechnol Res Div, Ansan, South Korea; [Kim, Byung Kwon] OmicsPia Co Ltd, Daejeon, South Korea; [Hong, Soon Gyu] Korea Polar Res Inst, Div Life Sci, Incheon, South Korea</t>
  </si>
  <si>
    <t>Pukyong National University; Korea Institute of Ocean Science &amp; Technology (KIOST); Korea Polar Research Institute (KOPRI)</t>
  </si>
  <si>
    <t>Oha, HM (corresponding author), Pukyong Natl Univ, Dept Marine Bio Convergence Sci, Specialized Grad Sch Sci &amp; Technol Convergence, Busan, South Korea.</t>
  </si>
  <si>
    <t>marinebio@pknu.ac.kr</t>
  </si>
  <si>
    <t>Oh, Hyun-Myung/0000-0003-1987-8895</t>
  </si>
  <si>
    <t>Transfer Machine Specialized Lighting Core Technology Development Professional Manpower Training Project [N0001363]; Ministry of Trade, Industry &amp; Energy (MOTIE, Republic of Korea)</t>
  </si>
  <si>
    <t>Transfer Machine Specialized Lighting Core Technology Development Professional Manpower Training Project; Ministry of Trade, Industry &amp; Energy (MOTIE, Republic of Korea)(Ministry of Trade, Industry &amp; Energy (MOTIE), Republic of Korea)</t>
  </si>
  <si>
    <t>This work was supported by the Transfer Machine Specialized Lighting Core Technology Development Professional Manpower Training Project (project N0001363) funded by the Ministry of Trade, Industry &amp; Energy (MOTIE, Republic of Korea).</t>
  </si>
  <si>
    <t>e00013-17</t>
  </si>
  <si>
    <t>10.1128/genomeA.00013-17</t>
  </si>
  <si>
    <t>VI1EG</t>
  </si>
  <si>
    <t>WOS:000460689100002</t>
  </si>
  <si>
    <t>Sinha, RK; Krishnan, KP; Kurian, PJ</t>
  </si>
  <si>
    <t>Sinha, Rupesh Kumar; Krishnan, K. P.; Kurian, P. John</t>
  </si>
  <si>
    <t>Draft Genome Sequence of Idiomarina sp. Strain 5.13, a Highly Stress-Resistant Bacterium Isolated from the Southwest Indian Ridge</t>
  </si>
  <si>
    <t>Idiomarina sp. strain 5.13, able to produce biopolymer and exopolysaccharide, was isolated from a sediment sample collected from the Southwest Indian Ridge, Indian Ocean. Analysis of its draft genome sequence provides insights into its remarkable stress tolerance and offers the genetic basis for harnessing the biotechnological potential of this strain.</t>
  </si>
  <si>
    <t>[Sinha, Rupesh Kumar; Krishnan, K. P.; Kurian, P. John] Natl Ctr Antarctic &amp; Ocean Res, Vasco Da Gama, Goa, India</t>
  </si>
  <si>
    <t>Sinha, RK; Krishnan, KP (corresponding author), Natl Ctr Antarctic &amp; Ocean Res, Vasco Da Gama, Goa, India.</t>
  </si>
  <si>
    <t>kineto.magnetic@gmail.com; kpkrishnan@gmail.com</t>
  </si>
  <si>
    <t>Sinha, Rupesh Kumar/0000-0002-2080-0975</t>
  </si>
  <si>
    <t>e01747-16</t>
  </si>
  <si>
    <t>10.1128/genomeA.01747-16</t>
  </si>
  <si>
    <t>VI1EE</t>
  </si>
  <si>
    <t>WOS:000460685400025</t>
  </si>
  <si>
    <t>Passchier, S; Ciarletta, DJ; Miriagos, TE; Bijl, PK; Bohaty, SM</t>
  </si>
  <si>
    <t>Passchier, Sandra; Ciarletta, Daniel J.; Miriagos, Triantafilo E.; Bijl, Peter K.; Bohaty, Steven M.</t>
  </si>
  <si>
    <t>An Antarctic stratigraphic record of stepwise ice growth through the Eocene-Oligocene transition</t>
  </si>
  <si>
    <t>GEOLOGICAL SOCIETY OF AMERICA BULLETIN</t>
  </si>
  <si>
    <t>GLOBAL CARBON-CYCLE; PRYDZ BAY; ODP SITE-1166; CENOZOIC GLACIATION; CLIMATE; EVOLUTION; ONSET; PACIFIC; SEDIMENTATION; CIRCULATION</t>
  </si>
  <si>
    <t>Earth's current icehouse phase began similar to 34 m.y. ago with the onset of major Antarctic glaciation at the Eocene-Oligocene transition. Changes in ocean circulation and a decline in atmospheric greenhouse gas levels were associated with stepwise cooling and ice growth at southern high latitudes. The Antarctic cryosphere plays a critical role in the ocean-atmosphere system, but its early evolution is still poorly known. With a nearfield record from Prydz Bay, Antarctica, we demonstrate that Antarctic ice growth was stepwise and had an earlier onset than previously suggested. Prydz Bay lies downstream of a major East Antarctic Ice Sheet drainage system, and its sedimentary records uniquely constrain the timing of ice-sheet advance onto the continental shelf. We investigated a detrital record extracted from three Ocean Drilling Program drill holes within a new depositional and chronological framework spanning the late Eocene to early Oligocene (ca. 36-33 Ma). The chemical index of alteration (CIA) and the S index, calculated from the major-element geochemistry of bulk samples, yielded estimates of chemical weathering intensities and mean annual temperature on the East Antarctic continent. We document evidence for late Eocene mountain glaciation along with transient warm events at 35.8-34.8 Ma. From 34.4 Ma, associated with the Eocene-Oligocene transition precursor delta O-18 excursion, glaciers advanced into Prydz Bay, coincident with a decline in chemical weathering and temperature. We conclude that Antarctic continental ice growth commenced with the Eocene-Oligocene transition precursor glaciation, during a time of Subantarctic surface ocean cooling and a decline in atmospheric pCO(2). These results call for dynamic high-latitude feedbacks that are currently poorly represented in Earth system models and emphasize the need for additional near-field glacio-sedimentological, high-latitude sea-surface temperature and pCO(2) records across the Eocene-Oligocene transition.</t>
  </si>
  <si>
    <t>[Passchier, Sandra; Ciarletta, Daniel J.; Miriagos, Triantafilo E.] Montclair State Univ, Dept Earth &amp; Environm Studies, 1 Normal Ave, Montclair, NJ 07043 USA; [Bijl, Peter K.] Univ Utrecht, Fac Geosci, Dept Earth Sci, Heidelberglaan 2, NL-3584 CS Utrecht, Netherlands; [Bohaty, Steven M.] Univ Southampton, Natl Oceanog Ctr Southampton, Ocean &amp; Earth Sci, 20 European Way, Southampton SO14 3ZH, Hants, England</t>
  </si>
  <si>
    <t>Montclair State University; Utrecht University; NERC National Oceanography Centre; University of Southampton</t>
  </si>
  <si>
    <t>passchiers@mail.montclair.edu</t>
  </si>
  <si>
    <t>Passchier, Sandra/0000-0001-7204-7025; Bijl, Peter/0000-0002-1710-4012; Ciarletta, Daniel/0000-0002-8555-2239</t>
  </si>
  <si>
    <t>U.S. National Science Foundation [ANT-1245283]; NWO-VENI [863.13.002]; Montclair State University; Natural Environment Research Council [NE/L007452/1] Funding Source: researchfish; NERC [NE/L007452/1] Funding Source: UKRI; Office of Polar Programs (OPP); Directorate For Geosciences [1245283] Funding Source: National Science Foundation</t>
  </si>
  <si>
    <t>U.S. National Science Foundation(National Science Foundation (NSF)); NWO-VENI(Netherlands Organization for Scientific Research (NWO)); Montclair State University; Natural Environment Research Council(UK Research &amp; Innovation (UKRI)Natural Environment Research Council (NERC)); NERC(UK Research &amp; Innovation (UKRI)Natural Environment Research Council (NERC)); Office of Polar Programs (OPP); Directorate For Geosciences(National Science Foundation (NSF)NSF - Directorate for Geosciences (GEO))</t>
  </si>
  <si>
    <t>This research used samples provided by the International Ocean Discovery Program. Funding for this research came from the U.S. National Science Foundation (award ANT-1245283) to S. Passchier. P.K. Bijl thanks NWO-VENI for grant 863.13.002. This research also benefited from a Global Education Grant from Montclair State University. Phil Rumford and his staff are thanked for assistance during work at the Gulf Coast Core Repository in College Station, Texas. Nick Tadrick is thanked for carrying out some of the sample preparations, and Xiaona Li is thanked for assistance with the inductively coupled plasma-atomic emission spectroscopy measurements at Montclair State University. Constructive feedback from Paul Wilson and an anonymous reviewer significantly improved the manuscript.</t>
  </si>
  <si>
    <t>0016-7606</t>
  </si>
  <si>
    <t>1943-2674</t>
  </si>
  <si>
    <t>GEOL SOC AM BULL</t>
  </si>
  <si>
    <t>Geol. Soc. Am. Bull.</t>
  </si>
  <si>
    <t>MAR-APR</t>
  </si>
  <si>
    <t>3-4</t>
  </si>
  <si>
    <t>10.1130/B31482.1</t>
  </si>
  <si>
    <t>EO6OU</t>
  </si>
  <si>
    <t>WOS:000396813200005</t>
  </si>
  <si>
    <t>Krivolutsky, A; Vyushkova, T; Mironova, I</t>
  </si>
  <si>
    <t>Krivolutsky, A. A.; Vyushkova, T. Yu.; Mironova, I. A.</t>
  </si>
  <si>
    <t>Changes in the Chemical Composition of the Atmosphere in the Polar Regions of the Earth After Solar Proton Flares (3d Modeling)</t>
  </si>
  <si>
    <t>GEOMAGNETISM AND AERONOMY</t>
  </si>
  <si>
    <t>MIDDLE ATMOSPHERE; PARTICLE-PRECIPITATION; 2-DIMENSIONAL MODEL; JULY 2000; EVENT; OZONOSPHERE; IONIZATION</t>
  </si>
  <si>
    <t>The paper presents the results of numerical photochemical simulations of the impact of the most powerful solar proton flares during the 23rd solar cycle on the ozonosphere in the polar regions of the Earth. A global 3D photochemical model, CHARM, developed at Central Aerological Observatory (CAO) was used in the simulations. The model introduces an additional source of nitrogen atoms and OH radicals. These components are formed due to the ionization effect of solar protons in the Earth's atmosphere. The ionization rate was determined from data on proton fluxes measured by GOES satellites. The production rate of additional NOx and HDx molecules per ion pair was based on published theoretical studies. It is shown that the most intense flares in the 23rd solar cycle (2000, 2001, and 2003) destroyed ozone in the mesosphere to a great extent (sometimes completely, for example, during the July 14, 2000, event). It is found that the response of ozone to solar proton events follows a seasonal pattern. For the first time, the long-term effect of solar proton events is identified; it is approximately one year.</t>
  </si>
  <si>
    <t>[Krivolutsky, A. A.; Vyushkova, T. Yu.] Cent Aerol Observ Roshydromet, Dolgoprudnyi 141700, Moscow Oblast, Russia; [Mironova, I. A.] St Petersburg State Univ, St Petersburg 199034, Russia</t>
  </si>
  <si>
    <t>Saint Petersburg State University</t>
  </si>
  <si>
    <t>Krivolutsky, A (corresponding author), Cent Aerol Observ Roshydromet, Dolgoprudnyi 141700, Moscow Oblast, Russia.</t>
  </si>
  <si>
    <t>alexei.krivolutsky@rambler.ru</t>
  </si>
  <si>
    <t>Mironova, Irina A/I-1663-2012</t>
  </si>
  <si>
    <t>Mironova, Irina A/0000-0003-4437-834X</t>
  </si>
  <si>
    <t>Russian Foundation for Basic Research [97-05-6605_a, 03-05-64675_a, 06 -05-64434_a, 09-05-0702_d, 09-05-00949_a, 13-05-0105213_a]; Antarctic Research and Exploration Subprogram under the World Ocean Program of Russia</t>
  </si>
  <si>
    <t>Russian Foundation for Basic Research(Russian Foundation for Basic Research (RFBR)Spanish Government); Antarctic Research and Exploration Subprogram under the World Ocean Program of Russia</t>
  </si>
  <si>
    <t>Conducted at the Laboratory of Chemistry and Atmospheric Dynamics, CAO, the 3D model simulations of the impact of solar activity on the ozonosphere were supported by the Russian Foundation for Basic Research (Grants Nos. 97-05-6605_a; 03-05-64675_a; 06 -05-64434_a; 09-05-0702_d; 09-05-00949_a; and 13-05-0105213_a), for which we express our appreciation. Our research on the impact of energetic particles on the polar regions of the Earth was also supported by the Antarctic Research and Exploration Subprogram under the World Ocean Program of Russia. The development of 3D models for various problems of hydrometeorology and heliogeophysics was carried out under the research programs of Roshydromet.</t>
  </si>
  <si>
    <t>0016-7932</t>
  </si>
  <si>
    <t>1555-645X</t>
  </si>
  <si>
    <t>GEOMAGN AERONOMY+</t>
  </si>
  <si>
    <t>Geomagn. Aeron.</t>
  </si>
  <si>
    <t>10.1134/S0016793217020074</t>
  </si>
  <si>
    <t>ES7OA</t>
  </si>
  <si>
    <t>WOS:000399738400005</t>
  </si>
  <si>
    <t>Campo, JM; Wellner, JS; Domack, E; Lavoie, C; Yoo, KC</t>
  </si>
  <si>
    <t>Campo, Jennifer M.; Wellner, Julia S.; Domack, Eugene; Lavoie, Caroline; Yoo, Kyu-Cheul</t>
  </si>
  <si>
    <t>Glacial geomorphology of the northwestern Weddell Sea, eastern Antarctic Peninsula continental shelf: Shifting ice flow patterns during deglaciation</t>
  </si>
  <si>
    <t>Submarine glacial geomorphology; Ice flow pattems; Multibeam data; Antarctica Peninsula; Weddell Sea</t>
  </si>
  <si>
    <t>JAMES-ROSS-ISLAND; SUBMARINE LANDFORMS; INSTABILITY THEORY; DRUMLIN FORMATION; STREAM RETREAT; BARENTS SEA; SHEET; MAXIMUM; BEDFORMS; DYNAMICS</t>
  </si>
  <si>
    <t>During the Last Glacial Maximum, grounded ice from the expanded Antarctic Peninsula Ice Sheet extended across the continental shelf. Grounded and flowing ice created a distinctive array of glacial geomorphic features on the sea floor, which were then exposed as the ice sheet retreated. The recent disintegration of the northern parts of the Larsen Ice Shelf (Larsen A and B) have permitted acquisition of marine geophysical data in previously inaccessible and unmapped areas. We present a reconstruction of the evolving ice-flow path and ice sheet geometry of the eastern Antarctic Peninsula, with particular focus paid to newly surveyed areas that shed light on the dynamics of a marine-terminating glacial geomorphic environment, where ice shelves play a major role in grounding line stability. Shifting flow directions were mapped in several areas, including across the Seal Nunataks, which divide Larsen A and B, and offshore of Larsen C, indicating flow reorientation that reflects the changing ice sheet geometry as retreat neared the modern coastline. The measured flow indicators in this area reveal comparatively high elongation ratios (&gt;20), indicating rapid ice flow. Evidence of possible previous ice-shelf collapses are noted near the shelf break, further illustrating the critical, protective effect that ice shelves impart to marine-terminating glacial environments. Modern ice retreat is governed in part by reorganization of flow patterns accompanying grounding line movement; such reorganizations happened in the past and can aid understanding of modern processes. (C) 2016 Elsevier B.V. All rights reserved.</t>
  </si>
  <si>
    <t>[Campo, Jennifer M.; Wellner, Julia S.] Univ Houston, Dept Earth &amp; Atmospher Sci, Houston, TX 77204 USA; [Domack, Eugene] Univ S Florida, Coll Marine Sci, St Petersburg, FL 33701 USA; [Lavoie, Caroline] Univ Aveiro, CESAM, Dept Geosci, P-3810193 Aveiro, Portugal; [Yoo, Kyu-Cheul] Korea Polar Res Inst, Incheon 406840, South Korea</t>
  </si>
  <si>
    <t>University of Houston System; University of Houston; State University System of Florida; University of South Florida; Universidade de Aveiro; Korea Polar Research Institute (KOPRI)</t>
  </si>
  <si>
    <t>Campo, JM (corresponding author), Univ Houston, Dept Earth &amp; Atmospher Sci, Houston, TX 77204 USA.</t>
  </si>
  <si>
    <t>jmcampo@mac.com</t>
  </si>
  <si>
    <t>NSF [0732614]; [PP16010]; Directorate For Geosciences; Office of Polar Programs (OPP) [0732614] Funding Source: National Science Foundation</t>
  </si>
  <si>
    <t>NSF(National Science Foundation (NSF)); ; Directorate For Geosciences; Office of Polar Programs (OPP)(National Science Foundation (NSF)NSF - Directorate for Geosciences (GEO))</t>
  </si>
  <si>
    <t>We thank the science parties and captains and crews of each of the cruises that have collected the data used in this paper, particularly KOPRI cruise ARAI 304, funded by PP16010. Special thanks to Paul Morin and the Polar 'Geospatial Center for their exceptional GIS catalogue of Antarctic data sets. This work was funded by NSF 0732614.</t>
  </si>
  <si>
    <t>10.1016/j.geomorph.2016.11.022</t>
  </si>
  <si>
    <t>EK4XO</t>
  </si>
  <si>
    <t>WOS:000393931400008</t>
  </si>
  <si>
    <t>Lorenz, JM; Qi, HP; Coplen, TB</t>
  </si>
  <si>
    <t>Lorenz, Jennifer M.; Qi, Haiping; Coplen, Tyler B.</t>
  </si>
  <si>
    <t>Antarctic Ice-Core Water (USGS49) - A New Isotopic Reference Material for δ2H and δ18O Measurements of Water</t>
  </si>
  <si>
    <t>GEOSTANDARDS AND GEOANALYTICAL RESEARCH</t>
  </si>
  <si>
    <t>oxygen isotope; hydrogen isotope; quality assurance; quality control</t>
  </si>
  <si>
    <t>LONG-TERM ACCURACY; RATIO ANALYSIS; HYDROGEN; SPECTROMETERS; PRECISION; OXYGEN; GAS</t>
  </si>
  <si>
    <t>As a result of the scarcity of isotopic reference waters for daily use, a new secondary isotopic reference material for international distribution has been prepared from ice-core water from the Amundsen-Scott South Pole Station. This isotopic reference material, designated as USGS49, was filtered, homogenised, loaded into glass ampoules, sealed with a torch, autoclaved to eliminate biological activity and measured by dual-inlet isotope-ratio mass spectrometry. The delta H-2 and delta O-18 values of USGS49 are -394.7 +/- 0.4 and -50.55 +/- 0.04mUr (where mUr=0.001=parts per thousand), respectively, relative to VSMOW, on scales normalised such that the delta H-2 and delta O-18 values of SLAP reference water are, respectively, -428 and -55.5mUr. Each uncertainty is an estimated expanded uncertainty (U=2u(c)) about the reference value that provides an interval that has about a 95% probability of encompassing the true value. This isotopic reference material is intended as one of two isotopic reference waters for daily normalisation of stable hydrogen and oxygen isotopic analysis of water with an isotope-ratio mass spectrometer or a laser absorption spectrometer. It is available by the case of 144 glass ampoules or as a set of sixteen glass ampoules containing 5ml of water in each ampoule.</t>
  </si>
  <si>
    <t>[Lorenz, Jennifer M.; Qi, Haiping; Coplen, Tyler B.] US Geol Survey, Reston, VA 20192 USA</t>
  </si>
  <si>
    <t>United States Department of the Interior; United States Geological Survey</t>
  </si>
  <si>
    <t>Lorenz, JM (corresponding author), US Geol Survey, Reston, VA 20192 USA.</t>
  </si>
  <si>
    <t>jlorenz@usgs.gov</t>
  </si>
  <si>
    <t>Lorenz, Jennifer/0000-0002-5826-7264</t>
  </si>
  <si>
    <t>U.S. Geological Survey National Research Program</t>
  </si>
  <si>
    <t>U.S. Geological Survey National Research Program(United States Geological Survey)</t>
  </si>
  <si>
    <t>Great appreciation is given to the Division of Polar Programs of the U.S. National Science Foundation for collecting ice-core water from the Amundsen-Scott South Pole Station. We thank Anita Aerts-Bijma and two anonymous reviewers for their constructive comments that improved this manuscript. The support of the U.S. Geological Survey National Research Program made this report possible. Any use of trade, firm or product names is for descriptive purposes only and does not imply endorsement by the U.S. Government. This work was authored as part of the contributors' official duties as employees of the United States government. In accordance with 17 U.S.C. 105, no copyright protection is available for such works under U.S. law.</t>
  </si>
  <si>
    <t>1639-4488</t>
  </si>
  <si>
    <t>1751-908X</t>
  </si>
  <si>
    <t>GEOSTAND GEOANAL RES</t>
  </si>
  <si>
    <t>Geostand. Geoanal. Res.</t>
  </si>
  <si>
    <t>10.1111/ggr.12135</t>
  </si>
  <si>
    <t>EM0LJ</t>
  </si>
  <si>
    <t>WOS:000395009500004</t>
  </si>
  <si>
    <t>Williams, NL; Juranek, LW; Feely, RA; Johnson, KS; Sarmiento, JL; Talley, LD; Dickson, AG; Gray, AR; Wanninkhof, R; Russell, JL; Riser, SC; Takeshita, Y</t>
  </si>
  <si>
    <t>Williams, N. L.; Juranek, L. W.; Feely, R. A.; Johnson, K. S.; Sarmiento, J. L.; Talley, L. D.; Dickson, A. G.; Gray, A. R.; Wanninkhof, R.; Russell, J. L.; Riser, S. C.; Takeshita, Y.</t>
  </si>
  <si>
    <t>Calculating surface ocean pCO2 from biogeochemical Argo floats equipped with pH: An uncertainty analysis</t>
  </si>
  <si>
    <t>ANTHROPOGENIC CARBON; CO2; ALKALINITY; SEAWATER; SYSTEM; WATER; VARIABILITY; CALIBRATION; SATURATION; CONSTANT</t>
  </si>
  <si>
    <t>More than 74 biogeochemical profiling floats that measure water column pH, oxygen, nitrate, fluorescence, and backscattering at 10 day intervals have been deployed throughout the Southern Ocean. Calculating the surface ocean partial pressure of carbon dioxide (pCO(2sw)) from float pH has uncertainty contributions from the pH sensor, the alkalinity estimate, and carbonate system equilibrium constants, resulting in a relative standard uncertainty in pCO(2sw) of 2.7% (or 11 mu atm at pCO(2sw) of 400 mu atm). The calculated pCO(2sw) from several floats spanning a range of oceanographic regimes are compared to existing climatologies. In some locations, such as the subantarctic zone, the float data closely match the climatologies, but in the polar Antarctic zone significantly higher pCO(2sw) are calculated in the wintertime implying a greater air-sea CO2 efflux estimate. Our results based on four representative floats suggest that despite their uncertainty relative to direct measurements, the float data can be used to improve estimates for air-sea carbon flux, as well as to increase knowledge of spatial, seasonal, and interannual variability in this flux. Plain Language Summary The Southern Ocean is a key player in the global flow of carbon, yet it is hard to reach, and there are relatively few measurements there, especially in winter. Measuring the amount of carbon dioxide gas in seawater is key to advancing our understanding of the Southern Ocean. More than 74 robotic floats that use sensors to measure seawater properties have been deployed throughout the Southern Ocean, and each has a lifetime of around 5 years. It is currently not possible to directly measure carbon dioxide gas from these floats; however, it is possible to estimate carbon dioxide from things that the float can measure, like pH, a measure of ocean acidity. Here surface ocean carbon dioxide is estimated from several floats and compared to two ship-based estimates. In some locations, the floats closely match the existing estimates, but in other locations the floats see significantly higher surface ocean carbon dioxide in the wintertime, reinforcing the idea that the Southern Ocean's role in the global carbon cycle needs a closer look. Our results show that despite not measuring carbon dioxide directly, these floats will help scientists learn a lot about the Southern Ocean's part in the global flow of carbon.</t>
  </si>
  <si>
    <t>[Williams, N. L.; Juranek, L. W.] Oregon State Univ, Coll Earth Ocean &amp; Atmospher Sci, Corvallis, OR 97331 USA; [Feely, R. A.] NOAA, Pacific Marine Environm Lab, 7600 Sand Point Way Ne, Seattle, WA 98115 USA; [Johnson, K. S.; Takeshita, Y.] Monterey Bay Aquarium Res Inst, Moss Landing, CA USA; [Sarmiento, J. L.; Gray, A. R.] Princeton Univ, Program Atmospher &amp; Ocean Sci, Princeton, NJ 08544 USA; [Talley, L. D.; Dickson, A. G.] Univ Calif San Diego, Scripps Inst Oceanog, La Jolla, CA 92093 USA; [Wanninkhof, R.] NOAA, Atlantic Oceanog &amp; Meteorol Lab, Miami, FL 33149 USA; [Russell, J. L.] Univ Arizona, Dept Geosci, Tucson, AZ 85721 USA; [Riser, S. C.] Univ Washington, Sch Oceanog, Seattle, WA 98195 USA</t>
  </si>
  <si>
    <t>Oregon State University; National Oceanic Atmospheric Admin (NOAA) - USA; Monterey Bay Aquarium Research Institute; Princeton University; National Oceanic Atmospheric Admin (NOAA) - USA; University of California System; University of California San Diego; Scripps Institution of Oceanography; National Oceanic Atmospheric Admin (NOAA) - USA; Atlantic Oceanographic &amp; Meteorological Laboratory (AOML); University of Arizona; University of Washington; University of Washington Seattle</t>
  </si>
  <si>
    <t>Williams, NL (corresponding author), Oregon State Univ, Coll Earth Ocean &amp; Atmospher Sci, Corvallis, OR 97331 USA.</t>
  </si>
  <si>
    <t>nancy.williams@oregonstate.edu</t>
  </si>
  <si>
    <t>Takeshita, Yuichiro/HNP-5848-2023; Williams, Nancy L./ABH-4755-2020; Feely, Richard A./ABI-5740-2020; Dickson, Andrew Gilmore/HPE-2168-2023; Johnson, Kenneth/F-9742-2011</t>
  </si>
  <si>
    <t>Williams, Nancy L./0000-0002-6541-9385; Gray, Alison/0000-0002-1644-7654; Dickson, Andrew/0000-0002-2947-2760; Johnson, Kenneth/0000-0001-5513-5584; Russell, Joellen/0000-0001-9937-6056; Talley, Lynne/0000-0003-1574-729X; Juranek, Laurie/0000-0002-4922-8263</t>
  </si>
  <si>
    <t>U.S. National Science Foundation's Southern Ocean Carbon and Climate Observations and Modeling (SOCCOM) project under the NSF [PLR-1425989]; NASA [NNX14AP49G]; U.S. Argo through NOAA/JISAO grant [NA17RJ1232]; Ocean Observations and Monitoring Division, Climate Program Office, National Oceanic and Atmospheric Administration, U.S. Department of Commerce; David and Lucile Packard Foundation; NOAA Climate and Global Change postdoctoral fellowship; ARCS Foundation Oregon Chapter; Directorate For Geosciences; Division Of Ocean Sciences [1436748] Funding Source: National Science Foundation; Directorate For Geosciences; Office of Polar Programs (OPP) [1246247] Funding Source: National Science Foundation; NASA [675912, NNX14AP49G] Funding Source: Federal RePORTER</t>
  </si>
  <si>
    <t>U.S. National Science Foundation's Southern Ocean Carbon and Climate Observations and Modeling (SOCCOM) project under the NSF(National Science Foundation (NSF)); NASA(National Aeronautics &amp; Space Administration (NASA)); U.S. Argo through NOAA/JISAO grant; Ocean Observations and Monitoring Division, Climate Program Office, National Oceanic and Atmospheric Administration, U.S. Department of Commerce; David and Lucile Packard Foundation(The David &amp; Lucile Packard Foundation); NOAA Climate and Global Change postdoctoral fellowship(National Oceanic Atmospheric Admin (NOAA) - USA); ARCS Foundation Oregon Chapter; Directorate For Geosciences; Division Of Ocean Sciences(National Science Foundation (NSF)NSF - Directorate for Geosciences (GEO)); Directorate For Geosciences; Office of Polar Programs (OPP)(National Science Foundation (NSF)NSF - Directorate for Geosciences (GEO)); NASA(National Aeronautics &amp; Space Administration (NASA))</t>
  </si>
  <si>
    <t>A snapshot of the quality controlled SOCCOM biogeochemical float data used in this study is available at http://doi.org/10.6075/J0QC01DJ. The float temperature and salinity data used in this project are available at http://doi.org/10.17882/42182 and were made freely available by the International Argo Program and the national programs that contribute to it. Other discrete and underway cruise data used in this study are available at https://cchdo.ucsd.edu and http://cdiac.ornl.gov/oceans. This work was sponsored by the U.S. National Science Foundation's Southern Ocean Carbon and Climate Observations and Modeling (SOCCOM) project under the NSF award PLR-1425989, supplemented by NASA (NNX14AP49G). Additionally, we acknowledge support from U.S. Argo through NOAA/JISAO grant NA17RJ1232 to the University of Washington. Logistical support for this project in Antarctic waters was provided by the U.S. National Science Foundation through the U.S. Antarctic Program and the U.S. GO-SHIP program, Australia's CSIRO, and Germany's Alfred Wegener Institute. Richard Feely was supported by the Ocean Observations and Monitoring Division, Climate Program Office, National Oceanic and Atmospheric Administration, U.S. Department of Commerce. Work done at Monterey Bay Aquarium Research Institute was supported by the David and Lucile Packard Foundation. Alison Gray was supported by a NOAA Climate and Global Change postdoctoral fellowship. Nancy Williams is also supported by the ARCS Foundation Oregon Chapter. We would like to thank J. Plant, A. Fassbender, and B. Carter for helpful discussions, and we gratefully acknowledge Are Olsen and an anonymous reviewer for insightful comments that have strengthened this manuscript. This is PMEL contribution number 4547.</t>
  </si>
  <si>
    <t>10.1002/2016GB005541</t>
  </si>
  <si>
    <t>WOS:000400695400009</t>
  </si>
  <si>
    <t>Natsuike, M; Oikawa, H; Matsuno, K; Yamaguchi, A; Imai, I</t>
  </si>
  <si>
    <t>Natsuike, Masafumi; Oikawa, Hiroshi; Matsuno, Kohei; Yamaguchi, Atsushi; Imai, Ichiro</t>
  </si>
  <si>
    <t>The physiological adaptations and toxin profiles of the toxic Alexandrium fundyense on the eastern Bering Sea and Chukchi Sea shelves</t>
  </si>
  <si>
    <t>HARMFUL ALGAE</t>
  </si>
  <si>
    <t>Alexandrium fundyense; Alexandrium tamarense (north American clade); Physiology; Chukchi Sea; Bering Sea; Cell growth; Cyst germination; Toxin profile; Water temperature; Salinity; Irradiance; Saxitoxin</t>
  </si>
  <si>
    <t>TAMARENSE DINOPHYCEAE; GONYAULAX-TAMARENSIS; PROTOGONYAULAX-TAMARENSIS; RESTING CYSTS; COMPLEX DINOPHYCEAE; SPECIES COMPLEX; COASTAL WATERS; NORTHERN JAPAN; GERMINATION; GROWTH</t>
  </si>
  <si>
    <t>Abundant cyst distributions of the toxic dinoflagellate Alexandrium fundyense (previous A. tamarense north American Glade) were recently observed on the north Chukchi Sea shelf and on the eastern Bering Sea shelf, suggesting that A. fundyense is both highly adapted to the local environments in the high latitude areas and might cause toxin contamination of plankton feeders. However, little is known about the physiological characteristics and toxin profiles of A. fundyense in these areas, which are characterized by low water temperatures, weak sunlight, and more or less permanent ice cover during winter. To clarify the physiological characteristics of A. fundyense, the effects of water temperature and light intensity on the vegetative growth and toxin profiles of this species were examined using A. fundyense strains isolated from one sediment sample collected from each area. Using the same sediments samples, seasonal changes of the cyst germination in different water temperatures were investigated. Vegetative cells grew at temperatures as low as 5 degrees C and survived at 1 degrees C under relatively low light intensity. They also grew at moderate water temperatures (10-15 degrees C). Their cysts could germinate at low temperatures (1 degrees C) and have an endogenous dormancy period from late summer to early spring, and warmer water temperatures (5-15 degrees C) increased germination success. These physiological characteristics suggest that A. fundyense in the Chukchi Sea and eastern Bering Sea is adapted to the environments of high latitude areas. In addition, the results suggest that in the study areas A. fundyense has the potential to germinate and grow when water temperatures increase. Cellular toxin amounts of A. fundyense strains from the eastern Bering Sea and Chukchi Sea were ranged from 7.2 to 38.2 fmol cell(-1). These toxin amounts are comparable with A. fundyense strains isolated from other areas where PSP toxin contamination of bivalves occurs. The dominant toxin of the strains isolated from the Chukchi Sea was saxitoxin, while mostA.fundyense strains from the eastern Bering Sea are dominated by the C2 toxin. Toxin profiles similar to those detected in Chukchi Sea have not been reported by any previous research. The dominance of a highly toxic PST variant in Chukchi A. fundyense suggests that presence of the species at low cell concentrations may cause toxin contamination of predators. This study revealed that abundant A. fundyense cysts deposited on the eastern Bering Sea and Chukchi Sea shelves potentially germinate and grow with PSP toxin contents in the local environments. In conclusion, a high risk of PSP occurrences exists on the eastern Bering Sea and Chukchi Sea shelves. (C) 2017 Elsevier B.V. All rights reserved.</t>
  </si>
  <si>
    <t>[Natsuike, Masafumi; Yamaguchi, Atsushi; Imai, Ichiro] Hokkaido Univ, Grad Sch Fisheries Sci, 3-1-1 Minato Cho, Hakodate, Hokkaido 0418611, Japan; [Natsuike, Masafumi] Tokyo Inst Technol, Sch Environm &amp; Soc, Meguro Ku, 2-12-1-M1-4 Ookayama, Tokyo 1528552, Japan; [Oikawa, Hiroshi] Natl Res Inst Fisheries Sci, 2-12-4 Fukuura, Kanazawa, Kanagawa 2368648, Japan; [Matsuno, Kohei] Australian Antarctic Div, 203 Channel Highway, Kingston, Tas 7050, Australia</t>
  </si>
  <si>
    <t>Hokkaido University; Tokyo Institute of Technology; Japan Fisheries Research &amp; Education Agency (FRA); Australian Antarctic Division</t>
  </si>
  <si>
    <t>Natsuike, M (corresponding author), Tokyo Inst Technol, Sch Environm &amp; Soc, Meguro Ku, 2-12-1-M1-4 Ookayama, Tokyo 1528552, Japan.</t>
  </si>
  <si>
    <t>natsuike.m.aa@m.titech.ac.jp</t>
  </si>
  <si>
    <t>Yamaguchi, Atsushi/A-8613-2012; Matsuno, Kohei/AAJ-6510-2021</t>
  </si>
  <si>
    <t>Yamaguchi, Atsushi/0000-0002-5646-3608; Matsuno, Kohei/0000-0001-9793-7622</t>
  </si>
  <si>
    <t>Japan Society for the Promotion of Science (JSPS) [24248032, 24110005]; GRENE Arctic Climate Change Research Project</t>
  </si>
  <si>
    <t>Japan Society for the Promotion of Science (JSPS)(Ministry of Education, Culture, Sports, Science and Technology, Japan (MEXT)Japan Society for the Promotion of Science); GRENE Arctic Climate Change Research Project</t>
  </si>
  <si>
    <t>We are grateful to the captains and crews of the R/V Mirai and T/S Oshoro-Maru for assistance of the field observations. Professor Y. Oshima of Tohoku University, Professor M. Asakawa of Hiroshima University, and the Food Safety and Consumer Affairs Bureau in the Ministry of Agriculture, Forestry and Fisheries of Japan kindly supplied the PSP toxin standards. We thank the anonymous reviewers for their fruitful comments. This study was supported by Grant-in-Aid for Scientific Research (A) 24248032, Grant-in-Aid for Scientific Research on Innovative Areas 24110005 from the Japan Society for the Promotion of Science (JSPS), and GRENE Arctic Climate Change Research Project.[SS]</t>
  </si>
  <si>
    <t>1568-9883</t>
  </si>
  <si>
    <t>1878-1470</t>
  </si>
  <si>
    <t>Harmful Algae</t>
  </si>
  <si>
    <t>10.1016/j.hal.2017.01.001</t>
  </si>
  <si>
    <t>ES9AU</t>
  </si>
  <si>
    <t>WOS:000399849100003</t>
  </si>
  <si>
    <t>Kong, WQ; Wu, JJ; Hu, ZJ; Anisetti, M; Damiani, E; Jeon, G</t>
  </si>
  <si>
    <t>Kong, Wanqiu; Wu, Jiaji; Hu, Zejun; Anisetti, Marco; Damiani, Ernesto; Jeon, Gwanggil</t>
  </si>
  <si>
    <t>Lossless compression for aurora spectral images using fast online bi-dimensional decorrelation method</t>
  </si>
  <si>
    <t>INFORMATION SCIENCES</t>
  </si>
  <si>
    <t>Lossless compression; Aurora spectral images; Online; Bi-dimensional decorrelation; Parallel</t>
  </si>
  <si>
    <t>HYPERSPECTRAL IMAGES; ALGORITHM; SCHEME; PPM</t>
  </si>
  <si>
    <t>In this paper, we propose a lossless compression method to resolve the limitations in the real-time transmission of aurora spectral images. This method bi-dimensionally decorrelates the spatial and spectral domains and effectively removes side information of recursively computed coefficients to achieve high quality rapid compression. Experiments on data sets captured from the Antarctic Zhongshan Station show that the proposed algorithm can meet real-time requirements by using parallel processing to achieve outstanding compression ratio performance with low computational complexity. (C) 2016 Elsevier Inc. All rights reserved.</t>
  </si>
  <si>
    <t>[Kong, Wanqiu; Wu, Jiaji; Jeon, Gwanggil] Xidian Univ, Sch Elect Engn, Xian, Shaanxi, Peoples R China; [Hu, Zejun] Polar Res Inst China, SOA Key Lab Polar Sci, Shanghai, Peoples R China; [Anisetti, Marco; Damiani, Ernesto] Univ Milan, Dipartimento Informat, Via Bramante 65, I-26013 Crema, CR, Italy; [Damiani, Ernesto] Khalifa Univ, Dept Elect &amp; Comp Engn, POB 127788, Abu Dhabi, U Arab Emirates; [Jeon, Gwanggil] Incheon Natl Univ, Dept Embedded Syst Engn, Incheon 22012, South Korea</t>
  </si>
  <si>
    <t>Xidian University; Polar Research Institute of China; University of Milan; Khalifa University of Science &amp; Technology; Incheon National University</t>
  </si>
  <si>
    <t>Wu, JJ; Jeon, G (corresponding author), Xidian Univ, Sch Elect Engn, Xian, Shaanxi, Peoples R China.;Jeon, G (corresponding author), Incheon Natl Univ, Dept Embedded Syst Engn, Incheon 22012, South Korea.</t>
  </si>
  <si>
    <t>wanqiukong@stu.xidian.edu.cn; wujj@mail.xidian.edu.cn; huzejun@pric.org.cn; marco.anisetti@unimi.it; ernesto.damiani@kustar.ac.ae; ggjeon@gmail.com</t>
  </si>
  <si>
    <t>Hu, Ze-Jun/X-8090-2019; damiani, ernesto/AAI-5709-2020; Anisetti, Marco/AAC-9656-2021; kong, wanqiu/E-4341-2016</t>
  </si>
  <si>
    <t>Hu, Ze-Jun/0000-0003-2448-2094; damiani, ernesto/0000-0002-9557-6496; Anisetti, Marco/0000-0002-5438-9467; kong, wanqiu/0000-0002-9814-2028</t>
  </si>
  <si>
    <t>National Natural Science Foundation of China [61377011, 41274164]; NRF of Korea [2015R1D1A1A01058171]; Chinese Meridian Project</t>
  </si>
  <si>
    <t>National Natural Science Foundation of China(National Natural Science Foundation of China (NSFC)); NRF of Korea; Chinese Meridian Project</t>
  </si>
  <si>
    <t>This work is supported by National Natural Science Foundation of China under 61377011 and 41274164, NRF of Korea under 2015R1D1A1A01058171, and the Chinese Meridian Project.</t>
  </si>
  <si>
    <t>0020-0255</t>
  </si>
  <si>
    <t>1872-6291</t>
  </si>
  <si>
    <t>INFORM SCIENCES</t>
  </si>
  <si>
    <t>Inf. Sci.</t>
  </si>
  <si>
    <t>10.1016/j.ins.2016.11.008</t>
  </si>
  <si>
    <t>Computer Science, Information Systems</t>
  </si>
  <si>
    <t>Computer Science</t>
  </si>
  <si>
    <t>EI8VJ</t>
  </si>
  <si>
    <t>WOS:000392786000003</t>
  </si>
  <si>
    <t>Song, JM; Hong, SK; An, YJ; Kang, MH; Hong, KH; Lee, YH; Cha, SS</t>
  </si>
  <si>
    <t>Song, Jung Min; Hong, Seung Kon; An, Young Jun; Kang, Mee Hye; Hong, Kwon Ho; Lee, Youn-Ho; Cha, Sun-Shin</t>
  </si>
  <si>
    <t>Genetic and Structural Characterization of a Thermo-Tolerant, Cold-Active, and Acidic Endo-β-1,4-glucanase from Antarctic Springtail, Cryptopygus antarcticus</t>
  </si>
  <si>
    <t>JOURNAL OF AGRICULTURAL AND FOOD CHEMISTRY</t>
  </si>
  <si>
    <t>cold-active cellulase; Cryptopygus antarcticus; endo-beta-1,4-glucanase; horizontal gene transfer; biochemical and structural features; biofuel production from seaweeds</t>
  </si>
  <si>
    <t>MELANOCARPUS-ALBOMYCES; FEEDING GUILDS; CELLULASE GENE; PURIFICATION; EXPRESSION; CLONING; ENDOGLUCANASE; EVOLUTION; FAMILY; SERVER</t>
  </si>
  <si>
    <t>The CaCel gene from Antarctic springtail Cryptopygus antarcticus codes for a cellulase belonging to the glycosyl hydrolase family 45 (GHF45). Phylogenetic, biochemical, and structural analyses revealed that the CaCel gene product (CaCel) is closely related to fungal GHF45 endo-,beta-1,4-glucanases. The organization of five introns within the open reading frame of the CaCel gene indicates its endogenous origin in the genome of the species, which suggests the horizontal transfer of the gene from fungi to the springtail. CaCel exhibited optimal activity at pH 3.5, retained 80% of its activity at 0-10 degrees C, and maintained a half-life of 4 h at 70 degrees C. Based on the structural comparison between CaCel and a fungal homologue, we deduced the structural basis for the unusual characteristics of CaCel. Under acidic conditions at 50 degrees C, CaCel was effective to digest the green algae (Viva pertusa), suggesting that it could be exploited for biofuel production from seaweeds.</t>
  </si>
  <si>
    <t>[Song, Jung Min; An, Young Jun; Kang, Mee Hye; Lee, Youn-Ho] Korea Inst Ocean Sci &amp; Technol, 787 Haean Ro, Ansan 426744, South Korea; [Hong, Seung Kon; Cha, Sun-Shin] Ewha Womans Univ, Dept Chem &amp; Nano Sci, Seoul 03760, South Korea; [Hong, Kwon Ho] Univ Minnesota, Inst Therapeut Discovery &amp; Dev, 717 Delaware St SE, Minneapolis, MN 55414 USA; [Lee, Youn-Ho] Univ Sci &amp; Technol, 217 Gajung Ro, Daejeon 305333, South Korea</t>
  </si>
  <si>
    <t>Korea Institute of Ocean Science &amp; Technology (KIOST); Ewha Womans University; University of Minnesota System; University of Minnesota Twin Cities; University of Science &amp; Technology (UST)</t>
  </si>
  <si>
    <t>Lee, YH (corresponding author), Korea Inst Ocean Sci &amp; Technol, 787 Haean Ro, Ansan 426744, South Korea.;Cha, SS (corresponding author), Ewha Womans Univ, Dept Chem &amp; Nano Sci, Seoul 03760, South Korea.;Lee, YH (corresponding author), Univ Sci &amp; Technol, 217 Gajung Ro, Daejeon 305333, South Korea.</t>
  </si>
  <si>
    <t>ylee@kiost.ac; chajung@ewha.ac.kr</t>
  </si>
  <si>
    <t>Shin, Sun/B-7370-2009</t>
  </si>
  <si>
    <t>Hong, Seung Kon/0000-0002-9470-5700; Cha, Sun-Shin/0000-0002-0913-8706</t>
  </si>
  <si>
    <t>KIOST in-house programs [PE99413, PE98933, PO00110]; National Research Foundation of Korea Grants [NRF-2015R1A2A2A01004168, NRF-2015M1A5A1037480]; Marine Biotechnology Program - Ministry of Oceans and Fisheries, Korea [PJT200620]</t>
  </si>
  <si>
    <t>KIOST in-house programs; National Research Foundation of Korea Grants(National Research Foundation of Korea); Marine Biotechnology Program - Ministry of Oceans and Fisheries, Korea</t>
  </si>
  <si>
    <t>This study was supported by the KIOST in-house programs (PE99413, PE98933, and PO00110), the National Research Foundation of Korea Grants (NRF-2015R1A2A2A01004168 and NRF-2015M1A5A1037480), and a grant from the Marine Biotechnology Program (PJT200620) funded by the Ministry of Oceans and Fisheries, Korea.</t>
  </si>
  <si>
    <t>0021-8561</t>
  </si>
  <si>
    <t>1520-5118</t>
  </si>
  <si>
    <t>J AGR FOOD CHEM</t>
  </si>
  <si>
    <t>J. Agric. Food Chem.</t>
  </si>
  <si>
    <t>10.1021/acs.jafc.6b05037</t>
  </si>
  <si>
    <t>EM7LP</t>
  </si>
  <si>
    <t>WOS:000395493500021</t>
  </si>
  <si>
    <t>Shimada, K; Aoki, S; Ohshima, KI</t>
  </si>
  <si>
    <t>Shimada, Keishi; Aoki, Shigeru; Ohshima, Kay I.</t>
  </si>
  <si>
    <t>Creation of a Gridded Dataset for the Southern Ocean with a Topographic Constraint Scheme</t>
  </si>
  <si>
    <t>ANTARCTIC BOTTOM WATER; SEA-LEVEL RISE; GLOBAL HEAT; INTERPOLATION; ABYSSAL; NETWORK; DESIGN</t>
  </si>
  <si>
    <t>This study investigated a method for creating a climatological dataset with improved reproducibility and reliability for the Southern Ocean. Despite sparse observational sampling, the Southern Ocean has a dominant physical characteristic of a strong topographic constraint formed under weak stratification and strong Coriolis effect. To increase the fidelity of gridded data, the topographic constraint is incorporated into the interpolation method, the weighting function of which includes a contribution from bottom depth differences and horizontal distances. Spatial variability of physical properties was also analyzed to estimate a realistic decorrelation scale for horizontal distance and bottom depth differences using hydrographic datasets. A new gridded dataset, the topographic constraint incorporated (TCI), was then developed for temperature, salinity, and dissolved oxygen, using the newly derived weighting function and decorrelation scales. The root-meansquare (RMS) of the difference between the interpolated values and the neighboring observed values (RMS difference) was compared among available gridded datasets. That the RMS differences are smaller for the TCI than for the previous datasets by 12%-21% and 8%-20% for potential temperature and salinity, respectively, demonstrates the effectiveness of incorporating the topographic constraint and realistic decorrelation scales. Furthermore, a comparison of decorrelation scales and an analysis of interpolation error suggests that the decorrelation scales adopted in previous gridded datasets are 2 times or more larger than realistic scales and that the overestimation would increase the interpolation error. The interpolation method proposed in this study can be applied to other high-latitude oceans, which are weakly stratified but undersampled.</t>
  </si>
  <si>
    <t>[Shimada, Keishi] Tokyo Univ Marine Sci &amp; Technol, Tokyo, Japan; [Aoki, Shigeru; Ohshima, Kay I.] Hokkaido Univ, Inst Low Temp Sci, Sapporo, Hokkaido 060, Japan</t>
  </si>
  <si>
    <t>Tokyo University of Marine Science &amp; Technology; Hokkaido University</t>
  </si>
  <si>
    <t>Shimada, K (corresponding author), Tokyo Univ Marine Sci &amp; Technol, Tokyo, Japan.</t>
  </si>
  <si>
    <t>kshima0@kaiyodai.ac.jp</t>
  </si>
  <si>
    <t>Ohshima, Kay I/D-6909-2012; Aoki, Shigeru/D-9105-2012</t>
  </si>
  <si>
    <t>Canon Foundation; Japanese Ministry of Education, Culture, Sports, Science and Technology [2541001, 20221001, 25281001]; Grants-in-Aid for Scientific Research [25281001, 25241001, 15H01726] Funding Source: KAKEN</t>
  </si>
  <si>
    <t>Canon Foundation(Canon Foundation); Japanese Ministry of Education, Culture, Sports, Science and Technology(Ministry of Education, Culture, Sports, Science and Technology, Japan (MEXT)); Grants-in-Aid for Scientific Research(Ministry of Education, Culture, Sports, Science and Technology, Japan (MEXT)Japan Society for the Promotion of ScienceGrants-in-Aid for Scientific Research (KAKENHI))</t>
  </si>
  <si>
    <t>We are grateful to the anonymous reviewers who have significantly improved the manuscript. This work was supported by the fund from the Canon Foundation and Grant-in-Aids for Scientific Research of the Japanese Ministry of Education, Culture, Sports, Science and Technology (2541001, 20221001, and 25281001).</t>
  </si>
  <si>
    <t>10.1175/JTECH-D-16-0075.1</t>
  </si>
  <si>
    <t>EP7UE</t>
  </si>
  <si>
    <t>WOS:000397581900004</t>
  </si>
  <si>
    <t>Blagoveshchenskaya, NF; Borisova, TD; Kalishin, AS; Yeoman, TK; Häggström, I</t>
  </si>
  <si>
    <t>Blagoveshchenskaya, N. F.; Borisova, T. D.; Kalishin, A. S.; Yeoman, T. K.; Haggstrom, I.</t>
  </si>
  <si>
    <t>First observations of electron gyro-harmonic effects under X-mode HF pumping the high latitude ionospheric F-region</t>
  </si>
  <si>
    <t>JOURNAL OF ATMOSPHERIC AND SOLAR-TERRESTRIAL PHYSICS</t>
  </si>
  <si>
    <t>Ionosphere (Active experiments); Radio Science (Nonlinear phenomena)</t>
  </si>
  <si>
    <t>STIMULATED ELECTROMAGNETIC EMISSIONS; LANGMUIR TURBULENCE; RADIO-WAVES; PARAMETRIC-INSTABILITIES; EISCAT RADARS; HEATER WAVE; TROMSO; FREQUENCY; PLASMA; CUTLASS</t>
  </si>
  <si>
    <t>We provide the first experimental evidence of the sensitivity of phenomena induced by extraordinary (X-mode) polarized HF high power radio waves to pump frequency stepping across the fifth electron gyro-harmonic (5fce) from below to above. The results were obtained at the EISCAT (European Incoherent Scatter Scientific Association) HF heater facility near Tromso under effective radiated powers of 456-715 MW, when the HF pump wave was transmitted into the magnetic zenith. We have analyzed the behavior and intensities of various spectral lines in the narrowband stimulated electromagnetic emission (SEE) spectra observed far from the heater, HF-enhanced plasma and ion lines (HFPL and HFIL) from EISCAT UHF incoherent scatter radar spectra, and artificial field-aligned irregularities from CUTLASS (Co-operative UK Twin Located Auroral Sounding System) observations, depending on the frequency offset of the pump field relative to the 5fce. At pump frequencies below 5fce the narrowband SEE spectra exhibited very intense so-called stimulated ion Bernstein scatter (SIBS), accompanied by other spectral components, associated with stimulated Brillouin scatter (SBS), which are greatly suppressed and disappeared in the vicinity of 5fce and did not reappear at f(H) &gt; 5fce. As the pump frequency reached 5fce, the abrupt enhancements of the HFPL and HFIL power, the appearance of cascade lines in the plasma line spectra, and the onset of increasing CUTLASS backscatter power occurred. That is opposite to the ordinary mode (O-mode) effects in the vicinity of 5fce. The X-mode pumping at frequencies below and in the vicinity of the fifth electron gyro-harmonic clearly demonstrated an ascending altitude of generation of induced plasma and ion lines from the initial interaction height, whereas for O-mode heating the region of interaction descended. The observations are consistent with the coexistence of the electron acceleration along and across the geomagnetic field at f(H) &lt; 5fce, while only very strong electron acceleration along the magnetic field was observed at f(H)&gt;= 5fce.</t>
  </si>
  <si>
    <t>[Blagoveshchenskaya, N. F.; Borisova, T. D.; Kalishin, A. S.] Arctic &amp; Antarctic Res Inst, Dept Geophys, 38 Bering Str, St Petersburg 199397, Russia; [Yeoman, T. K.] Univ Leicester, Dept Phys &amp; Astron, Leicester LE1 7RH, Leics, England; [Haggstrom, I.] EISCAT Sci Assoc, SE-96128 Kiruna, Sweden</t>
  </si>
  <si>
    <t>Arctic &amp; Antarctic Research Institute; University of Leicester</t>
  </si>
  <si>
    <t>Blagoveshchenskaya, NF (corresponding author), Arctic &amp; Antarctic Res Inst, Dept Geophys, 38 Bering Str, St Petersburg 199397, Russia.</t>
  </si>
  <si>
    <t>nataly@aari.nw.ru</t>
  </si>
  <si>
    <t>Blagoveshchenskaya, Nataly/AAE-4093-2022; Yeoman, Timothy k/L-9105-2014; Blagoveshchenskaya, Nataly F./S-4342-2017; Borisova, Tatiana/AAK-7698-2020</t>
  </si>
  <si>
    <t>Blagoveshchenskaya, Nataly/0000-0003-1752-3273; Yeoman, Timothy k/0000-0002-8434-4825; Blagoveshchenskaya, Nataly F./0000-0003-1752-3273; Borisova, Tatiana/0000-0003-1727-5310; Haggstrom, Ingemar/0000-0003-1070-6915; Kalishin, Alexey/0000-0001-7299-6546</t>
  </si>
  <si>
    <t>China (CRIRP); UK Science and Technology Facilities Council Grant [PP/E007929/1]; Finnish Meteorological Institute; Swedish Institute of Space Physics; UK NERC grant [NE/K011766/1]; Finland (SA); Japan (NIPR and STEL); Norway (NFR); Sweden (VR); NERC [eiscat01001, NE/K011766/1] Funding Source: UKRI; STFC [PP/E007929/1] Funding Source: UKRI; Natural Environment Research Council [NE/K011766/1, eiscat01001] Funding Source: researchfish; Science and Technology Facilities Council [PP/E007929/1] Funding Source: researchfish</t>
  </si>
  <si>
    <t>China (CRIRP); UK Science and Technology Facilities Council Grant; Finnish Meteorological Institute; Swedish Institute of Space Physics; UK NERC grant(UK Research &amp; Innovation (UKRI)Natural Environment Research Council (NERC)); Finland (SA); Japan (NIPR and STEL); Norway (NFR)(Research Council of Norway); Sweden (VR)(Swedish Research Council);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</si>
  <si>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EISCAT is an international scientific association supported by research organizations in China (CRIRP), Finland (SA), Japan (NIPR and STEL), Norway (NFR), Sweden (VR), and the United Kingdom (NERC). CUTLASS is supported by the UK Science and Technology Facilities Council Grant PP/E007929/1, the Finnish Meteorological Institute, and the Swedish Institute of Space Physics. TKY is supported by UK NERC grant NE/K011766/1. We thank Dr. M. Rietveld for help with EISCAT HF pumping experiments and calculations of the effective radiated power.</t>
  </si>
  <si>
    <t>1364-6826</t>
  </si>
  <si>
    <t>1879-1824</t>
  </si>
  <si>
    <t>J ATMOS SOL-TERR PHY</t>
  </si>
  <si>
    <t>J. Atmos. Sol.-Terr. Phys.</t>
  </si>
  <si>
    <t>10.1016/j.jastp.2017.02.003</t>
  </si>
  <si>
    <t>Geochemistry &amp; Geophysics; Meteorology &amp; Atmospheric Sciences</t>
  </si>
  <si>
    <t>EO8XH</t>
  </si>
  <si>
    <t>WOS:000396973300005</t>
  </si>
  <si>
    <t>Kam, H; Jee, G; Kim, Y; Ham, YB; Song, IS</t>
  </si>
  <si>
    <t>Kam, Hosik; Jee, Geonhwa; Kim, Yong; Ham, Young-bae; Song, In-Sun</t>
  </si>
  <si>
    <t>Statistical analysis of mesospheric gravity waves over King Sejong Station, Antarctica (62.2°S, 58.8°W)</t>
  </si>
  <si>
    <t>Gravity waves; Mesospheric airglow; All-sky images; Antarctica</t>
  </si>
  <si>
    <t>NEAR-INFRARED OH; MOMENTUM FLUX; NIGHTGLOW EMISSIONS; LOWER THERMOSPHERE; MIDDLE ATMOSPHERE; MESOPAUSE REGION; PROPAGATION; CAMPAIGN; AIRGLOW; MLS</t>
  </si>
  <si>
    <t>We have investigated the characteristics of mesospheric short period ( &lt; 1 h) gravity waves which were observed with all-sky images of OH Meinel band and OI 557 nm airglows over King Sejong Station (KSS) (62.22 degrees S, 58.78 degrees W) during a period of 2008-2015. By applying 2-dimensional FFT to time differenced images, we derived. horizontal wavelengths, phase speeds, and propagating directions (188 and 173 quasi-monochromatic waves from OH and OI airglow images, respectively). The majority of the observed waves propagated predominantly westward, implying that eastward waves were filtered out by strong eastward stratospheric winds. In order to obtain the intrinsic properties of the observed waves, we utilized winds simultaneously measured by KSS Meteor Radar and temperatures from Aura Microwave Limb Sounder (MLS). More than half the waves propagated horizontally, as waves were in Doppler duct or evanescent in the vertical direction. This might be due to strong eastward background wind field in the mesosphere over KSS. For freely propagating waves, the vertical wavelengths were in the interquartile range of 9-33 km with a median value of 15 km. The vertical wavelengths are shorter than those observed at Halley station (76 degrees S, 27 degrees W) where the majority of the observed waves were freely propagating. The difference in the wave propagating characteristics between KSS and Halley station suggests that gravity waves may affect mesospheric dynamics in this part of the Antarctic Peninsula more strongly than over the Antarctic continent. Furthermore, strong wind shear over KSS played an important role in changing the vertical wavenumbers as the waves propagated upward between two airglow layers (87 and 96 km).</t>
  </si>
  <si>
    <t>[Kam, Hosik; Kim, Yong] Chungnam Natl Univ, Dept Astron Space Sci &amp; Geol, Daejeon, South Korea; [Jee, Geonhwa; Ham, Young-bae; Song, In-Sun] Korea Polar Res Inst, Incheon, South Korea</t>
  </si>
  <si>
    <t>Chungnam National University; Korea Polar Research Institute (KOPRI)</t>
  </si>
  <si>
    <t>Kim, Y (corresponding author), Chungnam Natl Univ, Dept Astron Space Sci &amp; Geol, Daejeon, South Korea.</t>
  </si>
  <si>
    <t>Song, In-Sun/KCK-5485-2024</t>
  </si>
  <si>
    <t>Song, In-Sun/0000-0001-7211-6035; Kam, Hosik/0000-0002-3554-0053</t>
  </si>
  <si>
    <t>Korea Polar Research Institute [PE17020]</t>
  </si>
  <si>
    <t>Korea Polar Research Institute(Korea Polar Research Institute of Marine Research Placement (KOPRI))</t>
  </si>
  <si>
    <t>This work was supported by the Korea Polar Research Institute (PE17020). The authors acknowledge MLS data team for providing the temperature data through the website http://m1s.jpl.nasa.gov/ products/tempproduct.php.</t>
  </si>
  <si>
    <t>10.1016/j.jastp.2017.02.006</t>
  </si>
  <si>
    <t>WOS:000396973300010</t>
  </si>
  <si>
    <t>Comiso, JC; Gersten, RA; Stock, LV; Turner, J; Perez, GJ; Cho, K</t>
  </si>
  <si>
    <t>Comiso, Josefino C.; Gersten, Robert A.; Stock, Larry V.; Turner, John; Perez, Gay J.; Cho, Kohei</t>
  </si>
  <si>
    <t>Positive Trend in the Antarctic Sea Ice Cover and Associated Changes in Surface Temperature</t>
  </si>
  <si>
    <t>IN-SITU; VARIABILITY; EXTENT; RECORD</t>
  </si>
  <si>
    <t>The Antarctic sea ice extent has been slowly increasing contrary to expected trends due to global warming and results from coupled climate models. After a record high extent in 2012 the extent was even higher in 2014 when the magnitude exceeded 20 x 10(6) km(2) for the first time during the satellite era. The positive trend is confirmed with newly reprocessed sea ice data that addressed inconsistency issues in the time series. The variability in sea ice extent and ice area was studied alongside surface ice temperature for the 34-yr period starting in 1981, and the results of the analysis show a strong correlation of -0.94 during the growth season and -0.86 during the melt season. The correlation coefficients are even stronger with a one-month lag in surface temperature at -0.96 during the growth season and -0.98 during the melt season, suggesting that the trend in sea ice cover is strongly influenced by the trend in surface temperature. The correlation with atmospheric circulation as represented by the southern annular mode (SAM) index appears to be relatively weak. A case study comparing the record high in 2014 with a relatively low ice extent in 2015 also shows strong sensitivity to changes in surface temperature. The results suggest that the positive trend is a consequence of the spatial variability of global trends in surface temperature and that the ability of current climate models to forecast sea ice trend can be improved through better performance in reproducing observed surface temperatures in the Antarctic region.</t>
  </si>
  <si>
    <t>[Comiso, Josefino C.; Gersten, Robert A.; Stock, Larry V.; Perez, Gay J.] NASA, Goddard Space Flight Ctr, Cryospher Sci Lab, Greenbelt, MD 20771 USA; [Gersten, Robert A.] Wyle Sci Technol &amp; Engn, Houston, TX 77058 USA; [Stock, Larry V.] Stinger Graffarian Technol, Greenbelt, MD USA; [Turner, John] British Antarctic Survey, Cambridge, England; [Perez, Gay J.] Univ Philippines Diliman, Inst Environm Sci &amp; Meteorol, Quezon City 1101, Philippines; [Cho, Kohei] Tokai Univ, Tokyo, Japan</t>
  </si>
  <si>
    <t>National Aeronautics &amp; Space Administration (NASA); NASA Goddard Space Flight Center; Stinger Ghaffarian Technologies, Inc. (SGT); UK Research &amp; Innovation (UKRI); Natural Environment Research Council (NERC); NERC British Antarctic Survey; University of the Philippines System; University of the Philippines Diliman; Tokai University</t>
  </si>
  <si>
    <t>Comiso, JC (corresponding author), NASA, Goddard Space Flight Ctr, Cryospher Sci Lab, Greenbelt, MD 20771 USA.</t>
  </si>
  <si>
    <t>josefino.c.comiso@nasa.gov</t>
  </si>
  <si>
    <t>Cho, Kohei/ITU-2088-2023</t>
  </si>
  <si>
    <t>NASA Cryospheric Sciences Program [WBS444491.02.01.02.76]; Natural Environment Research Council [bas0100032] Funding Source: researchfish; NERC [bas0100032] Funding Source: UKRI</t>
  </si>
  <si>
    <t>NASA Cryospheric Sciences Program(National Aeronautics &amp; Space Administration (NASA)); Natural Environment Research Council(UK Research &amp; Innovation (UKRI)Natural Environment Research Council (NERC)); NERC(UK Research &amp; Innovation (UKRI)Natural Environment Research Council (NERC))</t>
  </si>
  <si>
    <t>We are grateful to the NASA Cryospheric Sciences Program for providing funding support for this project (Grant WBS444491.02.01.02.76). Sea ice brightness temperature data were provided by NSIDC while surface temperature data were provided by NOAA.</t>
  </si>
  <si>
    <t>10.1175/JCLI-D-16-0408.1</t>
  </si>
  <si>
    <t>WOS:000395765900022</t>
  </si>
  <si>
    <t>Martorell, MM; Pajot, HF; Ahmed, PM; de Figueroa, LIC</t>
  </si>
  <si>
    <t>Martorell, Maria M.; Pajot, Hipolito F.; Ahmed, Pablo M.; de Figueroa, Lucia I. C.</t>
  </si>
  <si>
    <t>Biodecoloration of Reactive Black 5 by the methylotrophic yeast Candida boidinii MM 4035</t>
  </si>
  <si>
    <t>JOURNAL OF ENVIRONMENTAL SCIENCES</t>
  </si>
  <si>
    <t>Biodecoloration; Dyes; Methylotrophic yeasts; Medium optimization</t>
  </si>
  <si>
    <t>AZO-DYE; MANGANESE PEROXIDASE; DECOLORIZATION; BIODEGRADATION; REDUCTION; ISOLATE; LACCASE; NOV.</t>
  </si>
  <si>
    <t>Azo dyes are extensively used in textile dyeing and other industries. Effluents of dying industries are specially colored and could cause severe damage to the environment. The anaerobic treatment of textile dying effluents is nowadays the preferred option, but it could generate carcinogenic aromatic amines. Recently, yeasts have become a promising alternative, combining unicellular growth with oxidative mechanisms. This work reports the characterization of the first methylotrophic yeast with dye decolorizing ability, Candida boidinii MM 4035 and some insights into its decoloration mechanism. The analysis of two selected media revealed a possible two stages mechanism of Reactive Black 5 decoloration. In glucose poor media, decoloration is incomplete and only the first stage proceeds, leading to the accumulation of a purple compound. In media with higher glucose concentrations, the yeast is able to decolorize totally an initial concentration of 200 mg/L. The entire process is co-metabolic, being largely dependent on glucose concentration but being able to proceed with several nitrogen sources. Manganese dependent peroxidase but not laccase activity could be detected during decoloration. Aromatic amines do not accumulate in culture media, supporting an oxidative decoloration mechanism of unknown ecophysiological relevance. (C) 2016 The Research Center for Eco-Environmental Sciences, Chinese Academy of Sciences. Published by Elsevier B.V.</t>
  </si>
  <si>
    <t>[Martorell, Maria M.] Antarctic Argentinian Inst, Balcarce 290, Buenos Aires, DF, Argentina; [Pajot, Hipolito F.; de Figueroa, Lucia I. C.] Consejo Nacl Invest Cient &amp; Tecn, PROIMI, San Miguel De Tucuman, Argentina; [Pajot, Hipolito F.] San Pablo Univ Tucuman, Dept Prod Qual 4, San Miguel De Tucuman, Argentina; [Ahmed, Pablo M.] Agroind Expt Stn Obispo Colombres, San Miguel De Tucuman, Argentina; [de Figueroa, Lucia I. C.] Natl Univ Tucuman, Fac Biochem Chem &amp; Pharm, Dept Super Microbiol, San Miguel De Tucuman, Argentina</t>
  </si>
  <si>
    <t>Consejo Nacional de Investigaciones Cientificas y Tecnicas (CONICET); Universidad Nacional de Tucuman; Universidad Nacional de Tucuman</t>
  </si>
  <si>
    <t>Martorell, MM (corresponding author), Antarctic Argentinian Inst, Balcarce 290, Buenos Aires, DF, Argentina.</t>
  </si>
  <si>
    <t>Ahmed, Pablo/0000-0003-1544-8740; Pajot, Hipolito/0000-0002-6259-8330</t>
  </si>
  <si>
    <t>National Agency of Scientific and Technological Promotion FONCYT [BID 1154]; National Scientific and Technical Research Council CONICET; Research Council from the National University of Tucuman [CIUNT PIUNT D-509]</t>
  </si>
  <si>
    <t>National Agency of Scientific and Technological Promotion FONCYT(ANPCyTFONCyT); National Scientific and Technical Research Council CONICET(Consejo Nacional de Investigaciones Cientificas y Tecnicas (CONICET)); Research Council from the National University of Tucuman</t>
  </si>
  <si>
    <t>This work was supported by the National Agency of Scientific and Technological Promotion FONCYT BID 1154, the National Scientific and Technical Research Council CONICET, for the scholarships, and Research Council from the National University of Tucuman, CIUNT PIUNT D-509.</t>
  </si>
  <si>
    <t>1001-0742</t>
  </si>
  <si>
    <t>1878-7320</t>
  </si>
  <si>
    <t>J ENVIRON SCI</t>
  </si>
  <si>
    <t>J. Environ. Sci.</t>
  </si>
  <si>
    <t>10.1016/j.jes.2016.01.033</t>
  </si>
  <si>
    <t>ES1ZV</t>
  </si>
  <si>
    <t>WOS:000399326400009</t>
  </si>
  <si>
    <t>Sakinan, S; Karahan, A; Ok, M</t>
  </si>
  <si>
    <t>Sakinan, S.; Karahan, A.; Ok, M.</t>
  </si>
  <si>
    <t>Integration of DNA barcoding for the initial recordings of Lessepsian fishes: a case study of the Indo-Pacific slender ponyfish Equulites elongatus</t>
  </si>
  <si>
    <t>JOURNAL OF FISH BIOLOGY</t>
  </si>
  <si>
    <t>coI; cytochrome oxidase; Mediterranean; meristics; morphology; Turkey</t>
  </si>
  <si>
    <t>1874 PERCIFORMES LEIOGNATHIDAE; 1ST RECORD; GUNTHER</t>
  </si>
  <si>
    <t>In this study, the DNA barcode of a regional Lessepsian sighting of the slender ponyfish Equulites elongatus is integrated with morphometric and meristic descriptors as a case study to address further identification problems in the Mediterranean Sea. The study also aims to contribute to the regional mitochondrial cytochrome oxidase I information pool, to support other potential uses. The initial sighting of E. elongatus from the north-eastern Mediterranean coast of Turkey is provided from a trawl survey on 3 June 2015, where 76 specimens were captured during a 15 min tow. (C) 2016 The Fisheries Society of the British Isles</t>
  </si>
  <si>
    <t>[Sakinan, S.; Karahan, A.; Ok, M.] Middle East Tech Univ, Inst Marine Sci, Dept Marine Biol &amp; Fisheries, Mersin, Turkey; [Ok, M.] British Antarctic Survey, Madingley Rd, Cambridge CB3 0ET, England</t>
  </si>
  <si>
    <t>Middle East Technical University; UK Research &amp; Innovation (UKRI); Natural Environment Research Council (NERC); NERC British Antarctic Survey</t>
  </si>
  <si>
    <t>Sakinan, S (corresponding author), Middle East Tech Univ, Inst Marine Sci, Dept Marine Biol &amp; Fisheries, Mersin, Turkey.</t>
  </si>
  <si>
    <t>serdar.sakinan@gmail.com</t>
  </si>
  <si>
    <t>Karahan, Arzu/J-5441-2019; OK, Meltem/V-7040-2018</t>
  </si>
  <si>
    <t>Karahan, Arzu/0000-0002-4096-9372; OK, Meltem/0000-0001-6897-9292; Sakinan, Serdar/0000-0002-5651-2836</t>
  </si>
  <si>
    <t>Middle East Technical University, State Planning Office [METU-BAP-2007-07-01-01]; Turkish Scientific and Technical Research Council (TUBITAK) [TOVAG-108O566]; NERC [bas0100035] Funding Source: UKRI; Natural Environment Research Council [bas0100035] Funding Source: researchfish</t>
  </si>
  <si>
    <t>Middle East Technical University, State Planning Office; Turkish Scientific and Technical Research Council (TUBITAK)(Turkiye Bilimsel ve Teknolojik Arastirma Kurumu (TUBITAK)); NERC(UK Research &amp; Innovation (UKRI)Natural Environment Research Council (NERC)); Natural Environment Research Council(UK Research &amp; Innovation (UKRI)Natural Environment Research Council (NERC))</t>
  </si>
  <si>
    <t>This study has been funded by the research projects of Middle East Technical University, State Planning Office (METU-BAP-2007-07-01-01) and of the Turkish Scientific and Technical Research Council (TUBITAK TOVAG-108O566). Genetic and Bioinformatics analyses have been done using DEKOSIM laboratory facilities. We thank project leader A. C. Gucu for his valuable support. We are indebted to technicians, the captain and crew of R.V. Lamas-1 for their technical support and help on-board. We are grateful to K. Ozhan and C. Bayindirli for their constructive comments on the manuscript. We are also thankful to A. Kideys for language corrections. We are grateful to anonymous reviewers and assistant editor P. Chakrabarty for the instructive and constructive comments.</t>
  </si>
  <si>
    <t>0022-1112</t>
  </si>
  <si>
    <t>1095-8649</t>
  </si>
  <si>
    <t>J FISH BIOL</t>
  </si>
  <si>
    <t>J. Fish Biol.</t>
  </si>
  <si>
    <t>10.1111/jfb.13207</t>
  </si>
  <si>
    <t>EQ4YP</t>
  </si>
  <si>
    <t>WOS:000398087800023</t>
  </si>
  <si>
    <t>Cao, B; Gruber, S; Zhang, TJ; Li, LL; Peng, XQ; Wang, K; Zheng, L; Shao, WW; Guo, H</t>
  </si>
  <si>
    <t>Cao, Bin; Gruber, Stephan; Zhang, Tingjun; Li, Lili; Peng, Xiaoqing; Wang, Kang; Zheng, Lei; Shao, Wanwan; Guo, Hong</t>
  </si>
  <si>
    <t>Spatial variability of active layer thickness detected by ground-penetrating radar in the Qilian Mountains, Western China</t>
  </si>
  <si>
    <t>active layer thickness; ground-penetrating radar; Qilian Mountains; Heihe River Basin; permafrost</t>
  </si>
  <si>
    <t>HEIHE RIVER-BASIN; THERMAL REGIME; UPPER REACH; PERMAFROST; CARBON; SOIL; CLIMATE; TEMPERATURE; DYNAMICS; NITROGEN</t>
  </si>
  <si>
    <t>The active layer plays a key role in geomorphic, hydrologic, and biogeochemical processes in permafrost regions. We conducted a systematic investigation of active layer thickness (ALT) in northeastern Qinghai-Tibetan Plateau by using ground-penetrating radar (GPR) with 100 and 200 MHz antennas. We used mechanical probing, pit, and soil temperature profiles for evaluating ALT derived from GPR. The results showed that GPR is competent for detecting ALT, and the error was +/- 0.08 m at common midpoint co-located sites. Considerable spatial variability of ALT owing to variation in elevation, peat thickness, and slope aspect was found. The mean ALT was 1.32 +/- 0.29 m with a range from 0.81 to 2.1 m in Eboling Mountain. In Yeniu Gou, mean ALT was 2.72 +/- 0.88 m and varied from 1.07m on the north-facing slope to 4.86 m around the area near the lower boundary of permafrost. ALT in peat decreased with increasing elevation at rates of -1.31 m/km (Eboling Mountain) and -2.1 m/km (Yeniu Gou), and in mineral soil in Yeniu Gou, the rate changed to -4.18 m/km. At the same elevation, ALT on the south-facing slope was about 0.8m thicker than that on the north-facing slopes, while the difference was only 0.18 m in peat-covered area. Within a 100 m(2) area with a local elevation difference of 0.8 m, ALT varied from 0.68 m to 1.25 m. Both field monitoring and modeling studies on spatial ALT variations require rethinking of the current strategy and comprehensive design.</t>
  </si>
  <si>
    <t>[Cao, Bin; Zhang, Tingjun; Li, Lili; Peng, Xiaoqing; Wang, Kang; Shao, Wanwan; Guo, Hong] Lanzhou Univ, Key Lab Western Chinas Environm Syst MOE, Coll Earth &amp; Environm Sci, Lanzhou, Peoples R China; [Cao, Bin; Gruber, Stephan] Carleton Univ, Dept Geog &amp; Environm Studies, Ottawa, ON, Canada; [Wang, Kang] Univ Colorado Boulder, Inst Arctic &amp; Alpine Res, Boulder, CO USA; [Zheng, Lei] Wuhan Univ, Chinese Antarctic Ctr Surveying &amp; Mapping, Wuhan, Peoples R China; [Shao, Wanwan] Chinese Univ Hong Kong, Earth Syst Sci Programme, Fac Sci, Hong Kong, Hong Kong, Peoples R China</t>
  </si>
  <si>
    <t>Lanzhou University; Carleton University; University of Colorado System; University of Colorado Boulder; Wuhan University; Chinese University of Hong Kong</t>
  </si>
  <si>
    <t>Zhang, TJ (corresponding author), Lanzhou Univ, Key Lab Western Chinas Environm Syst MOE, Coll Earth &amp; Environm Sci, Lanzhou, Peoples R China.</t>
  </si>
  <si>
    <t>caob08@lzu.edu.cn; tjzhang@lzu.edu.cn</t>
  </si>
  <si>
    <t>Zheng, Lei/AAU-3788-2020; peng, xiaoqing/ABE-1509-2021; ZHANG, TINGJUN/AAX-3662-2020; Cao, Bin/AAH-7172-2019; Wang, Kang/J-7351-2019; Gruber, Stephan/E-3884-2010</t>
  </si>
  <si>
    <t>peng, xiaoqing/0000-0002-1789-7809; Cao, Bin/0000-0003-2473-2276; Wang, Kang/0000-0003-3416-572X; ZHANG, Tingjun/0000-0001-6974-9501; Gruber, Stephan/0000-0002-1079-1542</t>
  </si>
  <si>
    <t>National Natural Science Foundation of China [91325202]; National Key Scientific Research Program of China [2013CBA01802]; Fundamental Research Funds for the Central Universities</t>
  </si>
  <si>
    <t>National Natural Science Foundation of China(National Natural Science Foundation of China (NSFC)); National Key Scientific Research Program of China; Fundamental Research Funds for the Central Universities(Fundamental Research Funds for the Central Universities)</t>
  </si>
  <si>
    <t>We would like to express our gratitude to the colleagues for their help with fieldwork and Alessio Gusmeroli from the University of Alaska Fairbanks for his helpful advice in GPR choice. Thanks for the valuable and constructive comments and suggestions from Gregory De Pascale and the anonymous reviewer. This study was supported by the National Natural Science Foundation of China (91325202), the National Key Scientific Research Program of China (2013CBA01802), and partly by the Fundamental Research Funds for the Central Universities. The Harmonized World Soil Database data set and Geomorphological Map of China data set are provided by the Environmental and Ecological Science Data Center for West China and the National Natural Science Foundation of China (http://westdc.westgis.ac.cn). All data and information applied in this paper are available from the authors upon request (caob08@lzu.edu.cn).</t>
  </si>
  <si>
    <t>10.1002/2016JF004018</t>
  </si>
  <si>
    <t>WOS:000399350400001</t>
  </si>
  <si>
    <t>Arndt, S; Meiners, KM; Ricker, R; Krumpen, T; Katlein, C; Nicolaus, M</t>
  </si>
  <si>
    <t>Arndt, Stefanie; Meiners, Klaus M.; Ricker, Robert; Krumpen, Thomas; Katlein, Christian; Nicolaus, Marcel</t>
  </si>
  <si>
    <t>Influence of snow depth and surface flooding on light transmission through Antarctic pack ice</t>
  </si>
  <si>
    <t>ARCTIC SEA-ICE; OPTICAL-PROPERTIES; WEDDELL SEA; ULTRAVIOLET ATTENUATION; PHYTOPLANKTON BLOOMS; SEASONAL CYCLE; VARIABILITY; THICKNESS; COVER; MELT</t>
  </si>
  <si>
    <t>Snow on sea ice alters the properties of the underlying ice cover as well as associated physical and biological processes at the interfaces between atmosphere, sea ice, and ocean. The Antarctic snow cover persists during most of the year and contributes significantly to the sea-ice mass due to the widespread surface flooding and related snow-ice formation. Snow also enhances the sea-ice surface reflectivity of incoming shortwave radiation and determines therefore the amount of light being reflected, absorbed, and transmitted to the upper ocean. Here, we present results of a case study of spectral solar radiation measurements under Antarctic pack ice with an instrumented Remotely Operated Vehicle in the Weddell Sea in 2013. In order to identify the key variables controlling the spatial distribution of the under-ice light regime, we exploit under-ice optical measurements in combination with simultaneous characterization of surface properties, such as sea-ice thickness and snow depth. Our results reveal that the distribution of flooded and nonflooded sea-ice areas dominates the spatial scales of under-ice light variability for areas smaller than 100 m-by-100 m. However, the heterogeneous and highly metamorphous snow on Antarctic pack ice obscures a direct correlation between the under-ice light field and snow depth. Compared to the Arctic, light levels under Antarctic pack ice are extremely low during spring (&lt;0.1%). This is mostly a result of the distinctly different dominant sea ice and snow properties with seasonal snow cover (including strong surface melt and summer melt ponds) in the Arctic and a year-round snow cover and widespread surface flooding in the Southern Ocean.</t>
  </si>
  <si>
    <t>[Arndt, Stefanie; Ricker, Robert; Krumpen, Thomas; Katlein, Christian; Nicolaus, Marcel] Alfred Wegener Inst, Helmholtz Zentrum Polar &amp; Meeresforsch, Bremerhaven, Germany; [Meiners, Klaus M.] Australian Antarctic Div, Environm &amp; Energy Dept, Kingston, Tas, Australia; [Meiners, Klaus M.] Univ Tasmania, Antarctic Climate &amp; Ecosyst Cooperat Res Ctr, Hobart, Tas, Australia; [Ricker, Robert] Univ Brest, CNRS, IFREMER, IRD,LOPS,IUEM, Brest, France</t>
  </si>
  <si>
    <t>Helmholtz Association; Alfred Wegener Institute, Helmholtz Centre for Polar &amp; Marine Research; Australian Antarctic Division; University of Tasmania; Antarctic Climate &amp; Ecosystems Cooperative Research Centre (ACE CRC); Ifremer; Institut de Recherche pour le Developpement (IRD); Universite de Bretagne Occidentale; Institut Universitaire Europeen de la Mer (IUEM); Centre National de la Recherche Scientifique (CNRS)</t>
  </si>
  <si>
    <t>Arndt, S (corresponding author), Alfred Wegener Inst, Helmholtz Zentrum Polar &amp; Meeresforsch, Bremerhaven, Germany.</t>
  </si>
  <si>
    <t>stefanie.arndt@awi.de</t>
  </si>
  <si>
    <t>Katlein, Christian/AAY-8731-2020; Arndt, Stefanie/AAA-6178-2021; Krumpen, Thomas/D-5163-2011; Ricker, Robert/Z-4214-2019; Nicolaus, Marcel/A-3658-2013</t>
  </si>
  <si>
    <t>Arndt, Stefanie/0000-0001-9782-3844; Krumpen, Thomas/0000-0001-6234-8756; Ricker, Robert/0000-0001-6928-7757; Nicolaus, Marcel/0000-0003-0903-1746; Katlein, Christian/0000-0003-2422-0414</t>
  </si>
  <si>
    <t>graduate school POLMAR; Helmholtz Alliance Remote Sensing and Earth System Dynamics [HA-310]; Alfred-Wegener-Institut Helmholtz-Zentrum fur Polar- und Meeresforschung; Australian Antarctic Science project [4073]; Australian Government's Cooperative Research Centres Programme through the Antarctic Climate and Ecosystems Cooperative Research Centre (ACE CRC)</t>
  </si>
  <si>
    <t>graduate school POLMAR; Helmholtz Alliance Remote Sensing and Earth System Dynamics; Alfred-Wegener-Institut Helmholtz-Zentrum fur Polar- und Meeresforschung; Australian Antarctic Science project; Australian Government's Cooperative Research Centres Programme through the Antarctic Climate and Ecosystems Cooperative Research Centre (ACE CRC)(Australian GovernmentDepartment of Industry, Innovation and ScienceCooperative Research Centres (CRC) Programme)</t>
  </si>
  <si>
    <t>We gratefully acknowledge the support of the cruise leader Bettina Meyer, all involved scientism and the captain and crew of RN Polarstern during expedition ANT-29/7 (P581) and our ice camp operations. We thank the Australian Antarctic Division's science technical support team for instrumenting, and the P581 ship-board Australian sea-ice team for their help in operating, the ROV. We thank Christian Haas for discussions and comments improving the manuscript. We thank the graduate school POLMAR for granting an outgoing scholarship, which supported the manuscript preparation and writing. This study was funded by the Helmholtz Alliance Remote Sensing and Earth System Dynamics (HA-310) and the Alfred-Wegener-Institut Helmholtz-Zentrum fur Polar- und Meeresforschung. This project was also supported by Australian Antarctic Science project 4073 and by the Australian Government's Cooperative Research Centres Programme through the Antarctic Climate and Ecosystems Cooperative Research Centre (ACE CRC). Optical, sea-ice thickness, and snow depth data are available at https://doi.pangaea.de/10.1594/PANGAEA.870706.</t>
  </si>
  <si>
    <t>10.1002/2016JC012325</t>
  </si>
  <si>
    <t>Green Published, hybrid, Green Accepted, Green Submitted</t>
  </si>
  <si>
    <t>WOS:000400678900026</t>
  </si>
  <si>
    <t>Granskog, MA; Rösel, A; Dodd, PA; Divine, D; Gerland, S; Martma, T; Leng, MJ</t>
  </si>
  <si>
    <t>Granskog, Mats A.; Rosel, Anja; Dodd, Paul A.; Divine, Dmitry; Gerland, Sebastian; Martma, Tonu; Leng, Melanie J.</t>
  </si>
  <si>
    <t>Snow contribution to first-year and second-year Arctic sea ice mass balance north of Svalbard</t>
  </si>
  <si>
    <t>WEDDELL SEA; ISOTOPIC CHARACTERISTICS; PHYSICAL-PROPERTIES; GROWTH-PROCESSES; METEORIC ICE; THICKNESS; BELLINGSHAUSEN; VARIABILITY; SALINITY; AMUNDSEN</t>
  </si>
  <si>
    <t>The salinity and water oxygen isotope composition (delta O-18) of 29 first-year (FYI) and second-year (SYI) Arctic sea ice cores (total length 32.0 m) from the drifting ice pack north of Svalbard were examined to quantify the contribution of snow to sea ice mass. Five cores (total length 6.4 m) were analyzed for their structural composition, showing variable contribution of 10-30% by granular ice. In these cores, snow had been entrained in 6-28% of the total ice thickness. We found evidence of snow contribution in about three quarters of the sea ice cores, when surface granular layers had very low delta O-18 values. Snow contributed 7.5-9.7% to sea ice mass balance on average (including also cores with no snow) based on delta O-18 mass balance calculations. In SYI cores, snow fraction by mass (12.7-16.3%) was much higher than in FYI cores (3.3-4.4%), while the bulk salinity of FYI (4.9) was distinctively higher than for SYI (2.7). We conclude that oxygen isotopes and salinity profiles can give information on the age of the ice and enables distinction between FYI and SYI (or older) ice in the area north of Svalbard. Plain Language Summary The role of snow in sea ice mass balance is largely two fold. Firstly, it can slow down growth and melt due to its high insulation and high reflectance, but secondly it can actually contribute to sea ice growth if the snow cover is turned into ice. The latter is largely a consequence of high mass of snow on top of sea ice that can push the surface of the sea ice below sea level and seawater can flood the ice. This mixture of seawater and snow can then freeze and add to the growth of sea ice. This is very typical in the Antarctic but not believed to be so important in the Arctic. In this work we show, for the first time, that snow actually contributes significantly to the growth of Arctic sea ice. This is likely a consequence of the thinning of the Arctic sea ice. The conditions in the Arctic, with thinner and more seasonal ice thus resemble the ice pack in the Antarctic. Studies on the role of snow in the Arctic are critical to be able to understand the ongoing changes of the Arctic sea ice pack.</t>
  </si>
  <si>
    <t>[Granskog, Mats A.; Rosel, Anja; Dodd, Paul A.; Divine, Dmitry; Gerland, Sebastian] Norwegian Polar Res Inst, Fram Ctr, Tromso, Norway; [Martma, Tonu] Tallinn Univ Technol, Dept Geol, Tallinn, Estonia; [Leng, Melanie J.] British Geol Survey, NERC Isotope Geosci Facil, Keyworth, Notts, England</t>
  </si>
  <si>
    <t>Norwegian Polar Institute; Tallinn University of Technology; UK Research &amp; Innovation (UKRI); Natural Environment Research Council (NERC); NERC British Geological Survey</t>
  </si>
  <si>
    <t>Granskog, MA (corresponding author), Norwegian Polar Res Inst, Fram Ctr, Tromso, Norway.</t>
  </si>
  <si>
    <t>mats.granskog@npolar.no</t>
  </si>
  <si>
    <t>; Martma, Tonu/B-7386-2019</t>
  </si>
  <si>
    <t>Granskog, Mats/0000-0002-5035-4347; Leng, Melanie/0000-0003-1115-5166; Martma, Tonu/0000-0001-5894-7692; Rosel, Anja/0000-0002-1802-1219</t>
  </si>
  <si>
    <t>Norwegian Polar Institute's Centre for Ice, Climate and Ecosystems (ICE) through the NICE project; Natural Environment Research Council [nigl010001] Funding Source: researchfish; NERC [nigl010001] Funding Source: UKRI</t>
  </si>
  <si>
    <t>Norwegian Polar Institute's Centre for Ice, Climate and Ecosystems (ICE) through the NICE project; Natural Environment Research Council(UK Research &amp; Innovation (UKRI)Natural Environment Research Council (NERC)); NERC(UK Research &amp; Innovation (UKRI)Natural Environment Research Council (NERC))</t>
  </si>
  <si>
    <t>We thank the captains and crew of RV Lance for their assistance during the NICE2015 campaign. Numerous colleagues assisted in the field with collection of seawater and snow samples and ice cores. We are grateful to Jakob Grahn, Hanna Kauko, Frederike Lommes, Ioanna Merkouriadi, Jean Negrel, Elina Nystedt, Lasse Mork Olsen, and Temesgen Gebrie Yitayew who assisted with ice core structural analyses, and many others who contributed to this as well. Special thanks to Marius Bratrein for keeping the microtome functional. Two anonymous reviewers provided constructive comments that helped to improve this manuscript. This work has been supported by the Norwegian Polar Institute's Centre for Ice, Climate and Ecosystems (ICE) through the NICE project. Data will be made available through the Norwegian Polar Data Centre (data.npolar.no).</t>
  </si>
  <si>
    <t>10.1002/2016JC012398</t>
  </si>
  <si>
    <t>WOS:000400678900048</t>
  </si>
  <si>
    <t>Hoggard, MJ; Winterbourne, J; Czarnota, K; White, N</t>
  </si>
  <si>
    <t>Hoggard, Mark J.; Winterbourne, Jeff; Czarnota, Karol; White, Nicky</t>
  </si>
  <si>
    <t>Oceanic residual depth measurements, the plate cooling model, and global dynamic topography</t>
  </si>
  <si>
    <t>JOURNAL OF GEOPHYSICAL RESEARCH-SOLID EARTH</t>
  </si>
  <si>
    <t>residual topography; dynamic topography; plate cooling; marine seismic surveys; oceanic crust; mantle convection</t>
  </si>
  <si>
    <t>SEISMIC-REFRACTION MEASUREMENTS; MID-ATLANTIC RIDGE; AUSTRALIAN-ANTARCTIC DISCORDANCE; SOUTHWEST INDIAN RIDGE; SEA-LEVEL FLUCTUATIONS; IBERIA ABYSSAL-PLAIN; UPPER-MANTLE BENEATH; KANE FRACTURE-ZONE; EAST PACIFIC RISE; GULF-OF-MEXICO</t>
  </si>
  <si>
    <t>Convective circulation of the mantle causes deflections of the Earth's surface that vary as a function of space and time. Accurate measurements of this dynamic topography are complicated by the need to isolate and remove other sources of elevation, arising from flexure and lithospheric isostasy. The complex architecture of continental lithosphere means that measurement of present-day dynamic topography is more straightforward in the oceanic realm. Here we present an updated methodology for calculating oceanic residual bathymetry, which is a proxy for dynamic topography. Corrections are applied that account for the effects of sedimentary loading and compaction, for anomalous crustal thickness variations, for subsidence of oceanic lithosphere as a function of age and for non-hydrostatic geoid height variations. Errors are formally propagated to estimate measurement uncertainties. We apply this methodology to a global database of 1936 seismic surveys located on oceanic crust and generate 2297 spot measurements of residual topography, including 1161 with crustal corrections. The resultant anomalies have amplitudes of 1km and wavelengths of approximate to 1000km. Spectral analysis of our database using cross-validation demonstrates that spherical harmonics up to and including degree 30 (i.e., wavelengths down to 1300km) are required to accurately represent these observations. Truncation of the expansion at a lower maximum degree erroneously increases the amplitude of inferred long-wavelength dynamic topography. There is a strong correlation between our observations and free-air gravity anomalies, magmatism, ridge seismicity, vertical motions of adjacent rifted margins, and global tomographic models. We infer that shorter wavelength components of the observed pattern of dynamic topography may be attributable to the presence of thermal anomalies within the shallow asthenospheric mantle.</t>
  </si>
  <si>
    <t>[Hoggard, Mark J.; White, Nicky] Bullard Labs, Dept Earth Sci, Cambridge, England; [Winterbourne, Jeff] BP Explorat Operating Co Ltd, Sunbury On Thames, Middx, England; [Czarnota, Karol] Geosci Australia, Canberra, ACT, Australia</t>
  </si>
  <si>
    <t>University of Cambridge; BP; Geoscience Australia</t>
  </si>
  <si>
    <t>Hoggard, MJ (corresponding author), Bullard Labs, Dept Earth Sci, Cambridge, England.</t>
  </si>
  <si>
    <t>mjh217@cam.ac.uk</t>
  </si>
  <si>
    <t>Hoggard, Mark/AAZ-6207-2021</t>
  </si>
  <si>
    <t>Hoggard, Mark/0000-0003-4310-3862; Winterbourne, Jeffrey/0000-0002-0062-2737</t>
  </si>
  <si>
    <t>BP-Cambridge collaboration</t>
  </si>
  <si>
    <t>This research is supported by a BP-Cambridge collaboration. We are grateful to D. Al-Attar, J. Austermann, A. Bump, R. Corfield, A. Crosby, M. Falder, I. Frame, D. Glassey, S. Ghelichkhan, T. Heyn, N. Hodgson, A. Jackson, S. Kisin, P. Koelemeijer, D. Lyness, L. Mackay, D. McKenzie, F. Richards, T. Sabato Ceraldi, E. Stirling, S. Stephenson, and M. Thompson for their help. We thank B. Horn and K. McDermott from ION Geophysical Corporation for permission to publish partial seismic reflection profiles shown in Figure 2 from their IndiaSPANTM, East AfricaSPAN (TM), PelotasSPAN (TM), GulfSPAN (TM), and Greater BrasilSPAN (TM) data sets. B. Steinberger and S. Zhong provided insightful reviews. Figures were prepared using Generic Mapping Tools version 5 [Wessel et al., 2013]. Routines from the SHTOOLS package were used in the spherical harmonic analysis. Residual depth measurements and seismic survey sources are in the supporting information and in the University of Cambridge online repository (https://doi.org/10.17863/CAM.8286). The authors declare no competing financial interests. Earth Sciences contribution esc.3794.</t>
  </si>
  <si>
    <t>2169-9313</t>
  </si>
  <si>
    <t>2169-9356</t>
  </si>
  <si>
    <t>J GEOPHYS RES-SOL EA</t>
  </si>
  <si>
    <t>J. Geophys. Res.-Solid Earth</t>
  </si>
  <si>
    <t>10.1002/2016JB013457</t>
  </si>
  <si>
    <t>ES6LV</t>
  </si>
  <si>
    <t>WOS:000399660300042</t>
  </si>
  <si>
    <t>Paxman, GJG; Jamieson, SSR; Ferraccioli, F; Bentley, MJ; Forsberg, R; Ross, N; Watts, AB; Corr, HFJ; Jordan, TA</t>
  </si>
  <si>
    <t>Paxman, Guy J. G.; Jamieson, Stewart S. R.; Ferraccioli, Fausto; Bentley, Michael J.; Forsberg, Rene; Ross, Neil; Watts, Anthony B.; Corr, Hugh F. J.; Jordan, Tom A.</t>
  </si>
  <si>
    <t>Uplift and tilting of the Shackleton Range in East Antarctica driven by glacial erosion and normal faulting</t>
  </si>
  <si>
    <t>bedrock topography; landscape evolution; paleotopography; erosion; flexure; East Antarctica</t>
  </si>
  <si>
    <t>EFFECTIVE ELASTIC THICKNESS; DRONNING MAUD LAND; ICE-SHEET; TRANSANTARCTIC MOUNTAINS; AEROGEOPHYSICAL DATA; WEDDELL SEA; SPATIAL VARIATIONS; GRAVITY-ANOMALIES; PACIFIC-OCEAN; EVOLUTION</t>
  </si>
  <si>
    <t>Unravelling the long-term evolution of the subglacial landscape of Antarctica is vital for understanding past ice sheet dynamics and stability, particularly in marine-based sectors of the ice sheet. Here we model the evolution of the bedrock topography beneath the Recovery catchment, a sector of the East Antarctic Ice Sheet characterized by fast-flowing ice streams that occupy overdeepened subglacial troughs. We use 3-D flexural models to quantify the effect of erosional unloading and mechanical unloading associated with motion on border faults in driving isostatic bedrock uplift of the Shackleton Range and Theron Mountains, which are flanked by the Recovery, Slessor, and Bailey ice streams. Inverse spectral (free-air admittance) and forward modeling of topography and gravity anomaly data allow us to constrain the effective elastic thickness of the lithosphere (T-e) in the Shackleton Range region to similar to 20km. Our models indicate that glacial erosion, and the associated isostatic rebound, has driven 40-50% of total peak uplift in the Shackleton Range and Theron Mountains. A further 40-50% can be attributed to motion on normal fault systems of inferred Jurassic and Cretaceous age. Our results indicate that the flexural effects of glacial erosion play a key role in mountain uplift along the East Antarctic margin, augmenting previous findings in the Transantarctic Mountains. The results suggest that at 34Ma, the mountains were lower and the bounding valley floors were close to sea level, which implies that the early ice sheet in this region may have been relatively stable.</t>
  </si>
  <si>
    <t>[Paxman, Guy J. G.; Jamieson, Stewart S. R.; Bentley, Michael J.] Univ Durham, Dept Geog, Durham, England; [Ferraccioli, Fausto; Corr, Hugh F. J.; Jordan, Tom A.] British Antarctic Survey, Cambridge, England; [Forsberg, Rene] Univ Denmark, Natl Space Inst, Lyngby, Denmark; [Ross, Neil] Newcastle Univ, Sch Geog Polit &amp; Sociol, Newcastle Upon Tyne, Tyne &amp; Wear, England; [Watts, Anthony B.] Univ Oxford, Dept Earth Sci, Oxford, England</t>
  </si>
  <si>
    <t>Durham University; UK Research &amp; Innovation (UKRI); Natural Environment Research Council (NERC); NERC British Antarctic Survey; Technical University of Denmark; Newcastle University - UK; University of Oxford</t>
  </si>
  <si>
    <t>Paxman, GJG (corresponding author), Univ Durham, Dept Geog, Durham, England.</t>
  </si>
  <si>
    <t>guy.j.paxman@durham.ac.uk</t>
  </si>
  <si>
    <t>Jamieson, Stewart S.R./B-8330-2013; Bentley, Michael J/F-7386-2011; Corr, Hugh/C-5398-2011</t>
  </si>
  <si>
    <t>Jamieson, Stewart S.R./0000-0002-9036-2317; Bentley, Michael J/0000-0002-2048-0019; Forsberg, Rene/0000-0002-7288-9545; Ferraccioli, Fausto/0000-0002-9347-4736; Paxman, Guy/0000-0003-1787-7442</t>
  </si>
  <si>
    <t>Natural Environment Research Council UK studentship [NE/L002590/1]; NERC [bas0100029, NE/K003674/1] Funding Source: UKRI; Natural Environment Research Council [1653418, bas0100029, NE/K003674/1] Funding Source: researchfish</t>
  </si>
  <si>
    <t>Natural Environment Research Council UK studentship(UK Research &amp; Innovation (UKRI)Natural Environment Research Council (NERC)); NERC(UK Research &amp; Innovation (UKRI)Natural Environment Research Council (NERC)); Natural Environment Research Council(UK Research &amp; Innovation (UKRI)Natural Environment Research Council (NERC))</t>
  </si>
  <si>
    <t>G.J.G.P. was supported by Natural Environment Research Council UK studentship NE/L002590/1. We thank Xiaoxia Huang and Karsten Gohl for providing their Weddell Sea isopach grids and some fruitful discussions and Nicole Krohne and Frank Lisker for sharing an early version of their thermochronology manuscript. We are grateful for the work carried out by the Institute for Geophysics, University of Texas, who planned and flew the ICEGRAV 2011 survey. Owen King is thanked for his work in picking the bed for the ICEGRAV 2013 survey. We also wish to thank Vincent Strak and an anonymous reviewer for their helpful and constructive comments. Operation IceBridge data products used in this study are available through the IceBridge data portal at the National Snow and Ice Data Center (http://nsdic.org/icebridge/portal/). Grids and figures were produced using the Generic Mapping Tools software package [Wessel et al., 2013].</t>
  </si>
  <si>
    <t>10.1002/2016JB013841</t>
  </si>
  <si>
    <t>WOS:000399660300044</t>
  </si>
  <si>
    <t>Riley, TR; Flowerdew, MJ; Pankhurst, RJ; Curtis, ML; Millar, IL; Fanning, CM; Whitehouse, MJ</t>
  </si>
  <si>
    <t>Riley, Teal R.; Flowerdew, Michael J.; Pankhurst, Robert J.; Curtis, Mike L.; Millar, Ian L.; Fanning, C. Mark; Whitehouse, Martin J.</t>
  </si>
  <si>
    <t>Early Jurassic magmatism on the Antarctic Peninsula and potential correlation with the Subcordilleran plutonic belt of Patagonia</t>
  </si>
  <si>
    <t>EASTERN PALMER LAND; BREAK-UP; WEST ANTARCTICA; GRAHAM LAND; SILICIC VOLCANISM; PACIFIC MARGIN; ELLSWORTH LAND; LATADY BASIN; GONDWANA; GEOCHRONOLOGY</t>
  </si>
  <si>
    <t>Early Jurassic silicic volcanic rocks of the Chon Aike Province (V1: 187 - 182 Ma) are recognized from many localities in the southern Antarctic Peninsula and NE Patagonia and are essentially coeval with the extensive Karoo (182 Ma) and Ferrar (183 Ma) large igneous provinces of pre-breakup Gondwana. Until recently, plutonic rocks of this age were considered either rare in or absent from the Antarctic Peninsula batholith, which was thought to have been mainly constructed during the Middle Jurassic and the mid-Cretaceous. New U-Pb zircon geochronology from the Antarctic Peninsula and recently published U-Pb ages from elsewhere in the Peninsula and Patagonia are used to demonstrate the more widespread nature of Early Jurassic plutonism. Eight samples are dated here from the central and southern Antarctic Peninsula. They are all moderately to strongly foliated granitoids (tonalite, granite, granodiorite) and locally represent the crystalline basement. They yield ages in the range 188 - 181 Ma, which overlap with published ages of 185 - 180 Ma from granitoids from elsewhere on the Antarctic Peninsula and from the Subcordilleran plutonic belt of Patagonia (185 - 181 Ma). Whereas Early Jurassic plutons of the Subcordilleran plutonic belt of Patagonia are directly related to subduction processes along the proto-Pacific margin of Gondwana, coeval volcanic rocks of the Chon Aike Province are interpreted to be directly associated with extension and plume activity during the initial stages of Gondwana breakup. This indicates that subduction was continuing when Chon Aike Province volcanism started. The Early Jurassic plutonism on the Antarctic Peninsula is transitional between subduction-related and breakup-related magmatism.</t>
  </si>
  <si>
    <t>[Riley, Teal R.; Flowerdew, Michael J.; Curtis, Mike L.] British Antarctic Survey, Madingley Rd, Cambridge CB3 0ET, England; [Flowerdew, Michael J.; Curtis, Mike L.] CASP, 181A Huntingdon Rd, Cambridge CB3 0DH, England; [Pankhurst, Robert J.; Millar, Ian L.] British Geol Survey, Nottingham NG12 5GG, England; [Fanning, C. Mark] Australian Natl Univ, Res Sch Earth Sci, Canberra, ACT 0200, Australia; [Whitehouse, Martin J.] Swedish Museum Nat Hist, Box 50007, SE-10405 Stockholm, Sweden</t>
  </si>
  <si>
    <t>UK Research &amp; Innovation (UKRI); Natural Environment Research Council (NERC); NERC British Antarctic Survey; University of Cambridge; UK Research &amp; Innovation (UKRI); Natural Environment Research Council (NERC); NERC British Geological Survey; Australian National University; Swedish Museum of Natural History</t>
  </si>
  <si>
    <t>Riley, TR (corresponding author), British Antarctic Survey, Madingley Rd, Cambridge CB3 0ET, England.</t>
  </si>
  <si>
    <t>trr@bas.ac.uk</t>
  </si>
  <si>
    <t>Fanning, C. Mark/I-6449-2016; Millar, Ian L/F-1541-2010; Whitehouse, Martin/E-1425-2013</t>
  </si>
  <si>
    <t>Riley, Teal/0000-0002-3333-5021; Flowerdew, Michael/0000-0002-9710-2593; Whitehouse, Martin/0000-0003-2227-577X</t>
  </si>
  <si>
    <t>Natural Environmental Research Council; NORDSIM [472]; Natural Environment Research Council [nigl010001, bas0100029] Funding Source: researchfish; NERC [bas0100029, nigl010001] Funding Source: UKRI</t>
  </si>
  <si>
    <t>Natural Environmental Research Council(UK Research &amp; Innovation (UKRI)Natural Environment Research Council (NERC)); NORDSIM; Natural Environment Research Council(UK Research &amp; Innovation (UKRI)Natural Environment Research Council (NERC)); NERC(UK Research &amp; Innovation (UKRI)Natural Environment Research Council (NERC))</t>
  </si>
  <si>
    <t>This study is part of the British Antarctic Survey Polar Science for Planet Earth programme, funded by the Natural Environmental Research Council. T. Watson, I. Rudkin and the air operations staff at Rothera Base are thanked for their field support. The paper has benefited from the thoughtful reviews of C. Rapela and two anonymous referees. K. Linden and L. Ilyinsky are thanked for their assistance at the NORDSIM facility. This is NORDSIM contribution number 472.</t>
  </si>
  <si>
    <t>10.1144/jgs2016-053</t>
  </si>
  <si>
    <t>EO6RW</t>
  </si>
  <si>
    <t>WOS:000396821200013</t>
  </si>
  <si>
    <t>Waluda, CM; Hill, SL; Peat, HJ; Trathan, PN</t>
  </si>
  <si>
    <t>Waluda, Claire M.; Hill, Simeon L.; Peat, Helen J.; Trathan, Philip N.</t>
  </si>
  <si>
    <t>Long-term variability in the diet and reproductive performance of penguins at Bird Island, South Georgia</t>
  </si>
  <si>
    <t>Gentoo penguin; Macaroni penguin; Diet; Krill; Fish; South Georgia; Ecosystem monitoring</t>
  </si>
  <si>
    <t>TROPHIC-LEVEL PREDATORS; ICEFISH CHAMPSOCEPHALUS-GUNNARI; SEALS ARCTOCEPHALUS-GAZELLA; KRILL EUPHAUSIA-SUPERBA; PYGOSCELIS-PAPUA; GENTOO PENGUINS; MACARONI PENGUINS; EUDYPTES-CHRYSOLOPHUS; FALKLAND ISLANDS; MARINE ECOSYSTEM</t>
  </si>
  <si>
    <t>Inter-annual variability in diet during crsche ( December to February) over 22 years ( 1989-2010) was examined for gentoo penguins Pygoscelis papua breeding at Bird Island, South Georgia ( 54 degrees 00 ' S, 38 degrees 03 degrees W). Overall, diets comprised 51% crustaceans and 49% fish by mass. Crustaceans were present in 89% of samples and were the main prey (&gt; 50% by mass) in 10 years of the study. Antarctic krill Euphausia superba were present in 85% of all diet samples. Fish were present in 79% of samples and were the main prey in 12 years, with Champsocephalus gunnari and Lepidonotothen larseni the most frequently recorded species, in 51 and 33% of samples, respectively. The energy or mass of krill in the diet was the most reliable predictor of breeding success (the number of chicks fledged per breeding pair); the correlation between model-predicted and observed values was 0.58. We compared annual patterns of gentoo penguin diet variability with those of macaroni penguins Eudyptes chrysolophus breeding at the same location. Our results suggest that the availability of krill is a key source of diet variability for both species, but their diets indicate that gentoo penguins are generalist predators (feeding on pelagic and bentho-pelagic prey), while macaroni penguins are krill specialists (feeding on pelagic prey). Differences in the response to variability in key prey species</t>
  </si>
  <si>
    <t>[Waluda, Claire M.; Hill, Simeon L.; Peat, Helen J.; Trathan, Philip N.] NERC, British Antarct Survey, High Cross,Madingley Rd, Cambridge CB3 0ET, England</t>
  </si>
  <si>
    <t>Waluda, CM (corresponding author), NERC, British Antarct Survey, High Cross,Madingley Rd, Cambridge CB3 0ET, England.</t>
  </si>
  <si>
    <t>clwa@bas.ac.uk</t>
  </si>
  <si>
    <t>Peat, Helen J/E-9666-2015; Simeon, Hill L/B-2307-2008</t>
  </si>
  <si>
    <t>Peat, Helen/0000-0003-2017-8597</t>
  </si>
  <si>
    <t>10.1007/s00227-016-3067-8</t>
  </si>
  <si>
    <t>EM2XY</t>
  </si>
  <si>
    <t>WOS:000395180300002</t>
  </si>
  <si>
    <t>Hedge, P; Molloy, F; Sweatman, H; Hayes, KR; Dambacher, JM; Chandler, J; Bax, N; Gooch, M; Anthony, K; Elliot, B</t>
  </si>
  <si>
    <t>Hedge, P.; Molloy, F.; Sweatman, H.; Hayes, K. R.; Dambacher, J. M.; Chandler, J.; Bax, N.; Gooch, M.; Anthony, K.; Elliot, B.</t>
  </si>
  <si>
    <t>An integrated monitoring framework for the Great Barrier Reef World Heritage Area</t>
  </si>
  <si>
    <t>Adaptive management; Environmental monitoring; Decision-making; Coral reef; Marine reserve</t>
  </si>
  <si>
    <t>ADAPTIVE MANAGEMENT; PROGRAM; CONSERVATION</t>
  </si>
  <si>
    <t>Monitoring provides important feedback on how social and environmental systems are tracking and whether or not human activities, including management activities, are having an impact. This paper describes an approach applied to develop an integrated monitoring framework to inform adaptive management of the Great Barrier Reef World Heritage Area, a complex, multi-jurisdictional, multi-sectoral marine system of international importance. It identifies the gaps and opportunities to integrate the existing long-term, short-term and compliance-related monitoring and reporting initiatives to provide the information for more effective and efficient (adaptive) management of the Great Barrier Reef World Heritage Area. And as importantly it aligns expectations among different agencies about how monitoring will inform management. Fifty two high priority values, processes and pressures for management were identified along with 65 existing monitoring programs. Developing the monitoring framework was useful in several ways. First it brought together scientists, policy- makers, managers, and other interested stakeholders with different agendas, philosophies and incentives and established a common purpose, lexicon and language for an integrated monitoring program. Second, it highlighted the importance and usefulness of qualitative conceptual models as a framework for focused discussion around a set of hypotheses with relevance for management. Third, the process started an important conversation about defining and setting a realistic number of monitoring priorities for management. Finally, it has provided direction for how to build on existing initiatives to develop an integrated monitoring program for a globally significant world heritage area.</t>
  </si>
  <si>
    <t>[Hedge, P.; Bax, N.] Univ Tasmania, Inst Marine &amp; Antarctic Studies, Private Bag 129, Hobart, Tas 7001, Australia; [Molloy, F.; Chandler, J.; Gooch, M.; Elliot, B.] Great Barrier Reef Marine Pk Author, POB 1379, Townsville, Qld 4810, Australia; [Sweatman, H.; Anthony, K.] Australian Inst Marine Sci, 1526 Cape Cleveland 4810, Townsville, Qld 4810, Australia; [Hayes, K. R.; Dambacher, J. M.] CSIRO Computat Informat, GPO Box 1538, Hobart, Tas 7001, Australia; [Bax, N.] CSIRO Oceans &amp; Atmosphere, GPO Box 1538, Hobart, Tas 7001, Australia; [Gooch, M.] James Cook Univ, Cairns Inst, POB 6811, Cairns, Qld 4870, Australia</t>
  </si>
  <si>
    <t>University of Tasmania; Australian Institute of Marine Science; Commonwealth Scientific &amp; Industrial Research Organisation (CSIRO); Commonwealth Scientific &amp; Industrial Research Organisation (CSIRO); James Cook University</t>
  </si>
  <si>
    <t>Hedge, P (corresponding author), Univ Tasmania, Inst Marine &amp; Antarctic Studies, Private Bag 129, Hobart, Tas 7001, Australia.</t>
  </si>
  <si>
    <t>paul.hedge@csiro.au</t>
  </si>
  <si>
    <t>Bax, Nicholas/A-2321-2012; Hayes, Keith/A-4550-2009</t>
  </si>
  <si>
    <t>Bax, Nicholas/0000-0002-9697-4963; Hayes, Keith/0000-0003-4094-3575; Gooch, Margaret/0000-0002-3788-0617; Hedge, Paul/0000-0002-2040-9618</t>
  </si>
  <si>
    <t>Australian Government's Sustainable Regional Development Program</t>
  </si>
  <si>
    <t>Australian Government's Sustainable Regional Development Program(Australian Government)</t>
  </si>
  <si>
    <t>This work was supported with funding from the Australian Government's Sustainable Regional Development Program to support the Great Barrier Reef comprehensive strategic assessment and long term plan for sustainable development.</t>
  </si>
  <si>
    <t>10.1016/j.marpol.2016.12.014</t>
  </si>
  <si>
    <t>WOS:000394557400011</t>
  </si>
  <si>
    <t>Baker, JM; Riester, CJ; Skinner, BM; Newell, AW; Swingley, WD; Madigan, MT; Jung, DO; Asao, M; Chen, M; Loughlin, PC; Pan, H; Lin, YK; Li, YQ; Shaw, J; Prado, M; Sherman, C; Tang, JKH; Blankenship, RE; Zhao, TT; Touchman, J; Sattley, WM</t>
  </si>
  <si>
    <t>Baker, Jennifer M.; Riester, Carli J.; Skinner, Blair M.; Newell, Austin W.; Swingley, Wesley D.; Madigan, Michael T.; Jung, Deborah O.; Asao, Marie; Chen, Min; Loughlin, Patrick C.; Pan, Hao; Lin, Yuankui; Li, Yaqiong; Shaw, Jacob; Prado, Mindy; Sherman, Chris; Tang, Joseph Kuo-Hsiang; Blankenship, Robert E.; Zhao, Tingting; Touchman, JeffreyW.; Sattley, W. Matthew</t>
  </si>
  <si>
    <t>Genome Sequence of Rhodoferax antarcticus ANT.BRT; A Psychrophilic Purple Nonsulfur Bacterium from an Antarctic Microbial Mat</t>
  </si>
  <si>
    <t>MICROORGANISMS</t>
  </si>
  <si>
    <t>purple anoxygenic phototroph; photosynthesis gene cluster; light-harvesting complex; psychrophile; Antarctica; Rhodoferax antarcticus; nitrogen fixation; nitrogenase</t>
  </si>
  <si>
    <t>NITROGEN-FIXATION; PROTEIN; LIGHT; MOLYBDENUM; CLUSTER; GENES; ADAPTATION; MEMBRANES; VANADIUM; COMPLEX</t>
  </si>
  <si>
    <t>Rhodoferax antarcticus is an Antarctic purple nonsulfur bacterium and the only characterized anoxygenic phototroph that grows best below 20 degrees C. We present here a high-quality draft genome of Rfx. antarcticus strain ANT.BRT, isolated from an Antarctic microbial mat. The circular chromosome (3.8 Mbp) of Rfx. antarcticus has a 59.1% guanine + cytosine (GC) content and contains 4036 open reading frames. In addition, the bacterium contains a sizable plasmid (198.6 kbp, 48.4% GC with 226 open reading frames) that comprises about 5% of the total genetic content. Surprisingly, genes encoding light-harvesting complexes 1 and 3 (LH1 and LH3), but not light-harvesting complex 2 (LH2), were identified in the photosynthesis gene cluster of the Rfx. antarcticus genome, a feature that is unique among purple phototrophs. Consistent with physiological studies that showed a strong capacity for nitrogen fixation in Rfx. antarcticus, a nitrogen fixation gene cluster encoding a molybdenum-type nitrogenase was present, but no alternative nitrogenases were identified despite the cold-active phenotype of this phototroph. Genes encoding two forms of ribulose 1,5-bisphosphate carboxylase/oxygenase were present in the Rfx. antarcticus genome, a feature that likely provides autotrophic flexibility under varying environmental conditions. Lastly, genes for assembly of both type IV pili and flagella are present, with the latter showing an unusual degree of clustering. This report represents the first genomic analysis of a psychrophilic anoxygenic phototroph and provides a glimpse of the genetic basis for maintaining a phototrophic lifestyle in a permanently cold, yet highly variable, environment.</t>
  </si>
  <si>
    <t>[Baker, Jennifer M.; Riester, Carli J.; Skinner, Blair M.; Newell, Austin W.; Sattley, W. Matthew] Indiana Wesleyan Univ, Div Nat Sci, Marion, IN 46953 USA; [Swingley, Wesley D.] Northern Illinois Univ, Dept Biol Sci, De Kalb, IL 60115 USA; [Madigan, Michael T.; Jung, Deborah O.] Southern Illinois Univ, Dept Microbiol, Carbondale, IL 62901 USA; [Asao, Marie] Ohio State Univ, Dept Microbiol, 484 W 12th Ave, Columbus, OH 43210 USA; [Chen, Min; Loughlin, Patrick C.; Pan, Hao; Lin, Yuankui; Li, Yaqiong] Univ Sydney, Sch Life &amp; Environm Sci, Sydney, NSW 2006, Australia; [Shaw, Jacob; Prado, Mindy; Sherman, Chris; Tang, Joseph Kuo-Hsiang; Blankenship, Robert E.] Washington Univ, Dept Biol, St Louis, MO 63130 USA; [Shaw, Jacob; Prado, Mindy; Sherman, Chris; Tang, Joseph Kuo-Hsiang; Blankenship, Robert E.] Washington Univ, Dept Chem, St Louis, MO 63130 USA; [Zhao, Tingting; Touchman, JeffreyW.] Arizona State Univ, Sch Life Sci, Tempe, AZ 85287 USA; [Tang, Joseph Kuo-Hsiang] WPAFB, Air Force Res Lab, Mat &amp; Mfg Directories, Wright Patterson AFB, OH 45433 USA; [Zhao, Tingting] PPD Pharmaceut, Austin, TX 78744 USA; [Touchman, JeffreyW.] Monsanto Co, Woodland, CA 95695 USA</t>
  </si>
  <si>
    <t>Northern Illinois University; Southern Illinois University System; Southern Illinois University; University System of Ohio; Ohio State University; University of Sydney; Washington University (WUSTL); Washington University (WUSTL); Arizona State University; Arizona State University-Tempe; United States Department of Defense; United States Air Force; US Air Force Research Laboratory; Monsanto</t>
  </si>
  <si>
    <t>Sattley, WM (corresponding author), Indiana Wesleyan Univ, Div Nat Sci, Marion, IN 46953 USA.</t>
  </si>
  <si>
    <t>jenn.baker@myemail.indwes.edu; carliriester@gmail.com; blair.skinner@myemail.indwes.edu; austinwayne.newell@gmail.com; wswingley@niu.edu; madigan@siu.edu; debjung@siu.edu; marie.asao@gmail.com; min.chen@sydney.edu.au; patftct@gmail.com; dylanwind@gmail.com; ylin2801@uni.sydney.edu.au; Yaqiong.li@sydney.edu.au; jacobsshaw@gmail.com; mcpty5@gmail.com; shermanc@wustl.edu; Joseph.Tang.ctr@us.af.mil; blankenship@wustl.edu; tgtg.zhao@gmail.com; jeffrey.touchman@monsanto.com; matthew.sattley@indwes.edu</t>
  </si>
  <si>
    <t>Baker, Jennifer/JEO-9532-2023; li, bo/JJC-2664-2023</t>
  </si>
  <si>
    <t>Baker, Jennifer/0000-0003-1363-1525; Chen, Min/0000-0001-8070-3248; Sattley, W. Matthew/0000-0001-6712-2836; Jung, Deborah/0000-0002-8307-8772; Touchman, Jeffrey/0000-0001-5947-1411</t>
  </si>
  <si>
    <t>U.S. National Science Foundation Phototrophic Prokaryotes Sequencing Project; NSF [0950550]; Hodson Summer Research Institute (Indiana Wesleyan University); Direct For Biological Sciences; Emerging Frontiers [0950550] Funding Source: National Science Foundation</t>
  </si>
  <si>
    <t>U.S. National Science Foundation Phototrophic Prokaryotes Sequencing Project; NSF(National Science Foundation (NSF)); Hodson Summer Research Institute (Indiana Wesleyan University); Direct For Biological Sciences; Emerging Frontiers(National Science Foundation (NSF)NSF - Directorate for Biological Sciences (BIO))</t>
  </si>
  <si>
    <t>This work was supported by the U.S. National Science Foundation Phototrophic Prokaryotes Sequencing Project as an award to J.W.T., R.E.B., and M.T.M. (Evolutionary Diversification of Photosynthesis and the Anoxygenic to Oxygenic Transition; NSF Grant #0950550). Additional support for participation of J.M.B., C.J.R., B.M.S., and W.M.S. in this research was provided by Hodson Summer Research Institute (Indiana Wesleyan University) grants to W.M.S. We thank Dr. Yih-Kuang Lu and Renxia Huang for excellent technical assistance and discussion during the genome sequencing, assembly, and annotation efforts. M.T.M. acknowledges Richard W. Castenholz for the sample of the Ross Island microbial mat from which Rfx. antarcticus strain ANT.BRT was isolated. W.M.S. and J.M.B. acknowledge Michelle Giglio, Suvarna Nadendla, James Matsumura, and Jain George at the Institute for Genomic Sciences, School of Medicine, University of Maryland for their invaluable assistance during the genome annotation and submission process.</t>
  </si>
  <si>
    <t>2076-2607</t>
  </si>
  <si>
    <t>Microorganisms</t>
  </si>
  <si>
    <t>10.3390/microorganisms5010008</t>
  </si>
  <si>
    <t>GS0AH</t>
  </si>
  <si>
    <t>WOS:000443143000007</t>
  </si>
  <si>
    <t>Qi, D; Chen, LQ; Chen, BS; Gao, ZY; Zhong, WL; Feely, RA; Anderson, LG; Sun, H; Chen, JF; Chen, M; Zhan, LY; Zhang, YH; Cai, WJ</t>
  </si>
  <si>
    <t>Qi, Di; Chen, Liqi; Chen, Baoshan; Gao, Zhongyong; Zhong, Wenli; Feely, Richard A.; Anderson, Leif G.; Sun, Heng; Chen, Jianfang; Chen, Min; Zhan, Liyang; Zhang, Yuanhui; Cai, Wei-Jun</t>
  </si>
  <si>
    <t>Increase in acidifying water in the western Arctic Ocean</t>
  </si>
  <si>
    <t>NATURE CLIMATE CHANGE</t>
  </si>
  <si>
    <t>CARBONIC-ACID; SEA-ICE; ACIDIFICATION; ATLANTIC; CO2; UNDERSATURATION; DISSOCIATION; CIRCULATION; SATURATION; CONSTANTS</t>
  </si>
  <si>
    <t>The up(t)ake of anthropogenic CO2 by the ocean decreases seawater pH and carbonate mineral aragonite saturation state (Omega(arag)), a process known as Ocean Acidification (OA). This can be detrimental to marine organisms and ecosystems(1,2). The Arctic Ocean is particularly sensitive to climate change(3) and aragonite is expected to become undersaturated (Omega(arag) &lt; 1) there sooner than in other oceans(4). However, the extent and expansion rate of OA in this region are still unknown. Here we show that, between the 1990s and 2010, low Omega(arag) waters have expanded northwards at least 5 degrees, to 85 degrees N, and deepened 100 m, to 250m depth. Data from trans-western Arctic Ocean cruises show that Omega(arag) &lt; 1 water has increased in the upper 250m from 5% to 31% of the total area north of 70 ffi N. Tracer data and model simulations suggest that increased Pacific Winter Water transport, driven by an anomalous circulation pattern and sea-ice retreat, is primarily responsible for the expansion, although local carbon recycling and anthropogenic CO2 uptake have also contributed. These results indicate more rapid acidification is occurring in the Arctic Ocean than the Pacific and Atlantic oceans(5-8), with the western Arctic Ocean the first open-ocean region with large-scale expansion of 'acidified' water directly observed in the upper water column.</t>
  </si>
  <si>
    <t>[Qi, Di; Chen, Liqi; Gao, Zhongyong; Sun, Heng; Zhan, Liyang; Zhang, Yuanhui] SOA, Inst Oceanog 3, Key Lab Global Change &amp; Marine Atmospher Chem, Xiamen 361005, Peoples R China; [Qi, Di; Chen, Min] Xiamen Univ, Coll Ocean &amp; Earth Sci, Xiamen 361005, Peoples R China; [Chen, Baoshan; Cai, Wei-Jun] Univ Delaware, Sch Marine Sci &amp; Policy, Newark, DE 19716 USA; [Chen, Baoshan; Cai, Wei-Jun] Univ Georgia, Dept Marine Sci, Athens, GA 30602 USA; [Zhong, Wenli] Ocean Univ China, Key Lab Phys Oceanog, Qingdao 266100, Peoples R China; [Feely, Richard A.] NOAA, Pacific Marine Environm Lab, 7600 Sand Point Way Ne, Seattle, WA 98115 USA; [Anderson, Leif G.] Univ Gothenburg, Dept Marine Sci, Box 461, S-40530 Gothenburg, Sweden; [Chen, Jianfang] SOA, Inst Oceanog 2, Hangzhou 310012, Zhejiang, Peoples R China</t>
  </si>
  <si>
    <t>Third Institute of Oceanography, Ministry of Natural Resources; Xiamen University; University of Delaware; University System of Georgia; University of Georgia; Ocean University of China; National Oceanic Atmospheric Admin (NOAA) - USA; University of Gothenburg</t>
  </si>
  <si>
    <t>Chen, LQ (corresponding author), SOA, Inst Oceanog 3, Key Lab Global Change &amp; Marine Atmospher Chem, Xiamen 361005, Peoples R China.;Cai, WJ (corresponding author), Univ Delaware, Sch Marine Sci &amp; Policy, Newark, DE 19716 USA.;Cai, WJ (corresponding author), Univ Georgia, Dept Marine Sci, Athens, GA 30602 USA.</t>
  </si>
  <si>
    <t>chenliqi@tio.org.cn; wcai@udel.edu</t>
  </si>
  <si>
    <t>ma, qiang/HCI-1013-2022; Chen, Min/B-7763-2012; Feely, Richard A./ABI-5740-2020; Cai, Wei-Jun/C-1361-2013; Chen, Baoshan/C-7284-2018</t>
  </si>
  <si>
    <t>Chen, Min/0000-0003-0369-694X; Cai, Wei-Jun/0000-0003-3606-8325; Chen, Baoshan/0000-0002-7001-215X; Zhong, Wenli/0000-0002-1571-9902</t>
  </si>
  <si>
    <t>National Natural Science Foundation of China [41230529, 41476172, 41476173, 41406221]; Chinese Projects for Investigations and Assessments of the Arctic and Antarctic (CHINARE) [01-04, 02-01, 03-04, 04-04, 04-03]; Chinese International Cooperation Projects [2015DFG22010, IC201513]; NSF [ARC-0909330, PLR-1304337]; NOAA [NA09OAR4310078]; Office of Polar Programs (OPP); Directorate For Geosciences [1304337] Funding Source: National Science Foundation</t>
  </si>
  <si>
    <t>National Natural Science Foundation of China(National Natural Science Foundation of China (NSFC)); Chinese Projects for Investigations and Assessments of the Arctic and Antarctic (CHINARE); Chinese International Cooperation Projects; NSF(National Science Foundation (NSF)); NOAA(National Oceanic Atmospheric Admin (NOAA) - USA); Office of Polar Programs (OPP); Directorate For Geosciences(National Science Foundation (NSF)NSF - Directorate for Geosciences (GEO))</t>
  </si>
  <si>
    <t>This work was supported by the National Natural Science Foundation of China (41230529, 41476172, 41476173 and 41406221), Chinese Projects for Investigations and Assessments of the Arctic and Antarctic (CHINARE2012-2016 for 01-04, 02-01, 03-04, 04-04 and 04-03), and Chinese International Cooperation Projects (2015DFG22010, IC201513). The University of Delaware group (formerly at the University of Georgia) was supported by NSF (ARC-0909330 and PLR-1304337) and NOAA (NA09OAR4310078). We thank R. Wanninkhof and Y. Wang for their contributions to the programme and P. Yager for providing CO2 data of SHEBA 1998. This is PMEL contribution number: 4542.</t>
  </si>
  <si>
    <t>1758-678X</t>
  </si>
  <si>
    <t>1758-6798</t>
  </si>
  <si>
    <t>NAT CLIM CHANGE</t>
  </si>
  <si>
    <t>Nat. Clim. Chang.</t>
  </si>
  <si>
    <t>10.1038/NCLIMATE3228</t>
  </si>
  <si>
    <t>Environmental Sciences; Environmental Studies; Meteorology &amp; Atmospheric Sciences</t>
  </si>
  <si>
    <t>EN9WD</t>
  </si>
  <si>
    <t>WOS:000396349400014</t>
  </si>
  <si>
    <t>Elsworth, G; Galbraith, E; Halverson, G; Yang, SM</t>
  </si>
  <si>
    <t>Elsworth, Genevieve; Galbraith, Eric; Halverson, Galen; Yang, Simon</t>
  </si>
  <si>
    <t>Enhanced weathering and CO2 drawdown caused by latest Eocene strengthening of the Atlantic meridional overturning circulation</t>
  </si>
  <si>
    <t>OLIGOCENE TRANSITION; ANTARCTIC GLACIATION; SURFACE-TEMPERATURE; CLIMATE TRANSITION; ATMOSPHERIC CO2; CARBON-DIOXIDE; OCEAN; CYCLE; SEA; PRODUCTIVITY</t>
  </si>
  <si>
    <t>On timescales significantly greater than 105 years, atmospheric p(CO2) is controlled by the rate of mantle outgassing relative to the set-point of the silicate weathering feedback. The weathering set-point has been shown to depend on the distribution and characteristics of rocks exposed at the Earth's surface, vegetation types and topography. Here we argue that large-scale climate impacts caused by changes in ocean circulation can also modify the weathering set-point and show evidence suggesting that this played a role in the establishment of the Antarctic ice sheet at the Eocene-Oligocene boundary. In our simulations, tectonic deepening of the Drake Passage causes freshening and stratification of the Southern Ocean, strengthening the Atlantic meridional overturning circulation and consequently raising temperatures and intensifying rainfall over land. These simulated changes are consistent with late Eocene tectonic reconstructions that show Drake Passage deepening, and with sediment records that reveal Southern Ocean stratification, the emergence of North Atlantic Deep Water, and a hemispherically asymmetric temperature change. These factors would have driven intensified silicate weathering and can thereby explain the drawdown of carbon dioxide that has been linked with Antarctic ice sheet growth. We suggest that this mechanism illustrates another way in which ocean-atmosphere climate dynamics can introduce nonlinear threshold behaviour through interaction with the geologic carbon cycle.</t>
  </si>
  <si>
    <t>[Elsworth, Genevieve; Galbraith, Eric; Halverson, Galen] McGill Univ, Dept Earth &amp; Planetary Sci, 3450 Univ St, Montreal, PQ H3A 0E8, Canada; [Galbraith, Eric] ICREA, Barcelona 08010, Spain; [Galbraith, Eric] Univ Autonoma Barcelona, ICTA, E-08193 Barcelona, Spain; [Galbraith, Eric] Univ Autonoma Barcelona, Dept Math, E-08193 Barcelona, Spain; [Yang, Simon] Swiss Fed Inst Technol, Dept Environm Syst Sci, Univ Str 16, CH-8092 Zurich, Switzerland</t>
  </si>
  <si>
    <t>McGill University; ICREA; Autonomous University of Barcelona; Autonomous University of Barcelona; Swiss Federal Institutes of Technology Domain; ETH Zurich</t>
  </si>
  <si>
    <t>Elsworth, G (corresponding author), McGill Univ, Dept Earth &amp; Planetary Sci, 3450 Univ St, Montreal, PQ H3A 0E8, Canada.</t>
  </si>
  <si>
    <t>genevieve.elsworth@gmail.com</t>
  </si>
  <si>
    <t>; Galbraith, Eric/F-9469-2014</t>
  </si>
  <si>
    <t>Yang, Simon/0000-0002-0720-9849; Halverson, Galen/0000-0003-3061-7928; Galbraith, Eric/0000-0003-4476-4232</t>
  </si>
  <si>
    <t>Canadian Institute for Advanced Research (CIFAR); Spanish Ministry of Economy and Competitiveness, through the Maria de Maeztu Programme for Units of Excellence in RD [MDM-2015-0552]; NSERC; ICREA Funding Source: Custom</t>
  </si>
  <si>
    <t>Canadian Institute for Advanced Research (CIFAR)(Canadian Institute for Advanced Research (CIFAR)); Spanish Ministry of Economy and Competitiveness, through the Maria de Maeztu Programme for Units of Excellence in RD; NSERC(Natural Sciences and Engineering Research Council of Canada (NSERC)); ICREA(ICREA)</t>
  </si>
  <si>
    <t>We thank J. Higgins for insightful discussions, and for inspiring us to consider the role of silicate weathering. Computational resources were provided by the Canadian Foundation for Innovation (CFI) and Compute Canada, through a resource allocation to E.G. Simulations were integrated on the Scinet general purpose cluster at the University of Toronto. The Canadian Institute for Advanced Research (CIFAR) and the Spanish Ministry of Economy and Competitiveness, through the Maria de Maeztu Programme for Units of Excellence in R&amp;D (MDM-2015-0552), supported involvement of E.G. and an NSERC Discovery grant supported involvement of G.H.</t>
  </si>
  <si>
    <t>10.1038/NGEO2888</t>
  </si>
  <si>
    <t>WOS:000395791400014</t>
  </si>
  <si>
    <t>Dausmann, V; Frank, M; Gutjahr, M; Rickli, J</t>
  </si>
  <si>
    <t>Dausmann, Veit; Frank, Martin; Gutjahr, Marcus; Rickli, Jorg</t>
  </si>
  <si>
    <t>Glacial reduction of AMOC strength and long-term transition in weathering inputs into the Southern Ocean since the mid-Miocene: Evidence from radiogenic Nd and Hf isotopes</t>
  </si>
  <si>
    <t>MERIDIONAL OVERTURNING CIRCULATION; CENTRAL PACIFIC SEAWATER; DEEP-WATER CIRCULATION; NORTH-ATLANTIC; CLIMATE-CHANGE; THERMOHALINE CIRCULATION; FERROMANGANESE CRUSTS; TERRIGENOUS SEDIMENT; NEODYMIUM ISOTOPES; MARINE-SEDIMENTS</t>
  </si>
  <si>
    <t>Combined seawater radiogenic hafnium (Hf) and neodymium (Nd) isotope compositions were extracted from bulk sediment leachates and foraminifera of Site 1088, Ocean Drilling Program Leg 177, 2082m water depth on the Agulhas Ridge. The new data provide a continuous reconstruction of long- and short-term changes in ocean circulation and continental weathering inputs since the mid-Miocene. Due to its intermediate water depth, the sediments of this core sensitively recorded changes in admixture of North Atlantic Deep Water to the Antarctic Circumpolar Current as a function of the strength of the Atlantic Meridional Overturning Circulation (AMOC). Nd isotope compositions (epsilon(Nd)) range from -7 to -11 with glacial values generally 1 to 3 units more radiogenic than during the interglacials of the Quaternary. The data reveal episodes of significantly increased AMOC strength during late Miocene and Pliocene warm periods, whereas peak radiogenic epsilon(Nd) values mark a strongly diminished AMOC during the major intensification of Northern Hemisphere Glaciation near 2.8Ma and in the Pleistocene after 1.5Ma. In contrast, the Hf isotope compositions (epsilon(Hf)) show an essentially continuous evolution from highly radiogenic values of up to +11 during the Miocene to less radiogenic present-day values (+2 to +4) during the late Quaternary. The data document a long-term transition in dominant weathering inputs, where inputs from South America are replaced by those from Southern Africa. Moreover, radiogenic peaks provide evidence for the supply of radiogenic Hf originating from Patagonian rocks to the Atlantic sector of the Southern Ocean via dust inputs.</t>
  </si>
  <si>
    <t>[Dausmann, Veit; Frank, Martin; Gutjahr, Marcus] GEOMAR Helmholtz Ctr Ocean Res Kiel, Kiel, Germany; [Rickli, Jorg] Swiss Fed Inst Technol, Inst Geochem &amp; Petrol, Dept Earth Sci, Zurich, Switzerland</t>
  </si>
  <si>
    <t>Helmholtz Association; GEOMAR Helmholtz Center for Ocean Research Kiel; Swiss Federal Institutes of Technology Domain; ETH Zurich</t>
  </si>
  <si>
    <t>Dausmann, V (corresponding author), GEOMAR Helmholtz Ctr Ocean Res Kiel, Kiel, Germany.</t>
  </si>
  <si>
    <t>vdausmann@geomar.de</t>
  </si>
  <si>
    <t>Gutjahr, Marcus/L-9158-2013; Gutjahr, Marcus/ABC-2674-2020; Dausmann, Veit/KCX-6255-2024</t>
  </si>
  <si>
    <t>Gutjahr, Marcus/0000-0003-2556-2619; Gutjahr, Marcus/0000-0003-2556-2619; Dausmann, Veit/0000-0003-3281-9208; Frank, Martin/0000-0002-8606-4421; Rickli, Jorg/0000-0001-8186-2750</t>
  </si>
  <si>
    <t>10.1002/2016PA003056</t>
  </si>
  <si>
    <t>WOS:000399449100003</t>
  </si>
  <si>
    <t>Chown, SL; Brooks, CM; Terauds, A; Le Bohec, C; van Klaveren-Impagliazzo, C; Whittington, JD; Butchart, SHM; Coetzee, BWT; Collen, B; Convey, P; Gaston, KJ; Gilbert, N; Gill, M; Höft, R; Johnston, S; Kennicutt, MC; Kriesell, HJ; Le Maho, Y; Lynch, HJ; Palomares, M; Puig-Marcó, R; Stoett, P; McGeoch, MA</t>
  </si>
  <si>
    <t>Chown, Steven L.; Brooks, Cassandra M.; Terauds, Aleks; Le Bohec, Celine; van Klaveren-Impagliazzo, Celine; Whittington, Jason D.; Butchart, Stuart H. M.; Coetzee, Bernard W. T.; Collen, Ben; Convey, Peter; Gaston, Kevin J.; Gilbert, Neil; Gill, Mike; Hoft, Robert; Johnston, Sam; Kennicutt, Mahlon C., II; Kriesell, Hannah J.; Le Maho, Yvon; Lynch, Heather J.; Palomares, Maria; Puig-Marco, Roser; Stoett, Peter; McGeoch, Melodie A.</t>
  </si>
  <si>
    <t>Antarctica and the strategic plan for biodiversity</t>
  </si>
  <si>
    <t>PLOS BIOLOGY</t>
  </si>
  <si>
    <t>EXPERT KNOWLEDGE; MANAGEMENT; APPROPRIATE; SEA</t>
  </si>
  <si>
    <t>The Strategic Plan for Biodiversity, adopted under the auspices of the Convention on Biological Diversity, provides the basis for taking effective action to curb biodiversity loss across the planet by 2020 an urgent imperative. Yet, Antarctica and the Southern Ocean, which encompass 10% of the planet's surface, are excluded from assessments of progress against the Strategic Plan. The situation is a lost opportunity for biodiversity conservation globally. We provide such an assessment. Our evidence suggests, surprisingly, that for a region so remote and apparently pristine as the Antarctic, the biodiversity outlook is similar to that for the rest of the planet. Promisingly, however, much scope for remedial action exists.</t>
  </si>
  <si>
    <t>[Chown, Steven L.; Coetzee, Bernard W. T.; McGeoch, Melodie A.] Monash Univ, Sch Biol Sci, Melbourne, Vic, Australia; [Brooks, Cassandra M.] Stanford Univ, Sch Earth Energy &amp; Environm Sci, Stanford, CA 94305 USA; [Terauds, Aleks] Environm &amp; Energy Dept, Australian Antarctic Div, Kingston, Tas, Australia; [Le Bohec, Celine; Whittington, Jason D.; Kriesell, Hannah J.; Le Maho, Yvon] CSM, Dept Biol Polaire, Monaco, Monaco; [Le Bohec, Celine; Le Maho, Yvon] UdS, CNRS, Inst Pluridisciplinaire Hubert Curien IPHC UMR 71, Strasbourg, France; [Le Bohec, Celine; Le Maho, Yvon] Lab Int Associe LIA 647 BioSensib CSM CNRS UdS, Monaco, Monaco; [van Klaveren-Impagliazzo, Celine] Govt Princier, Minist Etat, Dept Relat Exterieures &amp; Cooperat, Direct Affaires Int, Monaco, Monaco; [Whittington, Jason D.] Univ Oslo, Dept Biosci, Ctr Ecol &amp; Evolutionary Synth, Oslo, Norway; [Butchart, Stuart H. M.] BirdLife Int, Cambridge, England; [Butchart, Stuart H. M.] Univ Cambridge, Dept Zool, Cambridge, England; [Collen, Ben] UCL, Dept Genet Evolut &amp; Environm, Ctr Biodivers &amp; Environm Res, London, England; [Convey, Peter] British Antarctic Survey, NERC, Cambridge, England; [Gaston, Kevin J.] Univ Exeter, Environm &amp; Sustainabil Inst, Penryn, England; [Gilbert, Neil] Antarctica New Zealand, Christchurch, New Zealand; [Gill, Mike] Govt Canada, Polar Knowledge Canada, Ottawa, ON, Canada; [Hoft, Robert] Secretariat Convent Biol Divers, Montreal, PQ, Canada; [Johnston, Sam] Univ Melbourne, Melbourne Law Sch, Melbourne, Vic, Australia; [Kennicutt, Mahlon C., II] Texas A&amp;M Univ, College Stn, TX USA; [Lynch, Heather J.] SUNY Stony Brook, Dept Ecol &amp; Evolut, Stony Brook, NY 11794 USA; [Palomares, Maria] Univ British Columbia, Inst Oceans &amp; Fisheries, Global Fisheries Cluster, Sea Us, Vancouver, BC, Canada; [Puig-Marco, Roser] Univ Barcelona, Fac Law, Barcelona, Spain; [Stoett, Peter] Concordia Univ, Loyola Sustainabil Res Ctr, Montreal, PQ, Canada</t>
  </si>
  <si>
    <t>Melbourne Genomics Health Alliance; Monash University; Stanford University; Australian Antarctic Division; Centre National de la Recherche Scientifique (CNRS); Universites de Strasbourg Etablissements Associes; Universite de Strasbourg; University of Oslo; BirdLife International; University of Cambridge; University of London; University College London; UK Research &amp; Innovation (UKRI); Natural Environment Research Council (NERC); NERC British Antarctic Survey; University of Exeter; University of Melbourne; Melbourne Bioinformatics; Texas A&amp;M University System; Texas A&amp;M University College Station; State University of New York (SUNY) System; State University of New York (SUNY) Stony Brook; University of British Columbia; University of Barcelona; Concordia University - Canada</t>
  </si>
  <si>
    <t>Chown, SL (corresponding author), Monash Univ, Sch Biol Sci, Melbourne, Vic, Australia.</t>
  </si>
  <si>
    <t>steven.chown@monash.edu</t>
  </si>
  <si>
    <t>Butchart, Stuart HM/Y-2711-2018; Collen, Ben/D-5055-2011; LE BOHEC, CELINE/AAD-3589-2022; Terauds, Aleks/A-4991-2010; Gilbert, Neil/AAD-7842-2022; Chown, Steven/ABD-7646-2021; Butchart, Stuart/AAJ-1852-2021; Palomares, Maria Lourdes D./K-1641-2019; Whittington, Jason/JFL-0182-2023; Convey, Peter/AAV-5728-2020; Coetzee, Bernard WT/AAR-8390-2021; Chown, Steven/H-3347-2011; McGeoch, Melodie/F-8353-2011</t>
  </si>
  <si>
    <t>Gilbert, Neil/0000-0003-2055-4249; Butchart, Stuart/0000-0002-1140-4049; Convey, Peter/0000-0001-8497-9903; Coetzee, Bernard WT/0000-0002-9913-6295; Puig Marco, Roser/0000-0002-7936-9489; Gaston, Kevin J./0000-0002-7235-7928; Chown, Steven/0000-0001-6069-5105; Stoett, Peter/0000-0002-3164-3186; Terauds, Aleks/0000-0001-7804-6648; Brooks, Cassandra/0000-0002-1397-0394; LE BOHEC, Celine/0000-0003-0149-6477; McGeoch, Melodie/0000-0003-3388-2241; Palomares, Maria Lourdes/0000-0001-5905-1556</t>
  </si>
  <si>
    <t>Centre Scientifique de Monaco; NERC [bas0100036] Funding Source: UKRI; Natural Environment Research Council [bas0100036] Funding Source: researchfish</t>
  </si>
  <si>
    <t>Centre Scientifique de Monaco; NERC(UK Research &amp; Innovation (UKRI)Natural Environment Research Council (NERC)); Natural Environment Research Council(UK Research &amp; Innovation (UKRI)Natural Environment Research Council (NERC))</t>
  </si>
  <si>
    <t>Centre Scientifique de Monaco http://www.centrescientifique.mc/en/. Provided local support for the meeting. Received by all authors. The funder had no role in study design, data collection and analysis, decision to publish, or preparation of the manuscript. Monash University www.monash.edu.au. Supported travel of SLC, MAM, and BWTC. The funder had no role in study design, data collection and analysis, decision to publish, or preparation of the manuscript. Scientific Committee on Antarctic Research www.scar.org. Supported travel to the assessment meeting. Received by all authors except SLC, MAM, BWTC. The funder had no role in study design, data collection and analysis, decision to publish, or preparation of the manuscript. Government of the Principality of Monaco http://en.gouv.mc/. Hosted the assessment meeting. Received by all authors. The funder had no role in study design, data collection and analysis, decision to publish, or preparation of the manuscript.</t>
  </si>
  <si>
    <t>1544-9173</t>
  </si>
  <si>
    <t>1545-7885</t>
  </si>
  <si>
    <t>PLOS BIOL</t>
  </si>
  <si>
    <t>PLoS. Biol.</t>
  </si>
  <si>
    <t>e2001656</t>
  </si>
  <si>
    <t>10.1371/journal.pbio.2001656</t>
  </si>
  <si>
    <t>Biochemistry &amp; Molecular Biology; Biology</t>
  </si>
  <si>
    <t>Biochemistry &amp; Molecular Biology; Life Sciences &amp; Biomedicine - Other Topics</t>
  </si>
  <si>
    <t>EQ2OO</t>
  </si>
  <si>
    <t>Green Submitted, Green Published, gold, Green Accepted</t>
  </si>
  <si>
    <t>WOS:000397909600016</t>
  </si>
  <si>
    <t>Doguzhaeva, LA; Bengtson, S; Reguero, MA; Mörs, T</t>
  </si>
  <si>
    <t>Doguzhaeva, Larisa A.; Bengtson, Stefan; Reguero, Marcelo A.; Mors, Thomas</t>
  </si>
  <si>
    <t>An Eocene orthocone from Antarctica shows convergent evolution of internally shelled cephalopods</t>
  </si>
  <si>
    <t>LA-MESETA FORMATION; CRETACEOUS SPIRULID COLEOIDS; ORGANIC SKELETAL STRUCTURE; SEYMOUR ISLAND; BELEMNITE; SEPIA; CUTTLEBONE; MORPHOLOGY; BASINS; ORIGIN</t>
  </si>
  <si>
    <t>Background The Subclass Coleoidea (Class Cephalopoda) accommodates the diverse present-day internally shelled cephalopod mollusks (Spirula, Sepia and octopuses, squids, Vampyroteuthis) and also extinct internally shelled cephalopods. Recent Spirula represents a unique coleoid retaining shell structures, a narrow marginal siphuncle and globular protoconch that signify the ancestry of the subclass Coleoidea from the Paleozoic subclass Bactritoidea. This hypothesis has been recently supported by newly recorded diverse bactritoid-like coleoids from the Carboniferous of the USA, but prior to this study no fossil cephalopod indicative of an endochochleate branch with an origin independent from subclass Bactritoidea has been reported. Methodology/Principal findings Two orthoconic conchs were recovered from the Early Eocene of Seymour Island at the tip of the Antarctic Peninsula, Antarctica. They have loosely mineralized organic-rich chitincompatible microlaminated shell walls and broadly expanded central siphuncles. The morphological, ultrustructural and chemical data were determined and characterized through comparisons with extant and extinct taxa using Scanning Electron Microscopy/Energy Dispersive Spectrometry (SEM/EDS). Conclusions/Significance Our study presents the first evidence for an evolutionary lineage of internally shelled cephalopods with independent origin from Bactritoidea/Coleoidea, indicating convergent evolution with the subclass Coleoidea. A new subclass Paracoleoidea Doguzhaeva n. subcl. is established for accommodation of orthoconic cephalopods with the internal shell associated with a broadly expanded central siphuncle. Antarcticerida Doguzhaeva n. ord., Antarcticeratidae Doguzhaeva n. fam., Antarcticeras nordenskjoeldi Doguzhaeva n. gen., n. sp. are described within the subclass Paracoleoidea. The analysis of organic-rich shell preservation of A. nordenskjoeldi by use of SEM/EDS techniques revealed fossilization of hyposeptal cameral soft tissues. This suggests that a depositional environment favoring soft-tissue preservation was the factor enabling conservation of the weakly mineralized shell of A. nordenskjoeldi.</t>
  </si>
  <si>
    <t>[Doguzhaeva, Larisa A.; Bengtson, Stefan; Mors, Thomas] Swedish Museum Nat Hist, Dept Palaeobiol, Stockholm, Sweden; [Reguero, Marcelo A.] Museo La Plata, Div Paleontol Vertebrados, Paseo Bosque S-N,B1900FWA, La Plata, Buenos Aires, Argentina</t>
  </si>
  <si>
    <t>Swedish Museum of Natural History; National University of La Plata; Museo La Plata</t>
  </si>
  <si>
    <t>Doguzhaeva, LA (corresponding author), Swedish Museum Nat Hist, Dept Palaeobiol, Stockholm, Sweden.</t>
  </si>
  <si>
    <t>larisa.doguzhaeva@nrm.se</t>
  </si>
  <si>
    <t>Reguero, Marcelo A./JHS-4893-2023</t>
  </si>
  <si>
    <t>Bengtson, Stefan/0000-0003-0206-5791; Doguzhaeva, Larisa/0000-0002-1231-2488</t>
  </si>
  <si>
    <t>Swedish Research Council [2009-4447]; Argentine Research Council [PIP 0462]; Argentine National Agency for Promotion of Science and Technology [PICTO-2010-0093]; Royal Swedish Academy of Sciences</t>
  </si>
  <si>
    <t>Swedish Research Council(Swedish Research Council); Argentine Research Council; Argentine National Agency for Promotion of Science and Technology; Royal Swedish Academy of Sciences</t>
  </si>
  <si>
    <t>This work was supported by Swedish Research Council, 2009-4447 (TM) (http://www.formas.se/en/); Argentine Research Council, PIP 0462 (MR) (http://www.conicet.gov.ar/); Argentine National Agency for Promotion of Science and Technology, PICTO-2010-0093 (MR) (http://www.agencia.mincyt.gob.ar/); and Royal Swedish Academy of Sciences (LD) (http://www.kva.se/). The funders had no role in study design, data collection and analysis, decision to publish, or preparation of the manuscript.</t>
  </si>
  <si>
    <t>e0172169</t>
  </si>
  <si>
    <t>10.1371/journal.pone.0172169</t>
  </si>
  <si>
    <t>EN4NF</t>
  </si>
  <si>
    <t>WOS:000395983500027</t>
  </si>
  <si>
    <t>Findlay, KP; Seakamela, SM; Meyer, MA; Kirkman, SP; Barendse, J; Cade, DE; Hurwitz, D; Kennedy, AS; Kotze, PGH; McCue, SA; Thornton, M; Vargas-Fonseca, OA; Wilke, CG</t>
  </si>
  <si>
    <t>Findlay, Ken P.; Seakamela, S. Mduduzi; Meyer, Michael A.; Kirkman, Stephen P.; Barendse, Jaco; Cade, David E.; Hurwitz, David; Kennedy, Amy S.; Kotze, Pieter G. H.; McCue, Steven A.; Thornton, Meredith; Vargas-Fonseca, O. Alejandra; Wilke, Christopher G.</t>
  </si>
  <si>
    <t>Humpback whale super-groups - A novel low-latitude feeding behaviour of Southern Hemisphere humpback whales (Megaptera novaeangliae) in the Benguela Upwelling System</t>
  </si>
  <si>
    <t>WEST-COAST; CETACEAN DISTRIBUTION; POPULATION-STRUCTURE; BALEEN WHALES; MOVEMENTS; MIGRATION; ABUNDANCE; WATERS; DESTINATIONS; AUSTRALIA</t>
  </si>
  <si>
    <t>Southern Hemisphere humpback whales (Megaptera novaeangliae) generally undertake annual migrations from polar summer feeding grounds to winter calving and nursery grounds in subtropical and tropical coastal waters. Evidence for such migrations arises from seasonality of historic whaling catches by latitude, Discovery and natural mark returns, and results of satellite tagging studies. Feeding is generally believed to be limited to the southern polar region, where Antarctic krill (Euphausia superba) has been identified as the primary prey item. Non-migrations and / or suspended migrations to the polar feeding grounds have previously been reported from a summer presence of whales in the Benguela System, where feeding on euphausiids (E. lucens), hyperiid amphipods (Themisto gaudichaudii), mantis shrimp (Pterygosquilla armata capensis) and clupeid fish has been described. Three recent research cruises (in October/November 2011, October/November 2014 and October/November 2015) identified large tightly-spaced groups (20 to 200 individuals) of feeding humpback whales aggregated over at least a one-month period across a 220 nautical mile region of the southern Benguela System. Feeding behaviour was identified by lunges, strong milling and repetitive and consecutive diving behaviours, associated bird and seal feeding, defecations and the pungent fishy smell of whale blows. Although no dedicated prey sampling could be carried out within the tightly spaced feeding aggregations, observations of E. lucens in the region of groups and the full stomach contents of mantis shrimp from both a co-occurring predatory fish species (Thyrsites atun) and one entangled humpback whale mortality suggest these may be the primary prey items of at least some of the feeding aggregations. Reasons for this recent novel behaviour pattern remain speculative, but may relate to increasing summer humpback whale abundance in the region. These novel, predictable, inter-annual, low latitude feeding events provide considerable potential for further investigation of Southern Hemisphere humpback feeding behaviours in these relatively accessible low-latitude waters.</t>
  </si>
  <si>
    <t>[Findlay, Ken P.; Barendse, Jaco; Thornton, Meredith] Univ Pretoria, Mammal Res Inst, Whale Unit, ZA-0001 Pretoria, Wynberg, South Africa; [Findlay, Ken P.] Cape Peninsula Univ Technol, Res Chair Oceans Econ, Cape Town, South Africa; [Seakamela, S. Mduduzi; Meyer, Michael A.; Kirkman, Stephen P.; Kotze, Pieter G. H.; McCue, Steven A.] Dept Environm Affairs, Branch Oceans &amp; Coasts, Cape Town, South Africa; [Barendse, Jaco] 16 Ebor Rd, Wynberg, South Africa; [Barendse, Jaco] Marine Stewardship Council, 1 Snow Hill, London, England; [Cade, David E.] Stanford Univ, Hopkins Marine Stn, Dept Biol, 120 Ocean View Blvd, Pacific Grove, CA 93950 USA; [Hurwitz, David] 12 Victory Way, Cape Town, South Africa; [Kennedy, Amy S.] Alaska Fisheries Sci Ctr, Marine Mammal Lab, 7600 Sand Point Way NE, Seattle, WA USA; [Vargas-Fonseca, O. Alejandra] ConserBio Fdn, Heredia, Costa Rica; [Wilke, Christopher G.] Dept Agr Forestry &amp; Fisheries, Branch Fisheries Management, Foretrust Bldg, Cape Town, South Africa</t>
  </si>
  <si>
    <t>University of Pretoria; Cape Peninsula University of Technology; Department of Environment, Forestry &amp; Fisheries; Stanford University; National Oceanic Atmospheric Admin (NOAA) - USA</t>
  </si>
  <si>
    <t>Findlay, KP (corresponding author), Univ Pretoria, Mammal Res Inst, Whale Unit, ZA-0001 Pretoria, Wynberg, South Africa.;Findlay, KP (corresponding author), Cape Peninsula Univ Technol, Res Chair Oceans Econ, Cape Town, South Africa.</t>
  </si>
  <si>
    <t>findlayk@cput.ac.za</t>
  </si>
  <si>
    <t>Kirkman, Stephen/AAA-9139-2021; Barendse, Jaco/F-7064-2012; Kennedy, Amy S./O-9947-2017; Seakamela, S Mduduzi/HGA-6807-2022; Findlay, Ken/A-5766-2019</t>
  </si>
  <si>
    <t>Kirkman, Stephen/0000-0001-5428-7375; Barendse, Jaco/0000-0003-2859-4501; Findlay, Ken/0000-0001-7154-8805; Vargas Fonseca, Olga Alejandra/0000-0002-9131-4624; Kennedy, Amy/0000-0002-5282-9676</t>
  </si>
  <si>
    <t>Simon's Town Boat Company</t>
  </si>
  <si>
    <t>David Hurwitz is employed by The Simon's Town Boat Company. The Simon's Town Boat Company provided support in the form of salary for author DH, but did not have any additional role in the study design, data collection and analysis, decision to publish, or preparation of the manuscript. The specific role of this author is articulated in the 'author contributions' section.</t>
  </si>
  <si>
    <t>e0172002</t>
  </si>
  <si>
    <t>10.1371/journal.pone.0172002</t>
  </si>
  <si>
    <t>WOS:000395983500025</t>
  </si>
  <si>
    <t>Tanabe, Y; Yasui, S; Osono, T; Uchida, M; Kudoh, S; Yamamuro, M</t>
  </si>
  <si>
    <t>Tanabe, Yukiko; Yasui, Saori; Osono, Takashi; Uchida, Masaki; Kudoh, Sakae; Yamamuro, Masumi</t>
  </si>
  <si>
    <t>Abundant deposits of nutrients inside lakebeds of Antarctic oligotrophic lakes</t>
  </si>
  <si>
    <t>Oligotrophic lakes; Sediments; Antarctica; Polar ecosystems; Material cycle; Freshwater</t>
  </si>
  <si>
    <t>MCMURDO ICE SHELF; NITROGEN-FIXATION; SCHIRMACHER-OASIS; EAST ANTARCTICA; INLAND WATERS; PHYTOPLANKTON; COMMUNITIES; DYNAMICS; BIOMASS; PONDS</t>
  </si>
  <si>
    <t>Most freshwater lakes in continental Antarctica are in a paradoxical situation as they are in nutrient-poor conditions despite luxuriant vegetation growth covering the entire lakebed. Although the phytobenthos possibly take up nutrients from inside lakebeds, the amount of nutrients and their utilization by these phytobenthos are unclear. Sediment cores were collected from 17 freshwater lakes in East Antarctica, then dissolved inorganic nitrogen (DIN) and phosphate of the lake waters, and the vertical profiles of the interstitial water in the sediment cores were analyzed. Here we revealed that there are abundant nutrients inside lakebeds surface with 3-220 times the amount of DIN and 2-102 times concentration of phosphate than those in lake water, and the nutrient profile inside the sediment suggested that the phytobenthos can utilize the much nutrients from lakebeds. We also show that nitrogen stable isotope ratios of shallower phytobenthos lying on the small amount of nutrients in a lake are similar to that of terrestrial cyanobacteria possessing N-2 fixation ability.</t>
  </si>
  <si>
    <t>[Tanabe, Yukiko; Uchida, Masaki; Kudoh, Sakae] Res Org Informat &amp; Syst, Natl Inst Polar Res, 10-3 Midori Cho, Tachikawa, Tokyo 1908518, Japan; [Tanabe, Yukiko; Uchida, Masaki; Kudoh, Sakae] SOKENDAI Grad Univ Adv Studies, Dept Polar Sci, 10-3 Midori Cho, Tachikawa, Tokyo 1908518, Japan; [Yasui, Saori] Tokyo Univ Marine Sci &amp; Technol, Fac Marine Sci, Dept Ocean Sci, Minato Ku, 4-5-7 Konan, Tokyo 1088477, Japan; [Osono, Takashi] Kyoto Univ, Ctr Ecol Res, 2-509-3 Hirano, Otsu, Shiga 5202113, Japan; [Yamamuro, Masumi] Univ Tokyo, Grad Sch Frontier Sci, 5-1-5 Kashiwanoha, Kashiwa, Chiba 2778563, Japan; [Yamamuro, Masumi] Geol Survey Japan GSJ, Inst Geol &amp; Geoinformat, Cent 7, AIST, Higashi 1-1-1, Tsukuba, Ibaraki 3058567, Japan</t>
  </si>
  <si>
    <t>Research Organization of Information &amp; Systems (ROIS); National Institute of Polar Research (NIPR) - Japan; Graduate University for Advanced Studies - Japan; Tokyo University of Marine Science &amp; Technology; Kyoto University; University of Tokyo; National Institute of Advanced Industrial Science &amp; Technology (AIST)</t>
  </si>
  <si>
    <t>Tanabe, Y (corresponding author), Res Org Informat &amp; Syst, Natl Inst Polar Res, 10-3 Midori Cho, Tachikawa, Tokyo 1908518, Japan.;Tanabe, Y (corresponding author), SOKENDAI Grad Univ Adv Studies, Dept Polar Sci, 10-3 Midori Cho, Tachikawa, Tokyo 1908518, Japan.</t>
  </si>
  <si>
    <t>ukko@nipr.ac.jp</t>
  </si>
  <si>
    <t>Osono, Takashi/N-9580-2014; YAMAMURO, Masumi/O-8027-2015</t>
  </si>
  <si>
    <t>YAMAMURO, Masumi/0000-0002-3985-4762</t>
  </si>
  <si>
    <t>Centre for the Promotion of Integrated Sciences (CPIS) of the Graduate University for Advanced Studies (SOKENDAI); JSPS KAKENHI [26310213, 21810035]; Grants-in-Aid for Scientific Research [21810035, 26310213, 26241020, 15K07480, 16H05885] Funding Source: KAKEN</t>
  </si>
  <si>
    <t>Centre for the Promotion of Integrated Sciences (CPIS) of the Graduate University for Advanced Studies (SOKENDAI);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</si>
  <si>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This study was supported by a research grant of a project under the Centre for the Promotion of Integrated Sciences (CPIS) of the Graduate University for Advanced Studies (SOKENDAI) and by JSPS KAKENHI Grant Numbers 26310213 and 21810035. The authors acknowledge the members of the 51st and 53rd Japanese Antarctic Research Expedition for their field support, particularly the summer party leaders, Prof. Y. Motoyoshi and Prof. H. Yamagishi, for their logistic support. We also thank Ms. C. Ouchida and Prof. J. Kanda of Tokyo University of Marine Science and Technology for assistance and for providing the nutrient analysis facilities and Dr. E. Cooper of University of Tromso for English proofreading.</t>
  </si>
  <si>
    <t>10.1007/s00300-016-1983-1</t>
  </si>
  <si>
    <t>WOS:000395177000009</t>
  </si>
  <si>
    <t>Acevedo, J; González, A; Garthe, S; González, I; Gómez, R; Aguayo-Lobo, A</t>
  </si>
  <si>
    <t>Acevedo, Jorge; Gonzalez, Alejandro; Garthe, Sarah; Gonzalez, Inti; Gomez, Rodrigo; Aguayo-Lobo, Anelio</t>
  </si>
  <si>
    <t>Births of leopard seals Hydrurga leptonyx in southern Chile</t>
  </si>
  <si>
    <t>Hydrurga leptonyx; Pup; Birth; Chile; South America</t>
  </si>
  <si>
    <t>PACK-ICE SEALS; EAST ANTARCTICA; ISLAND; ABUNDANCE</t>
  </si>
  <si>
    <t>Leopard seals (Hydrurga leptonyx) are widely distributed within the Antarctic pack ice. Recently they have been reported further north, in the fjords of southern Chile, where individuals remain year-round, especially on Tierra del Fuego Island. Little is known of the leopard seals reproductive biology or breeding distribution, and more specifically, whether they use southern Chilean water to breed. Two recent opportunistic sightings of leopard seal adult-pup pairs were observed in Parry Fjord, Almirantazgo Sound, on 2 December 2012 and 6 October 2015. These are the first documented recordings of leopard seal pups in southern South America and the second and third records of leopard seal pups on the continents north of the Polar Front. Although the pups reported here were dead, these observations are important because they add new evidence that leopard seals pup asynchronously, unlike other ice-breeding seals. It provides further information regarding the leopard seals use of South American waters.</t>
  </si>
  <si>
    <t>[Acevedo, Jorge; Gonzalez, Inti; Gomez, Rodrigo] Fdn CEQUA, Ctr Estudios Cuaternario Fuego Patagonia &amp; Antart, 21 Mayo 1690, Punta Arenas, Chile; [Gonzalez, Alejandro; Garthe, Sarah] Turismo Cabo Tamar Ltda, Sara Braun 1396, Punta Arenas, Chile; [Aguayo-Lobo, Anelio] Inst Antartico Chileno INACH, Plaza Munoz Gamero 1055, Punta Arenas, Chile</t>
  </si>
  <si>
    <t>Acevedo, J (corresponding author), Fdn CEQUA, Ctr Estudios Cuaternario Fuego Patagonia &amp; Antart, 21 Mayo 1690, Punta Arenas, Chile.</t>
  </si>
  <si>
    <t>jorge.acevedo@cequa.cl</t>
  </si>
  <si>
    <t>Gil-Ley, Alejandro/J-5851-2012; Acevedo, Jorge/AAV-3574-2020</t>
  </si>
  <si>
    <t>Gil-Ley, Alejandro/0000-0002-0696-1609; Acevedo, Jorge/0000-0002-6106-0838</t>
  </si>
  <si>
    <t>Conicyt [R13A1002]</t>
  </si>
  <si>
    <t>Conicyt(Comision Nacional de Investigacion Cientifica y Tecnologica (CONICYT))</t>
  </si>
  <si>
    <t>We are grateful to the directors of Fundacion CEQUA and Instituto Antartico Chileno for providing time and constant support for respective marine mammal and biodiversity surveys. We wish to thank the Chilean Navy, especially the Third Naval Zone in Magallanes for the support with the helicopter and navigation onboard LSG Ona in October 2015 to Almirantazgo Sound. The preparation of this manuscript by CEQUA authors were supported by Conicyt Regional Grant Number R13A1002. We appreciate the contributions of both reviewers in improving the manuscript.</t>
  </si>
  <si>
    <t>10.1007/s00300-016-1968-0</t>
  </si>
  <si>
    <t>WOS:000395177000018</t>
  </si>
  <si>
    <t>Humphries, GRW; Naveen, R; Schwaller, M; Che-Castaldo, C; McDowall, P; Schrimpf, M; Lynch, HJ</t>
  </si>
  <si>
    <t>Humphries, G. R. W.; Naveen, R.; Schwaller, M.; Che-Castaldo, C.; McDowall, P.; Schrimpf, M.; Lynch, H. J.</t>
  </si>
  <si>
    <t>Mapping Application for Penguin Populations and Projected Dynamics (MAPPPD): data and tools for dynamic management and decision support</t>
  </si>
  <si>
    <t>ECOSYSTEM-BASED MANAGEMENT; FISHERIES</t>
  </si>
  <si>
    <t>The Mapping Application for Penguin Populations and Projected Dynamics (MAPPPD) is a web-based, open access, decision-support tool designed to assist scientists, non-governmental organisations and policy-makers working to meet the management objectives as set forth by the Commission for the Conservation of Antarctic Marine Living Resources (CCAMLR) and other components of the Antarctic Treaty System (ATS) (that is, Consultative Meetings and the ATS Committee on Environmental Protection). MAPPPD was designed specifically to complement existing efforts such as the CCAMLR Ecosystem Monitoring Program (CEMP) and the ATS site guidelines for visitors. The database underlying MAPPPD includes all publicly available (published and unpublished) count data on emperor, gentoo, Adelie and chinstrap penguins in Antarctica. Penguin population models are used to assimilate available data into estimates of abundance for each site and year. Results are easily aggregated across multiple sites to obtain abundance estimates over any user-defined area of interest. A front end web interface located at www.penguinmap.com provides free and ready access to the most recent count and modelled data, and can act as a facilitator for data transfer between scientists and Antarctic stakeholders to help inform management decisions for the continent.</t>
  </si>
  <si>
    <t>[Humphries, G. R. W.] Black Bawks Data Sci, Ft Augustus PH32 4DR, Scotland; [Naveen, R.] Oceanites, POB 15259, Chevy Chase, MD 20825 USA; [Schwaller, M.] NASA, Goddard Space Sci Ctr, Mesoscale Atmospher Proc Lab, Mail Code 612, Greenbelt, MD 20771 USA; [Che-Castaldo, C.; McDowall, P.; Schrimpf, M.; Lynch, H. J.] SUNY Stony Brook, Dept Ecol &amp; Evolut, 113 Life Sci Bldg, Stony Brook, NY 11794 USA</t>
  </si>
  <si>
    <t>National Aeronautics &amp; Space Administration (NASA); State University of New York (SUNY) System; State University of New York (SUNY) Stony Brook</t>
  </si>
  <si>
    <t>McDowall, Phil/AAK-8612-2021</t>
  </si>
  <si>
    <t>Che-Castaldo, Christian/0000-0002-7670-2178; McDowall, Philip/0000-0002-3683-3202; Humphries, Grant/0000-0001-5783-9892</t>
  </si>
  <si>
    <t>US National Aeronautics and Space Administration Award [NNX14AC32G]; NASA [686208, NNX14AC32G] Funding Source: Federal RePORTER</t>
  </si>
  <si>
    <t>US National Aeronautics and Space Administration Award; NASA(National Aeronautics &amp; Space Administration (NASA))</t>
  </si>
  <si>
    <t>The MAPPPD application is funded by the US National Aeronautics and Space Administration Award No. NNX14AC32G. We would like to thank C. Foley for comments and edits.</t>
  </si>
  <si>
    <t>10.1017/S0032247417000055</t>
  </si>
  <si>
    <t>WOS:000398224700005</t>
  </si>
  <si>
    <t>Pongpiachan, S; Hattayanone, M; Pinyakong, O; Viyakarn, V; Chavanich, SA; Bo, C; Khumsup, C; Kittikoon, I; Hirunyatrakul, P</t>
  </si>
  <si>
    <t>Pongpiachan, S.; Hattayanone, M.; Pinyakong, O.; Viyakarn, V.; Chavanich, S. A.; Bo, C.; Khumsup, C.; Kittikoon, I.; Hirunyatrakul, P.</t>
  </si>
  <si>
    <t>Quantitative ecological risk assessment of inhabitants exposed to polycyclic aromatic hydrocarbons in terrestrial soils of King George Island, Antarctica</t>
  </si>
  <si>
    <t>PAHs; Cancer risk; King George Island; Antarctica; Terrestrial soils</t>
  </si>
  <si>
    <t>PERSISTENT ORGANIC POLLUTANTS; FRASER-RIVER BASIN; SOURCE IDENTIFICATION; VERTICAL-DISTRIBUTION; CONTAMINATED SOIL; URBAN ATMOSPHERE; DIESEL-ENGINE; HEAVY-METALS; BOUND PAHS; SEDIMENTS</t>
  </si>
  <si>
    <t>This study aims to conduct a quantitative ecological risk assessment of human exposure to polycyclic aromatic hydrocarbons (PAHs) in terrestrial soils of King George Island, Antarctica. Generally, the average PAH concentrations detected in King George Terrestrial Soils (KGS) were appreciably lower than those of World Marine Sediments (WMS) and World Terrestrial Soils (WTS), highlighting the fact that Antarctica is one of the most pristine continents in the world. The total concentrations of twelve probably carcinogenic PAHs (Sigma PAHs: a sum of Phe, An, Fluo, Pyr, B[a] A, Chry, B[b] F, B[k] F, B[a] P, Ind, D[a, h] A and B[g,h,i] P) were 3.21 +/- 1.62 ng g +/- 1, 5749 +/- 4576 ng g +/- 1, and 257,496 +/- 291,268 ng g +/- 1, for KGS, WMS and WTS, respectively. In spite of the fact that KGS has extremely low SPAHs in comparison with others, the percentage contribution of Phe is exceedingly high with the value of 50%. By assuming that incidental ingestion and dermal contact are two major exposure pathways responsible for the adverse human health effects, the cancer and non-cancer risks from environmental exposure to PAHs were carefully evaluated based on the Role of the Baseline Risk Assessment in Superfund Remedy Selection Decisions memorandum provided by US-EPA. The logarithms of cancer risk levels of PAH contents in KGS varied from -11.1 to -7.18 with an average of -7.96 +/- 7.73, which is 1790 times and 80,176 times lower than that of WMS and WTS, respectively. All cancer risk levels of PAH concentrations observed in KGS are significantly (p &lt; 0.001) lower than those of WMS and WTS. Despite the Comandante Ferraz Antarctic Station fire occurred in February 25th, 2012, both the cancer and non-cancer risks of environmental exposure to PAHs were found in  acceptable level. (C) 2016 Elsevier B.V. and NIPR. All rights reserved.</t>
  </si>
  <si>
    <t>[Pongpiachan, S.] NIDA, Sch Social &amp; Environm Dev, Bangkok, Thailand; [Hattayanone, M.] Prince Songkla Univ, Fac Environm Management, Hat Yai, Songkhla, Thailand; [Pinyakong, O.] Chulalongkorn Univ, Dept Microbiol, Bioremediat Res Unit, Fac Sci, Bangkok, Thailand; [Viyakarn, V.; Chavanich, S. A.] Chulalongkorn Univ, Dept Marine Sci, Reef Biol Res Grp, Fac Sci, Bangkok, Thailand; [Bo, C.] Polar Res Inst China, Polar Biol Sci Div, Shanghai, Peoples R China; [Khumsup, C.; Kittikoon, I.; Hirunyatrakul, P.] Bara Sci Co Ltd, Bangkok, Thailand</t>
  </si>
  <si>
    <t>National Institutes of Health (NIH) - USA; NIH National Institute on Drug Abuse (NIDA); Prince of Songkla University; Chulalongkorn University; Chulalongkorn University; Polar Research Institute of China</t>
  </si>
  <si>
    <t>Pongpiachan, S (corresponding author), NIDA, Sch Social &amp; Environm Dev, Bangkok, Thailand.</t>
  </si>
  <si>
    <t>pongpiajun@gmail.com</t>
  </si>
  <si>
    <t>Chavanich, Suchana/AAU-8266-2020; Viyakarn, Voranop/Q-9182-2019</t>
  </si>
  <si>
    <t>Pongpiachan, Siwatt/0000-0003-1062-7627; Pinyakong, Onruthai/0000-0003-0014-1690</t>
  </si>
  <si>
    <t>Information Technology Foundation under the Initiative of Her Royal Highness Princess Maha Chakri Sirindhorn; Polar Research Project under the Initiatives of Her Royal Highness Princess Maha Chakri Sirindhorn; National Science and Technology Development Agency; Chinese Arctic and Antarctic Administration; T. C. Pharmaceutical Industries Co., Ltd</t>
  </si>
  <si>
    <t>The authors acknowledge the Information Technology Foundation under the Initiative of Her Royal Highness Princess Maha Chakri Sirindhorn, Polar Research Project under the Initiatives of Her Royal Highness Princess Maha Chakri Sirindhorn, National Science and Technology Development Agency, Chinese Arctic and Antarctic Administration, and T. C. Pharmaceutical Industries Co., Ltd for supporting this study. The authors would also like to thank all members of CHINARE 30 for their kind assistances.</t>
  </si>
  <si>
    <t>10.1016/j.polar.2016.12.001</t>
  </si>
  <si>
    <t>WOS:000395455800003</t>
  </si>
  <si>
    <t>Mazumder, A; Govil, P; Kar, R; Gayathri, NM; Raghuram</t>
  </si>
  <si>
    <t>Mazumder, Abhijit; Govil, Pawan; Kar, Ratan; Gayathri, Narath Meethal; Raghuram</t>
  </si>
  <si>
    <t>Paleoenvironments of a proglacial lake in Schirmacher Oasis, East Antarctica: Insights from quartz grain microtextures</t>
  </si>
  <si>
    <t>Antarctica; Dronning Maud Land Proglacial lake; Holocene; Quartz grains; microtexture; sand percentage; CONISS Cluster Analysis</t>
  </si>
  <si>
    <t>SURFACE TEXTURAL ANALYSIS; ELECTRON-MICROSCOPY; SEM MICROTEXTURES; CLIMATIC CHANGES; PRYDZ BAY; ICE-FREE; SEDIMENTS; HISTORY; HILLS; SIZE</t>
  </si>
  <si>
    <t>Eighteen sediment samples from a 36 cm long sediment core retrieved from a proglacial lake (namely P 11) situated in the Schirmacher Oasis, East Antarctica, were analysed for the study of quartz grain morphology and microtexture, along with sand percentage, to reconstruct the paleoenvironmental changes in the lake during the Holocene. The age of the core ranges from 3.3 ka BP to 13.9 ka BP. The quartz grain morphology and microtexture reveal significant evidences of glacial transport along with some eolian and aqueous activities. On the basis of predominance of these signatures and the zonation from CONISS Cluster Analysis on the percentages of characteristic grain morphology and microtextures, the entire core has been subdivided into three major zones. From the paleoenvironmental perspective, it can be concluded that there is an onset of interglacial period at the advent of Holocene (12.3 ka BP), which reigned until 5.3 ka BP and thereafter, again a glacial environment prevailed until 3.3 ka BP with some variations in-between. The results indicate probable alternative colder and less colder phases in the study area, which are also well supported by the respective sand percentages in the sediments.</t>
  </si>
  <si>
    <t>[Mazumder, Abhijit; Govil, Pawan; Kar, Ratan] Birbal Sahni Inst Palaeosci, 53 Univ Rd, Lucknow 226007, Uttar Pradesh, India; [Gayathri, Narath Meethal] Cochin Univ Sci &amp; Technol, Sch Marine Sci, Dept Marine Geol &amp; Geophys, Cochin 16, Kerala, India; [Raghuram] Geol Survey India, Polar Studies Div, Faridabad 121001, Haryana, India</t>
  </si>
  <si>
    <t>Department of Science &amp; Technology (India); Birbal Sahni Institute of Palaeobotany (BSIP); Cochin University Science &amp; Technology; Geological Survey India</t>
  </si>
  <si>
    <t>Mazumder, A (corresponding author), Birbal Sahni Inst Palaeosci, 53 Univ Rd, Lucknow 226007, Uttar Pradesh, India.</t>
  </si>
  <si>
    <t>abhijit_mazumder@bsip.res.in</t>
  </si>
  <si>
    <t>Mazumder, Abhijit/0000-0001-9944-5306</t>
  </si>
  <si>
    <t>National Centre for Antarctic and Ocean Research, Goa, India</t>
  </si>
  <si>
    <t>The authors are grateful to the Director, Birbal Sahni Institute of Palaeosciences for providing permission to publish this paper. The authors thank the National Centre for Antarctic and Ocean Research, Goa, India for providing logistics and financial support. The authors thank Dr. Asit Kumar Swain, Geological Survey of India, Faridabad and other members of 24th Indian Scientific Antarctic Expedition for their help to retrieve the sediment core from the lake and Dr. Rasik Ravindra, Ministry of Earth Sciences, New Delhi for his selfless help for quartz grain analysis. The authors are also thankful to Dr. Biswajeet Thakur for his help with CONISS Cluster Analysis and Tilia Software Program. The authors thank Dr. Kari N. Bassett and an anonymous reviewer for their useful suggestions.</t>
  </si>
  <si>
    <t>10.1515/popore-2017-0002</t>
  </si>
  <si>
    <t>WOS:000399252800001</t>
  </si>
  <si>
    <t>Petit, T; Bajjouk, T; Mouquet, P; Rochette, S; Vozel, B; Delacourt, C</t>
  </si>
  <si>
    <t>Petit, Tristan; Bajjouk, Touria; Mouquet, Pascal; Rochette, Sebastien; Vozel, Benoit; Delacourt, Christophe</t>
  </si>
  <si>
    <t>Hyperspectral remote sensing of coral reefs by semi-analytical model inversion - Comparison of different inversion setups</t>
  </si>
  <si>
    <t>Hyperspectral; Coral reef; Seabed type mapping; Bottom depth; Model inversion; Cost function; Abundance sum-to-one constraint</t>
  </si>
  <si>
    <t>SPECTRAL REFLECTANCE; SHALLOW WATERS; REUNION ISLAND; COASTAL; COMMUNITIES; BATHYMETRY; DISCRIMINATION; IMAGERY; COLUMN</t>
  </si>
  <si>
    <t>Due to its high spectral and spatial resolutions, airborne hyperspectral imaging has great potential for becoming a powerful large-scale monitoring tool for coral reef communities. In recent years, methods based on radiative transfer model inversion have shown promising results for extracting information about seabed type, bottom depth and water constituents from hyperspectral imagery. However, low signal-to-noise ratios (SNR) due to low water-leaving radiance combined with environmental variability make it very difficult to design an optimal processing algorithm. Here, we selected a state-of-the-art, forward semi-analytical model in which we included a mixing model of four seabed albedo, namely sand, corals, algae and seagrass. The purpose of this paper was then to compare different setups of the inversion scheme, each one having its own theoretical strengths and weaknesses regarding the different confounding factors. Six inversion setups were implemented, corresponding to the combinations between (i) three cost functions: least square (LS), spectral angle mapper (SAM) and least square on spectral derivative (LSD), and (ii) two physical constraints imposed on the seabed type retrieval: abundance sum-to-one constraint (ASC) and a relaxed version (RASC). Performances of bathymetry and seabed type retrieval were evaluated on hyperspectral data acquired in a coral reef environment in Reunion Island. Our results showed that the accuracy and robustness of the bathymetric estimation were greatly influenced by the choice of the inversion setup. RASC-LSD produced the overall best performances even if SAM-based inversion setups showed particularly low error dispersion with respect to Lidar derived bathymetry. RASC-LSD also produced the most accurate results in terms of spatial coverage of benthic components on a very shallow area (inner part of a fringing reef). The results on our study areas clearly highlighted the interest of relaxing the ASC when the bottom depth is shallow. In deeper areas, ASC versions of LS- and LSD-based inversion setups produced the best seabed type mapping results. Only broad seabed types could be retrieved in areas deeper than 10 m. (C) 2017 Elsevier Inc. All rights reserved.</t>
  </si>
  <si>
    <t>[Petit, Tristan; Bajjouk, Touria; Rochette, Sebastien] IFREMER, DYNECO LEBCO, F-29280 Plouzane, France; [Mouquet, Pascal; Delacourt, Christophe] Univ Bretagne Occidentale, CNRS, UMR 6538, F-29280 Plouzane, France; [Vozel, Benoit] Univ Rennes 1, CNRS, IETR, UMR 6164, F-22300 Lannion, France</t>
  </si>
  <si>
    <t>Ifremer; Centre National de la Recherche Scientifique (CNRS); CNRS - National Institute for Earth Sciences &amp; Astronomy (INSU); Universite de Bretagne Occidentale; Centre National de la Recherche Scientifique (CNRS); CNRS - Institute for Engineering &amp; Systems Sciences (INSIS); Universite de Rennes</t>
  </si>
  <si>
    <t>Petit, T (corresponding author), IFREMER, DYNECO LEBCO, F-29280 Plouzane, France.</t>
  </si>
  <si>
    <t>tristan.petit@ifremer.fr</t>
  </si>
  <si>
    <t>delacourt, christophe/A-8240-2008</t>
  </si>
  <si>
    <t>BAJJOUK, TOURIA/0000-0001-9039-0660; Vozel, Benoit/0000-0002-1920-2847; Mouquet, Pascal/0000-0003-0361-4131; Delacourt, Christophe/0000-0003-2484-1464; Rochette, Sebastien/0000-0002-1565-9313</t>
  </si>
  <si>
    <t>Laboratoire d'Excellence LabexMER [ANR-10-LABX-19]; French government under program Investissements d'Avenir; Regional Council of Brittany; National Centre for Space Studies (CNES) under TOSCA program; Prefecture and the Directorate for Environment; Development and Housing (DEAL) of Reunion Island; French Southern and Antarctic Lands (TAAF); French Marine Protected Area Agency (AAMP); French Research Institute for Exploitation of the Sea (Ifremer); [Spectrhabent-01]</t>
  </si>
  <si>
    <t>Laboratoire d'Excellence LabexMER; French government under program Investissements d'Avenir(Agence Nationale de la Recherche (ANR)); Regional Council of Brittany(Region Bretagne); National Centre for Space Studies (CNES) under TOSCA program; Prefecture and the Directorate for Environment; Development and Housing (DEAL) of Reunion Island; French Southern and Antarctic Lands (TAAF); French Marine Protected Area Agency (AAMP); French Research Institute for Exploitation of the Sea (Ifremer);</t>
  </si>
  <si>
    <t>This work was supported by the Laboratoire d'Excellence LabexMER (ANR-10-LABX-19) and co-funded by grants from the French government under the program Investissements d'Avenir, the Regional Council of Brittany and the National Centre for Space Studies (CNES) under the TOSCA program. The acquisition of the hyperspectral data used within this study was supported by the Spectrhabent-01 project and funded by the Prefecture and the Directorate for Environment, Development and Housing (DEAL) of Reunion Island, the French Southern and Antarctic Lands (TAAF), the French Marine Protected Area Agency (AAMP) and the French Research Institute for Exploitation of the Sea (Ifremer).</t>
  </si>
  <si>
    <t>10.1016/j.rse.2017.01.004</t>
  </si>
  <si>
    <t>EL1RS</t>
  </si>
  <si>
    <t>WOS:000394399300027</t>
  </si>
  <si>
    <t>Turner, J; Orr, A; Gudmundsson, GH; Jenkins, A; Bingham, RG; Hillenbrand, CD; Bracegirdle, TJ</t>
  </si>
  <si>
    <t>Turner, John; Orr, Andrew; Gudmundsson, G. Hilmar; Jenkins, Adrian; Bingham, Robert G.; Hillenbrand, Claus-Dieter; Bracegirdle, Thomas J.</t>
  </si>
  <si>
    <t>Atmosphere-ocean-ice interactions in the Amundsen Sea Embayment, West Antarctica</t>
  </si>
  <si>
    <t>PINE ISLAND GLACIER; GROUNDING-LINE RETREAT; CIRCUMPOLAR DEEP-WATER; POLAR WEATHER RESEARCH; SOUTHERN ANNULAR MODE; MARIE BYRD LAND; MASS-BALANCE; THWAITES GLACIERS; SNOW ACCUMULATION; SHELF BREAK</t>
  </si>
  <si>
    <t>Over recent decades outlet glaciers of the Amundsen Sea Embayment (ASE), West Antarctica, have accelerated, thinned, and retreated, and are now contributing approximately 10% to global sea level rise. All the ASE glaciers flow into ice shelves, and it is the thinning of these since the 1970s, and their ungrounding from pinning points that is widely held to be responsible for triggering the glaciers' decline. These changes have been linked to the inflow of warm Circumpolar Deep Water (CPDW) onto the ASE's continental shelf. CPDW delivery is highly variable and is closely related to the regional atmospheric circulation. The ASE is south of the Amundsen Sea Low (ASL), which has a large variability and which has deepened in recent decades. The ASL is influenced by the phase of the Southern Annular Mode, along with tropical climate variability. It is not currently possible to simulate such complex atmosphere-ocean-ice interactions in models, hampering prediction of future change. The current retreat could mark the beginning of an unstable phase of the ASE glaciers that, if continued, will result in collapse of the West Antarctic Ice Sheet, but numerical ice sheet models currently lack the predictive power to answer this question. It is equally possible that the recent retreat will be short-lived and that the ASE will find a new stable state. Progress is hindered by incomplete knowledge of bed topography in the vicinity of the grounding line. Furthermore, a number of key processes are still missing or poorly represented in models of ice-flow.</t>
  </si>
  <si>
    <t>[Turner, John; Orr, Andrew; Gudmundsson, G. Hilmar; Jenkins, Adrian; Hillenbrand, Claus-Dieter; Bracegirdle, Thomas J.] British Antarctic Survey, Cambridge, England; [Bingham, Robert G.] Univ Edinburgh, Sch Geosci, Edinburgh, Midlothian, Scotland</t>
  </si>
  <si>
    <t>UK Research &amp; Innovation (UKRI); Natural Environment Research Council (NERC); NERC British Antarctic Survey; University of Edinburgh</t>
  </si>
  <si>
    <t>Turner, J (corresponding author), British Antarctic Survey, Cambridge, England.</t>
  </si>
  <si>
    <t>Bracegirdle, Tom/AAD-6060-2020; Jenkins, Adrian/IUN-2406-2023; Gudmundsson, Gudmundur Hilmar/F-6499-2012; Gudmundsson, Gudmundur Hilmar/AAU-5987-2020; Bingham, Robert G/G-3576-2017</t>
  </si>
  <si>
    <t>Gudmundsson, Gudmundur Hilmar/0000-0003-4236-5369; Gudmundsson, Gudmundur Hilmar/0000-0003-4236-5369; Bingham, Robert G/0000-0002-0630-2021; Turner, John/0000-0002-6111-5122; Jenkins, Adrian/0000-0002-9117-0616</t>
  </si>
  <si>
    <t>UK Natural Environment Research Council; NERC [NE/H02333X/1]; NERC [bas0100033, NE/H02333X/1, NE/J005770/1, NE/J005665/2, bas0100034, NE/J005746/1, bas0100032] Funding Source: UKRI; Natural Environment Research Council [bas0100032, NE/J005770/1, bas0100033, NE/H02333X/1, bas0100034, NE/J005746/1] Funding Source: researchfish</t>
  </si>
  <si>
    <t>UK Natural Environment Research Council(UK Research &amp; Innovation (UKRI)Natural Environment Research Council (NERC)); NERC(UK Research &amp; Innovation (UKRI)Natural Environment Research Council (NERC));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</si>
  <si>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It was funded by the UK Natural Environment Research Council and is part of the synthesis element of the NERC grant NE/H02333X/1. No unpublished data were used in the preparation of this paper.</t>
  </si>
  <si>
    <t>10.1002/2016RG000532</t>
  </si>
  <si>
    <t>ES2LW</t>
  </si>
  <si>
    <t>WOS:000399361000007</t>
  </si>
  <si>
    <t>Djurhuus, A; Boersch-Supan, PH; Mikalsen, SO; Rogers, AD</t>
  </si>
  <si>
    <t>Djurhuus, Anni; Boersch-Supan, Philipp H.; Mikalsen, Svein-Ole; Rogers, Alex D.</t>
  </si>
  <si>
    <t>Microbe biogeography tracks water masses in a dynamic oceanic frontal system</t>
  </si>
  <si>
    <t>Southwest Indian Ridge; microbe biogeography; dynamic frontal systems</t>
  </si>
  <si>
    <t>COMMUNITY STRUCTURE; BACTERIAL COMMUNITIES; FLOW-CYTOMETRY; INDIAN-OCEAN; ATLANTIC; PATTERNS; DIVERSITY; PHYTOPLANKTON; PICOPLANKTON; CIRCULATION</t>
  </si>
  <si>
    <t>Dispersal limitation, not just environmental selection, plays an important role in microbial biogeography. The distancedecay relationship is thought to be weak in habitats where dispersal is high, such as in the pelagic environment, where ocean currents facilitate microbial dispersal. Most studies of microbial community composition to date have observed little geographical heterogeneity on a regional scale (100 km). We present a study of microbial communities across a dynamic frontal zone in the southwest Indian Ocean and investigate the spatial structure of the microbes with respect to the different water masses separated by these fronts. We collected 153 samples of free-living microorganisms from five seamounts located along a gradient from subtropical to subantarctic waters and across three depth layers: (i) the sub-surface chlorophyll maximum (approx. 40 m), (ii) the bottom of the euphotic zone (approx. 200 m), and (iii) the benthic boundary layer (300-2000 m). Diversity and abundance of microbial operational taxonomic units (OTUs) were assessed by amplification and sequencing of the 16S rRNA gene on an Illumina MiSeq platform. Multivariate analyses showed thatmicrobial communitieswere structured more strongly by depth than by latitude, with similar phyla occurring within each depth stratum across seamounts. The deep layer was homogeneous across the entire survey area, corresponding to the spread of Antarctic intermediate water. However, within both the sub-surface layer and the intermediate depth stratum there was evidence for OTU turnover across fronts. The microbiome of these layers appears to be divided into three distinct biological regimes corresponding to the subantarctic surface water, the convergence zone and subtropical. We show that microbial biogeography across depth and latitudinal gradients is linked to the water masses the microbes persist in, resulting in regional patterns of microbial biogeography that correspond to the regional scale physical oceanography.</t>
  </si>
  <si>
    <t>[Djurhuus, Anni; Rogers, Alex D.] Univ Oxford, Dept Zool, S Pk Rd, Oxford OX1 3PS, England; [Djurhuus, Anni] Univ S Florida, Coll Marine Sci, 830 1st St SE, St Petersburg, FL 33701 USA; [Boersch-Supan, Philipp H.] Univ S Florida, Dept Integrat Biol, 4202 E Fowler Ave, Tampa, FL 33620 USA; [Boersch-Supan, Philipp H.] Univ Florida, Dept Geog, Gainesville, FL 32611 USA; [Mikalsen, Svein-Ole] Univ Faroe Islands, Dept Sci &amp; Technol, Noatun 3, Torshavn, Denmark</t>
  </si>
  <si>
    <t>University of Oxford; State University System of Florida; University of South Florida; State University System of Florida; University of South Florida; State University System of Florida; University of Florida; University of the Faroe Islands</t>
  </si>
  <si>
    <t>Djurhuus, A (corresponding author), Univ Oxford, Dept Zool, S Pk Rd, Oxford OX1 3PS, England.</t>
  </si>
  <si>
    <t>anni.djurhuus@gmail.com</t>
  </si>
  <si>
    <t>Boersch-Supan, Philipp H/A-3040-2012</t>
  </si>
  <si>
    <t>Boersch-Supan, Philipp H/0000-0001-6723-6833; Rogers, Alex David/0000-0002-4864-2980; Mikalsen, Svein-Ole/0000-0002-7128-4464; Djurhuus, Anni/0000-0002-3517-7522</t>
  </si>
  <si>
    <t>University of the Faroe Islands; Faroese Research Council; US National Science Foundation [PLR-1341649]; NERC [NE/F005504/1]; EAF Nansen Project; Food and Agriculture Organisation of the United Nations; Global Environment Facility; International Union for the Conservation of Nature; NERC [NE/F005504/1] Funding Source: UKRI; Natural Environment Research Council [NE/F005504/1] Funding Source: researchfish; Office of Polar Programs (OPP); Directorate For Geosciences [1740239] Funding Source: National Science Foundation</t>
  </si>
  <si>
    <t>University of the Faroe Islands; Faroese Research Council; US National Science Foundation(National Science Foundation (NSF)); NERC(UK Research &amp; Innovation (UKRI)Natural Environment Research Council (NERC)); EAF Nansen Project; Food and Agriculture Organisation of the United Nations; Global Environment Facility; International Union for the Conservation of Nature; NERC(UK Research &amp; Innovation (UKRI)Natural Environment Research Council (NERC)); Natural Environment Research Council(UK Research &amp; Innovation (UKRI)Natural Environment Research Council (NERC)); Office of Polar Programs (OPP); Directorate For Geosciences(National Science Foundation (NSF)NSF - Directorate for Geosciences (GEO))</t>
  </si>
  <si>
    <t>A.D. was funded by the University of the Faroe Islands and the Faroese Research Council. P.H.B. - S. was supported by US National Science Foundation grant no. PLR-1341649. The Indian Ocean seamounts project was funded by NERC grant no. NE/F005504/1 Lead PI AD Rogers. This project was part of the Southwest Indian Ocean Seamounts Project (www.iucn.org/marine/seamounts) supported by the EAF Nansen Project, the Food and Agriculture Organisation of the United Nations, the Global Environment Facility, and the International Union for the Conservation of Nature. The funder had no role in study design, data collection and analysis, decision to publish, or preparation of the manuscript.</t>
  </si>
  <si>
    <t>10.1098/rsos.170033</t>
  </si>
  <si>
    <t>EQ5FM</t>
  </si>
  <si>
    <t>WOS:000398107700051</t>
  </si>
  <si>
    <t>Irvine, LG; Thums, M; Hanson, CE; McMahon, CR; Hindell, MA</t>
  </si>
  <si>
    <t>Irvine, Lyn G.; Thums, Michele; Hanson, Christine E.; McMahon, Clive R.; Hindell, Mark A.</t>
  </si>
  <si>
    <t>Quantifying the energy stores of capital breeding humpback whales and income breeding sperm whales using historical whaling records</t>
  </si>
  <si>
    <t>bioenergetics; body condition; body lipid; oil yield; life history; cetacean</t>
  </si>
  <si>
    <t>SOUTHERN ELEPHANT SEALS; ATLANTIC FIN WHALES; BODY CONDITION; MEGAPTERA-NOVAEANGLIAE; EUBALAENA-GLACIALIS; BLUBBER THICKNESS; FASTING ENDURANCE; MIROUNGA-LEONINA; CLIMATE-CHANGE; MATERNAL MASS</t>
  </si>
  <si>
    <t>Cetacean energy stores are known to vary according to life history, reproductive status and time of year; however, the opportunity to quantify these relationships is rare. Using a unique set of historical whaling records from Western Australia (1952-1963), we investigated energy stores of large cetaceans with differing life histories, and quantified the relationship between total body lipid and length for humpback whales (Megaptera novaeangliae) (n= 905) and sperm whales (Physeter macrocephalus) (n= 1961). We found that total body lipid increased with body length in both humpback and sperm whales, consistent with size-related energy stores. Male humpback whales stored 2.49 kl (15.6 barrels) (31.9-74.9%) more lipid thanmale sperm whales of equivalent length, to fuel their annual migration. Relative lipid stores of sperm whales (males) were constant throughout the year, while those of humpback whales varied with reproductive class and sampling date. Pregnant female humpback whales had higher relative energy stores than non-pregnant females and males (26.2% and 37.4%, respectively), to fuel the energy demands of gestation and lactation. Those that reached the sampling site later (en route to their breeding grounds) carried higher lipid stores than those that arrived earlier, possibly reflecting individual variation in residency times in the Antarctic feeding grounds. Importantly, longer pregnant females had relatively larger energy stores than the shorter pregnant females, indicating that the smaller individuals may experience higher levels of energetic stress during the migration fast. The relationships we developed between body lipid and length can be used to inform bioenergetics and ecosystem models when such detailed information is not available.</t>
  </si>
  <si>
    <t>[Irvine, Lyn G.; McMahon, Clive R.; Hindell, Mark A.] Univ Tasmania, Inst Marine &amp; Antarctic Studies, Hobart, Tas, Australia; [Thums, Michele] Univ Western Australia M096, Australian Inst Marine Sci, Nedlands, WA 6009, Australia; [Thums, Michele] Univ Western Australia M096, Indian Ocean Marine Res Ctr, Nedlands, WA 6009, Australia; [Hanson, Christine E.] BMT Ocean, Wembley, WA, Australia; [McMahon, Clive R.] Sydney Inst Marine Sci, Mosman, NSW, Australia</t>
  </si>
  <si>
    <t>University of Tasmania; Australian Institute of Marine Science; University of Western Australia; University of Western Australia; Sydney Institute of Marine Science</t>
  </si>
  <si>
    <t>Irvine, LG (corresponding author), Univ Tasmania, Inst Marine &amp; Antarctic Studies, Hobart, Tas, Australia.</t>
  </si>
  <si>
    <t>lynette.irvine@utas.edu.au</t>
  </si>
  <si>
    <t>Irvine, Lyn/KHD-4206-2024; Hindell, Mark A/K-1131-2013; McMahon, Clive R/D-5713-2013; Thums, Michele/A-3850-2013</t>
  </si>
  <si>
    <t>McMahon, Clive R/0000-0001-5241-8917; Thums, Michele/0000-0002-8669-8440; Hindell, Mark/0000-0002-7823-7185</t>
  </si>
  <si>
    <t>University of Tasmania's Institute for Marine and Antarctic Science (IMAS)</t>
  </si>
  <si>
    <t>Funding for this project was provided by the University of Tasmania's Institute for Marine and Antarctic Science (IMAS).</t>
  </si>
  <si>
    <t>10.1098/rsos.160290</t>
  </si>
  <si>
    <t>WOS:000398107700001</t>
  </si>
  <si>
    <t>Nie, JS; Garzione, C; Su, QD; Liu, QS; Zhang, R; Heslop, D; Necula, C; Zhang, SH; Song, YG; Luo, Z</t>
  </si>
  <si>
    <t>Nie, Junsheng; Garzione, Carmala; Su, Qingda; Liu, Qingsong; Zhang, Rui; Heslop, David; Necula, Cristian; Zhang, Shihong; Song, Yougui; Luo, Zeng</t>
  </si>
  <si>
    <t>Dominant 100,000-year precipitation cyclicity in a late Miocene lake from northeast Tibet</t>
  </si>
  <si>
    <t>CHINESE LOESS PLATEAU; RESOLUTION MAGNETO STRATIGRAPHY; QAIDAM BASIN; ASIAN MONSOON; TECTONIC EVOLUTION; QINGHAI PROVINCE; YELLOW-RIVER; CARBON-CYCLE; ICE-SHEET; CLIMATE</t>
  </si>
  <si>
    <t>East Asian summer monsoon (EASM) precipitation received by northern China over the past 800 thousand years (ky) is characterized by dominant 100-ky periodicity, mainly attributed to CO2 and Northern Hemisphere insolation-driven ice sheet forcing. We established an EASM record in the Late Miocene from lacustrine sediments in the Qaidam Basin, northern China, which appears to exhibit a dominant 100-ky periodicity similar to the EASM records during the Late Quaternary. Because evidence suggests that partial or ephemeral ice existed in the Northern Hemisphere during the Late Miocene, we attribute the 100-ky cycles to CO2 and Southern Hemisphere insolation-driven Antarctic ice sheet forcing. This indicates a &gt;6-million year earlier onset of the dominant 100-ky Asian monsoon and, likely, glacial and CO2 cycles and may indicate dominant forcing of Northern Hemisphere climate by CO2 and Southern Hemisphere ice sheets in a warm world.</t>
  </si>
  <si>
    <t>[Nie, Junsheng; Su, Qingda; Zhang, Rui; Luo, Zeng] Lanzhou Univ, Coll Earth &amp; Environm Sci, Minist Educ, Key Lab Western Chinas Environm Syst, Lanzhou 730000, Gansu, Peoples R China; [Nie, Junsheng; Garzione, Carmala] Univ Rochester, Dept Earth &amp; Environm Sci, Rochester, NY 14627 USA; [Liu, Qingsong] South Univ Sci &amp; Technol China, Dept Marine Sci &amp; Technol, Shenzhen 518055, Peoples R China; [Liu, Qingsong] Natl Oceanog Lab, Lab Marine Geol, Qingdao 266061, Peoples R China; [Heslop, David] Australian Natl Univ, Res Sch Earth Sci, Canberra, ACT 0200, Australia; [Necula, Cristian] Univ Bucharest, Paleomagnet Lab, Fac Phys, Sect 1, Bucharest 010041, Romania; [Zhang, Shihong] China Univ Geosci, State Key Lab Biogeol &amp; Environm Geol, Beijing 100083, Peoples R China; [Song, Yougui] Chinese Acad Sci, Inst Earth Environm, State Key Lab Loess &amp; Quaternary Geol, POB 17, Xian 710075, Shaanxi, Peoples R China</t>
  </si>
  <si>
    <t>Lanzhou University; University of Rochester; Southern University of Science &amp; Technology; Australian National University; University of Bucharest; China University of Geosciences; Chinese Academy of Sciences; Institute of Earth Environment, CAS</t>
  </si>
  <si>
    <t>Nie, JS (corresponding author), Lanzhou Univ, Coll Earth &amp; Environm Sci, Minist Educ, Key Lab Western Chinas Environm Syst, Lanzhou 730000, Gansu, Peoples R China.;Nie, JS (corresponding author), Univ Rochester, Dept Earth &amp; Environm Sci, Rochester, NY 14627 USA.</t>
  </si>
  <si>
    <t>jnie@lzu.edu.cn</t>
  </si>
  <si>
    <t>Song, yougui/I-8813-2014; Liu, Qingsong/AAK-4672-2020; Zhang, Shihong/G-8926-2013; Heslop, David/G-6412-2011; Nie, Junsheng/E-5047-2010; Heslop, David/AGE-1592-2022; Necula, Cristian C/C-1063-2015</t>
  </si>
  <si>
    <t>Song, yougui/0000-0003-0064-3260; Heslop, David/0000-0001-8245-0555; Heslop, David/0000-0001-8245-0555; Nie, Junsheng/0000-0002-1700-7116</t>
  </si>
  <si>
    <t>national key research and development program of China [2016YFE0109500]; (973) National Basic Research Program of China [2013CB956400]; Chinese Academy of Sciences [XDB03020400]; National Natural Science Foundation of China [41422204, 41172329, 41290253]; U.S. NSF [1545859]; Division Of Earth Sciences; Directorate For Geosciences [1211527] Funding Source: National Science Foundation; Division Of Earth Sciences; Directorate For Geosciences [1348005] Funding Source: National Science Foundation</t>
  </si>
  <si>
    <t>national key research and development program of China; (973) National Basic Research Program of China(National Basic Research Program of China); Chinese Academy of Sciences(Chinese Academy of Sciences); National Natural Science Foundation of China(National Natural Science Foundation of China (NSFC)); U.S. NSF(National Science Foundation (NSF)); Division Of Earth Sciences; Directorate For Geosciences(National Science Foundation (NSF)NSF - Directorate for Geosciences (GEO)); Division Of Earth Sciences; Directorate For Geosciences(National Science Foundation (NSF)NSF - Directorate for Geosciences (GEO))</t>
  </si>
  <si>
    <t>This work was funded by the national key research and development program of China (2016YFE0109500), the (973) National Basic Research Program of China (grant no. 2013CB956400), the Strategic Priority Research Program of the Chinese Academy of Sciences (grant no. XDB03020400), the National Natural Science Foundation of China (grant nos. 41422204, 41172329, and 41290253), and the U.S. NSF (grant no. 1545859).</t>
  </si>
  <si>
    <t>e1600762</t>
  </si>
  <si>
    <t>10.1126/sciadv.1600762</t>
  </si>
  <si>
    <t>FO3IY</t>
  </si>
  <si>
    <t>WOS:000416722700003</t>
  </si>
  <si>
    <t>Finlay, CC; Lesur, V; Thébault, E; Vervelidou, F; Morschhauser, A; Shore, R</t>
  </si>
  <si>
    <t>Finlay, C. C.; Lesur, V.; Thebault, E.; Vervelidou, F.; Morschhauser, A.; Shore, R.</t>
  </si>
  <si>
    <t>Challenges Handling Magnetospheric and Ionospheric Signals in Internal Geomagnetic Field Modelling</t>
  </si>
  <si>
    <t>SPACE SCIENCE REVIEWS</t>
  </si>
  <si>
    <t>Geomagnetism; Field modelling; Magnetospheric and ionospheric current systems</t>
  </si>
  <si>
    <t>EARTHS MAGNETIC-FIELD; CANDIDATE MODELS; LARGE-SCALE; QUIET-TIME; 1995 REVISION; ANOMALY MAP; SAC-C; SATELLITE; SWARM; CHAMP</t>
  </si>
  <si>
    <t>Measurements of the Earth's magnetic field collected by low-Earth-orbit satellites such as Swarm and CHAMP, as well as at ground observatories, are dominated by sources in the Earth's interior. However these measurements also contain significant contributions from more rapidly-varying current systems in the ionosphere and magnetosphere. In order to fully exploit magnetic data to probe the physical properties and dynamics of the Earth's interior, field models with suitable treatments of external sources, and their associated induced signals, are essential. Here we review the methods presently used to construct models of the internal field, focusing on techniques to handle magnetospheric and ionospheric signals. Shortcomings of these techniques often limit the quality, as well as spatial and temporal resolution, of internal field models. We document difficulties in using track-by-track analysis to characterize magnetospheric field fluctuations, differences in internal field models that result from alternative treatments of the quiet-time ionospheric field, and challenges associated with rapidly changing, but spatially correlated, magnetic signatures of polar cap current systems. Possible strategies for improving internal field models are discussed, many of which are described in more detail elsewhere in this volume.</t>
  </si>
  <si>
    <t>[Finlay, C. C.] Tech Univ Denmark, DTU Space, Lyngby, Denmark; [Lesur, V.] Inst Phys Globe Paris, Paris, France; [Thebault, E.] Lab Planetol &amp; Geodynam Nantes, Nantes, France; [Vervelidou, F.; Morschhauser, A.] GFZ German Res Ctr Geosci, Potsdam, Germany; [Shore, R.] British Antarctic Survey, Cambridge, England</t>
  </si>
  <si>
    <t>Technical University of Denmark; Universite Paris Cite; Helmholtz Association; Helmholtz-Center Potsdam GFZ German Research Center for Geosciences; UK Research &amp; Innovation (UKRI); Natural Environment Research Council (NERC); NERC British Antarctic Survey</t>
  </si>
  <si>
    <t>Finlay, CC (corresponding author), Tech Univ Denmark, DTU Space, Lyngby, Denmark.</t>
  </si>
  <si>
    <t>cfinlay@space.dtu.dk; lesur@ipgp.fr; erwan.thebault@univ-nantes.fr; foteini.vervelidou@gfz-potsdam.de; achim.morschhauser2@gfz-potsdam.de; robore@bas.ac.uk</t>
  </si>
  <si>
    <t>Thebault, Erwan/A-5670-2011; Vervelidou, Foteini/D-7441-2016; M., Achim/J-4946-2015; Lesur, Vincent/H-1031-2012; Finlay, Christopher C./B-5062-2014</t>
  </si>
  <si>
    <t>Thebault, Erwan/0000-0002-7038-2855; Vervelidou, Foteini/0000-0002-6053-5758; M., Achim/0000-0001-7955-4441; Lesur, Vincent/0000-0003-2568-320X; Finlay, Christopher C./0000-0002-4592-2290</t>
  </si>
  <si>
    <t>CHAMP mission by the German Aerospace Center (DLR); Federal Ministry of Education and Research; NERC [NE/J020796/1, bas0100031] Funding Source: UKRI; Natural Environment Research Council [bas0100031, NE/J020796/1] Funding Source: researchfish</t>
  </si>
  <si>
    <t>CHAMP mission by the German Aerospace Center (DLR)(Helmholtz AssociationGerman Aerospace Centre (DLR)); Federal Ministry of Education and Research(Federal Ministry of Education &amp; Research (BMBF)); NERC(UK Research &amp; Innovation (UKRI)Natural Environment Research Council (NERC)); Natural Environment Research Council(UK Research &amp; Innovation (UKRI)Natural Environment Research Council (NERC))</t>
  </si>
  <si>
    <t>The authors are grateful to the International Space Science Institute for inviting them to take part in the workshop on Earth's Magnetic Field held in Bern in May 2015. CCF thanks Eigil Friis-Christensen and Karl-Magnus Laundal for helpful discussions. The results presented in this paper rely on data collected at magnetic observatories. We thank the national institutes that support them and INTERMAGNET for promoting high standards of magnetic observatory practice (www.intermagnet.org). The support of the CHAMP mission by the German Aerospace Center (DLR) and the Federal Ministry of Education and Research is gratefully acknowledged. Swarm L1b data were provided by ESA. We also wish to thank two anonymous reviewers for helpful comments.</t>
  </si>
  <si>
    <t>0038-6308</t>
  </si>
  <si>
    <t>1572-9672</t>
  </si>
  <si>
    <t>SPACE SCI REV</t>
  </si>
  <si>
    <t>Space Sci. Rev.</t>
  </si>
  <si>
    <t>1-4</t>
  </si>
  <si>
    <t>10.1007/s11214-016-0285-9</t>
  </si>
  <si>
    <t>ER7VA</t>
  </si>
  <si>
    <t>WOS:000399021100007</t>
  </si>
  <si>
    <t>Thébault, E; Lesur, V; Kauristie, K; Shore, R</t>
  </si>
  <si>
    <t>Thebault, E.; Lesur, V.; Kauristie, K.; Shore, R.</t>
  </si>
  <si>
    <t>Magnetic Field Data Correction in Space for Modelling the Lithospheric Magnetic Field</t>
  </si>
  <si>
    <t>GEOMAGNETIC-FIELD; MAGNETOSPHERIC FIELD; LARGE-SCALE; SAC-C; SATELLITE; MAGSAT; CORE; CONSTELLATION; VECTOR; CHAMP</t>
  </si>
  <si>
    <t>The Earth's magnetic field as it is measured by low-Earth orbit satellites such as Swarm and CHAMP results from the superposition of internal and external source fields overlapping in time and in space. The Earth's lithospheric field is one of the weakest sources detectable from space and its accurate description requires treatments of rapidly-varying magnetic fields generated by current systems in the ionosphere and magnetosphere. In this paper, we review methods most commonly used in geomagnetism to identify and then to correct for the external perturbation fields at satellite altitudes. We document the pros and cons of Fourier Filtering, polynomial and Spherical Harmonics analyses, Singular Spectral Analysis (SSA) and Line-levelling techniques. The difficulties are illustrated with an application of the methods on a common set of real Swarm magnetic field measurements and with a discussion on the differences between lithospheric field models obtained with each treatment. We finally discuss some perspectives for improvements of external field correction techniques relying on statistical or more explicit assumptions about the geographical distribution as well as the shape and strengths of the external magnetic field structures.</t>
  </si>
  <si>
    <t>[Thebault, E.] Univ Nantes, UMR CNRS 6112, Lab Planetol &amp; Geodynam Nantes, 2 Chemin Houssiniere, F-44300 Nantes, France; [Lesur, V.] Univ Paris Diderot, CNRS, Sorbonne Paris Cite, Inst Phys Globe Paris, 1 Rue Jussieu, F-75005 Paris, France; [Kauristie, K.] Finnish Meteorol Inst, POB 503, FIN-00101 Helsinki, Finland; [Shore, R.] British Antarctic Survey, Madingley Rd, Cambridge CB3 0ET, England</t>
  </si>
  <si>
    <t>Nantes Universite; Centre National de la Recherche Scientifique (CNRS); CNRS - National Institute for Earth Sciences &amp; Astronomy (INSU); Universite Paris Cite; Centre National de la Recherche Scientifique (CNRS); Finnish Meteorological Institute; UK Research &amp; Innovation (UKRI); Natural Environment Research Council (NERC); NERC British Antarctic Survey</t>
  </si>
  <si>
    <t>Thébault, E (corresponding author), Univ Nantes, UMR CNRS 6112, Lab Planetol &amp; Geodynam Nantes, 2 Chemin Houssiniere, F-44300 Nantes, France.</t>
  </si>
  <si>
    <t>Erwan.Thebault@univ-nantes.fr</t>
  </si>
  <si>
    <t>Thebault, Erwan/A-5670-2011; Lesur, Vincent/H-1031-2012</t>
  </si>
  <si>
    <t>Thebault, Erwan/0000-0002-7038-2855; Lesur, Vincent/0000-0003-2568-320X</t>
  </si>
  <si>
    <t>Centre National des Etudes Spatiales (CNES); ESA; NERC [bas0100031, NE/J020796/1] Funding Source: UKRI; Natural Environment Research Council [bas0100031, NE/J020796/1] Funding Source: researchfish</t>
  </si>
  <si>
    <t>Centre National des Etudes Spatiales (CNES)(Centre National D'etudes Spatiales); ESA(European Space Agency); NERC(UK Research &amp; Innovation (UKRI)Natural Environment Research Council (NERC)); Natural Environment Research Council(UK Research &amp; Innovation (UKRI)Natural Environment Research Council (NERC))</t>
  </si>
  <si>
    <t>We thank the International Space Science Institute (ISSI) for hosting the workshop Earth's Magnetic Field: Understanding Sources from the Earth's Interior and its Environment in May 2015 and the conveners C. Stolle, A. Richmond, N. Olsen and H. Opgenoorth for inviting us to write this review. The authors acknowledge ESA for providing access to the Swarm L1b data. This work was partly funded by the Centre National des Etudes Spatiales (CNES) within the context of the project of the Travaux preparatoires et exploitation de la mission Swarm and by ESA. For IPGP this is contribution number 3797.</t>
  </si>
  <si>
    <t>10.1007/s11214-016-0309-5</t>
  </si>
  <si>
    <t>WOS:000399021100008</t>
  </si>
  <si>
    <t>Laundal, KM; Cnossen, I; Milan, SE; Haaland, SE; Coxon, J; Pedatella, NM; Förster, M; Reistad, JP</t>
  </si>
  <si>
    <t>Laundal, K. M.; Cnossen, I.; Milan, S. E.; Haaland, S. E.; Coxon, J.; Pedatella, N. M.; Foerster, M.; Reistad, J. P.</t>
  </si>
  <si>
    <t>North-South Asymmetries in Earth's Magnetic Field</t>
  </si>
  <si>
    <t>North-South magnetic field asymmetries; Plasma convection; Thermospheric wind; Total electron content; Ion outflow; Ionospheric currents; Aurora</t>
  </si>
  <si>
    <t>AURORAL ELECTROJET INDEXES; LATITUDE IONOSPHERIC CONVECTION; GENERAL-CIRCULATION MODEL; POLAR-CAP; IMF-DEPENDENCE; MAGNETOCONJUGATE PHENOMENA; UPPER THERMOSPHERE; PROTON AURORA; MAGNETOSPHERE; CONJUGATE</t>
  </si>
  <si>
    <t>The solar-wind magnetosphere interaction primarily occurs at altitudes where the dipole component of Earth's magnetic field is dominating. The disturbances that are created in this interaction propagate along magnetic field lines and interact with the ionosphere-thermosphere system. At ionospheric altitudes, the Earth's field deviates significantly from a dipole. North-South asymmetries in the magnetic field imply that the magnetosphere-ionosphere-thermosphere (M-I-T) coupling is different in the two hemispheres. In this paper we review the primary differences in the magnetic field at polar latitudes, and the consequences that these have for the M-I-T coupling. We focus on two interhemispheric differences which are thought to have the strongest effects: 1) A difference in the offset between magnetic and geographic poles in the Northern and Southern Hemispheres, and 2) differences in the magnetic field strength at magnetically conjugate regions. These asymmetries lead to differences in plasma convection, neutral winds, total electron content, ion outflow, ionospheric currents and auroral precipitation.</t>
  </si>
  <si>
    <t>[Laundal, K. M.; Milan, S. E.; Haaland, S. E.; Reistad, J. P.] Univ Bergen, Birkeland Ctr Space Sci, Bergen, Norway; [Laundal, K. M.] Teknova AS, Kristiansand, Norway; [Cnossen, I.] British Antarctic Survey, Cambridge, England; [Milan, S. E.] Univ Leicester, Leicester, Leics, England; [Haaland, S. E.] Max Planck Inst Solar Syst Res, Gottingen, Germany; [Coxon, J.] Univ Southampton, Dept Phys &amp; Astron, Southampton SO17 1BJ, Hants, England; [Pedatella, N. M.] Univ Corp Atmospher Res, COSMIC Program Off, Boulder, CO USA; [Foerster, M.] German Res Ctr Geosci, Helmholtz Ctr Potsdam, Potsdam, Germany</t>
  </si>
  <si>
    <t>University of Bergen; UK Research &amp; Innovation (UKRI); Natural Environment Research Council (NERC); NERC British Antarctic Survey; University of Leicester; Max Planck Society; University of Southampton; National Center Atmospheric Research (NCAR) - USA; Helmholtz Association; Helmholtz-Center Potsdam GFZ German Research Center for Geosciences</t>
  </si>
  <si>
    <t>Laundal, KM (corresponding author), Univ Bergen, Birkeland Ctr Space Sci, Bergen, Norway.;Laundal, KM (corresponding author), Teknova AS, Kristiansand, Norway.</t>
  </si>
  <si>
    <t>karl.laundal@ift.uib.no</t>
  </si>
  <si>
    <t>Reistad, Jone Peter/AAE-5439-2021; Coxon, John/AAN-9355-2021; Cnossen, Ingrid/E-5809-2010; Laundal, Karl/GXZ-6326-2022; Pedatella, Nicholas/Q-2242-2015</t>
  </si>
  <si>
    <t>Reistad, Jone Peter/0000-0003-3509-5479; Coxon, John/0000-0002-0166-6854; Cnossen, Ingrid/0000-0001-6469-7861; Laundal, Karl/0000-0001-5028-4943; Foerster, Matthias/0000-0002-1104-2471; Pedatella, Nicholas/0000-0002-8878-5126; Milan, Steve/0000-0001-5050-9604</t>
  </si>
  <si>
    <t>Research Council of Norway/CoE [223252/F50]; Natural Environment Research Council [NE/J018058/1]; U.S. National Science Foundation [AGS-1522830]; Natural Environment Research Council (NERC) [NE/L007177/1]; International Space Science Institute; Directorate For Geosciences; Div Atmospheric &amp; Geospace Sciences [1522830] Funding Source: National Science Foundation; Natural Environment Research Council [NE/J018058/1, bas0100031] Funding Source: researchfish; Science and Technology Facilities Council [ST/K001000/1, 1237840] Funding Source: researchfish; NERC [NE/L007177/1, bas0100031, NE/J018058/1] Funding Source: UKRI; STFC [ST/K001000/1] Funding Source: UKRI</t>
  </si>
  <si>
    <t>Research Council of Norway/CoE; Natural Environment Research Council(UK Research &amp; Innovation (UKRI)Natural Environment Research Council (NERC)); U.S. National Science Foundation(National Science Foundation (NSF)); Natural Environment Research Council (NERC)(UK Research &amp; Innovation (UKRI)Natural Environment Research Council (NERC)); International Space Science Institute; Directorate For Geosciences; Div Atmospheric &amp; Geospace Sciences(National Science Foundation (NSF)NSF - Directorate for Geosciences (GEO));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</si>
  <si>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KML, SEM, SH, and JPR were supported by the Research Council of Norway/CoE under contract 223252/F50. IC was supported by a fellowship of the Natural Environment Research Council, grant number NE/J018058/1. NP was supported by the U.S. National Science Foundation AGS-1522830. JCC was funded by Natural Environment Research Council (NERC) grant NE/L007177/1. We acknowledge the International Space Science Institute for support for our international team on Magnetosphere-ionosphere-thermosphere coupling: differences and similarities between the two hemispheres.</t>
  </si>
  <si>
    <t>10.1007/s11214-016-0273-0</t>
  </si>
  <si>
    <t>Green Published, Green Accepted, hybrid, Green Submitted</t>
  </si>
  <si>
    <t>WOS:000399021100009</t>
  </si>
  <si>
    <t>Cnossen, I</t>
  </si>
  <si>
    <t>Cnossen, Ingrid</t>
  </si>
  <si>
    <t>The Impact of Century-Scale Changes in the Core Magnetic Field on External Magnetic Field Contributions</t>
  </si>
  <si>
    <t>Magnetic field; Magnetosphere; Ionosphere; Secular variation; Current systems</t>
  </si>
  <si>
    <t>GENERAL-CIRCULATION MODEL; IONOSPHERE-THERMOSPHERE MODEL; ALIGNED CURRENTS; DYNAMO ACTION; GEOMAGNETIC-VARIATIONS; CURRENT SYSTEM; PALEOMAGNETOSPHERE; SIMULATION; ELECTRODYNAMICS; CONDUCTIVITY</t>
  </si>
  <si>
    <t>The Earth's internal magnetic field controls to a degree the strength, geographic positioning, and structure of currents flowing in the ionosphere and magnetosphere, which produce their own (external) magnetic fields. The secular variation of the Earth's internal magnetic field can therefore lead to long-term changes in the externally produced magnetic field as well. Here we will examine this more closely. First, we obtain scaling relations to describe how the strength of magnetic perturbations associated with various different current systems in the ionosphere and magnetosphere depends on the internal magnetic field intensity. Second, we discuss how changes in the orientation of a simple dipolar magnetic field will affect the current systems. Third, we use model simulations to study how actual changes in the Earth's internal magnetic field between 1908 and 2008 have affected some of the relevant current systems. The influence of the internal magnetic field on low- to mid-latitude currents in the ionosphere is relatively well understood, while the effects on high-latitude current systems and currents in the magnetosphere still pose considerable challenges.</t>
  </si>
  <si>
    <t>[Cnossen, Ingrid] British Antarctic Survey, Madingley Rd, Cambridge CB3 0ET, England; [Cnossen, Ingrid] GFZ German Ctr Geosci, D-14473 Potsdam, Germany</t>
  </si>
  <si>
    <t>UK Research &amp; Innovation (UKRI); Natural Environment Research Council (NERC); NERC British Antarctic Survey; Helmholtz Association; Helmholtz-Center Potsdam GFZ German Research Center for Geosciences</t>
  </si>
  <si>
    <t>Cnossen, I (corresponding author), British Antarctic Survey, Madingley Rd, Cambridge CB3 0ET, England.;Cnossen, I (corresponding author), GFZ German Ctr Geosci, D-14473 Potsdam, Germany.</t>
  </si>
  <si>
    <t>icnossen@gfz-potsdam.de</t>
  </si>
  <si>
    <t>Cnossen, Ingrid/E-5809-2010</t>
  </si>
  <si>
    <t>Cnossen, Ingrid/0000-0001-6469-7861</t>
  </si>
  <si>
    <t>Natural Environment Research Council [NE/J018058/1]; NERC [bas0100031, NE/J018058/1] Funding Source: UKRI; Natural Environment Research Council [bas0100031, NE/J018058/1] Funding Source: researchfish</t>
  </si>
  <si>
    <t>Part of this work was sponsored by a fellowship of the Natural Environment Research Council, grant number NE/J018058/1. I am grateful to Arthur D. Richmond for helpful comments on an earlier draft of the manuscript and to Christopher C. Finlay for useful discussions on the content of Sect. 5.</t>
  </si>
  <si>
    <t>10.1007/s11214-016-0276-x</t>
  </si>
  <si>
    <t>WOS:000399021100010</t>
  </si>
  <si>
    <t>Kocot, KM; Struck, TH; Merkel, J; Waits, DS; Todt, C; Brannock, PM; Weese, DA; Cannon, JT; Moroz, LL; Lieb, B; Halanych, KM</t>
  </si>
  <si>
    <t>Kocot, Kevin M.; Struck, Torsten H.; Merkel, Julia; Waits, Damien S.; Todt, Christiane; Brannock, Pamela M.; Weese, David A.; Cannon, Johanna T.; Moroz, Leonid L.; Lieb, Bernhard; Halanych, Kenneth M.</t>
  </si>
  <si>
    <t>Phylogenomics of Lophotrochozoa with Consideration of Systematic Error</t>
  </si>
  <si>
    <t>SYSTEMATIC BIOLOGY</t>
  </si>
  <si>
    <t>Annelida; Brachiopoda; Bryozoa; Entoprocta; Mollusca; Nemertea; Phoronida; Platyzoa; Polyzoa; Spiralia; Trochozoa</t>
  </si>
  <si>
    <t>18S RIBOSOMAL DNA; PHYLOGENETIC POSITION; MISSING DATA; MAXIMUM-LIKELIHOOD; ANIMAL PHYLOGENY; LARGE-SUBUNIT; COMPOSITIONAL HETEROGENEITY; BILATERIAN PHYLOGENY; METAZOAN PHYLOGENY; MOLECULAR EVIDENCE</t>
  </si>
  <si>
    <t>Phylogenomic studies have improved understanding of deep metazoan phylogeny and show promise for resolving incongruences among analyses based on limited numbers of loci. One region of the animal tree that has been especially difficult to resolve, even with phylogenomic approaches, is relationships within Lophotrochozoa (the animal clade that includes molluscs, annelids, and flatworms among others). Lack of resolution in phylogenomic analyses could be due to insufficient phylogenetic signal, limitations in taxon and/ or gene sampling, or systematic error. Here, we investigated why lophotrochozoan phylogeny has been such a difficult question to answer by identifying and reducing sources of systematic error. We supplemented existing data with 32 new transcriptomes spanning the diversity of Lophotrochozoa and constructed a new set of Lophotrochozoa-specific core orthologs. Of these, 638 orthologous groups (OGs) passed strict screening for paralogy using a tree-based approach. In order to reduce possible sources of systematic error, we calculated branch-length heterogeneity, evolutionary rate, percent missing data, compositional bias, and saturation for each OG and analyzed increasingly stricter subsets of only the most stringent (best) OGs for these five variables. Principal component analysis of the values for each factor examined for each OG revealed that compositional heterogeneity and average patristic distance contributed most to the variance observed along the first principal component while branch-length heterogeneity and, to a lesser extent, saturation contributed most to the variance observed along the second. Missing data did not strongly contribute to either. Additional sensitivity analyses examined effects of removing taxa with heterogeneous branch lengths, large amounts of missing data, and compositional heterogeneity. Although our analyses do not unambiguously resolve lophotrochozoan phylogeny, we advance the field by reducing the list of viable hypotheses. Moreover, our systematic approach for dissection of phylogenomic data can be applied to explore sources of incongruence and poor support in any phylogenomic data set.</t>
  </si>
  <si>
    <t>[Kocot, Kevin M.; Waits, Damien S.; Brannock, Pamela M.; Weese, David A.; Cannon, Johanna T.; Halanych, Kenneth M.] Auburn Univ, Dept Biol Sci, 101 Rouse Life Sci, Auburn, AL 36849 USA; [Kocot, Kevin M.] Univ Alabama, Dept Biol Sci, 307 Mary Harmon Bryant Hall, Tuscaloosa, AL 35487 USA; [Kocot, Kevin M.] Univ Alabama, Alabama Museum Nat Hist, 307 Mary Harmon Bryant Hall, Tuscaloosa, AL 35487 USA; [Struck, Torsten H.] Univ Oslo, Nat Hist Museum, Dept Res &amp; Collect, POB 1172 Blindern, N-0318 Oslo, Norway; [Merkel, Julia; Lieb, Bernhard] Johannes Gutenberg Univ Mainz, Inst Zool, D-55099 Mainz, Germany; [Todt, Christiane] Univ Bergen, Nat Hist Collect, Univ Museum Bergen, Allegaten 41, N-5007 Bergen, Norway; [Weese, David A.] Georgia Coll &amp; State Univ, Dept Biol &amp; Environm Sci, Campus Box 81, Milledgeville, GA 31061 USA; [Cannon, Johanna T.] Nat Hist Riksmuseet, Dept Zool, Box 50007, S-10405 Stockholm, Sweden; [Moroz, Leonid L.] Univ Florida, Whitney Lab Marine Biosci, 9505 Ocean Shore Blvd, St Augustine, FL 32080 USA</t>
  </si>
  <si>
    <t>Auburn University System; Auburn University; University of Alabama System; University of Alabama Tuscaloosa; University of Alabama System; University of Alabama Tuscaloosa; University of Oslo; Johannes Gutenberg University of Mainz; University of Bergen; University System of Georgia; Georgia College &amp; State University; State University System of Florida; University of Florida</t>
  </si>
  <si>
    <t>Halanych, KM (corresponding author), Auburn Univ, Dept Biol Sci, 101 Rouse Life Sci, Auburn, AL 36849 USA.</t>
  </si>
  <si>
    <t>ken@auburn.edu</t>
  </si>
  <si>
    <t>Kocot, Kevin/K-9087-2016; Halanych, Ken M/A-9480-2009; Lieb, Bernhard/AFT-2157-2022; Cannon, Johanna/V-3842-2019; Weese, David A/A-6879-2012</t>
  </si>
  <si>
    <t>Cannon, Johanna/0000-0002-3920-7741; Waits, Damien/0000-0003-0973-8629; Brannock, Pamela/0000-0003-1677-453X; Moroz, Leonid/0000-0002-1333-3176</t>
  </si>
  <si>
    <t>National Science Foundation [DEB-1036537, IOS-0843473, DEB-1051106, OCE-1155188, DEB-1210518, DBI-1306538]; DFG (Feldbausch Foundation and the IUFF, both University of Mainz) [STR-683/8-1, Li 998/9-1]; National Science Foundation grants [IOS-1457162, 0744649, OPP9910164, OPP0338218, ANT1043745]; Norwegian Taxonomy Initiative [70184222]; Research Council of Norway [210460]; Direct For Biological Sciences; Division Of Environmental Biology [1036537] Funding Source: National Science Foundation; Division Of Integrative Organismal Systems; Direct For Biological Sciences [0744649, 1457162] Funding Source: National Science Foundation; Division Of Ocean Sciences; Directorate For Geosciences [1155188] Funding Source: National Science Foundation</t>
  </si>
  <si>
    <t>National Science Foundation(National Science Foundation (NSF)); DFG (Feldbausch Foundation and the IUFF, both University of Mainz); National Science Foundation grants(National Science Foundation (NSF)); Norwegian Taxonomy Initiative; Research Council of Norway(Research Council of Norway); Direct For Biological Sciences; Division Of Environmental Biology(National Science Foundation (NSF)NSF - Directorate for Biological Sciences (BIO)); Division Of Integrative Organismal Systems; Direct For Biological Sciences(National Science Foundation (NSF)NSF - Directorate for Biological Sciences (BIO)NSF - Division of Integrative Organismal Systems (IOS)); Division Of Ocean Sciences; Directorate For Geosciences(National Science Foundation (NSF)NSF - Directorate for Geosciences (GEO))</t>
  </si>
  <si>
    <t>This work was supported by the National Science Foundation [DEB-1036537, IOS-0843473, DEB-1051106, and OCE-1155188 to K.M.H.; NSF DEB-1210518 and DBI-1306538 to K.M.K.; DFG STR-683/8-1 to T.H.S.; DFG (Li 998/9-1/Feldbausch Foundation and the IUFF, both University of Mainz) to B.L.; and National Science Foundation grants IOS-1457162 and 0744649 to L.L.M.]. Antarctic collections were supported by National Science Foundation grants [OPP9910164, OPP0338218, and ANT1043745 to K.M.H.]. Norwegian aplacophoran collection was funded by Norwegian Taxonomy Initiative project number 70184222 and The Research Council of Norway project number 210460 [to C.T.].</t>
  </si>
  <si>
    <t>1063-5157</t>
  </si>
  <si>
    <t>1076-836X</t>
  </si>
  <si>
    <t>SYST BIOL</t>
  </si>
  <si>
    <t>Syst. Biol.</t>
  </si>
  <si>
    <t>10.1093/sysbio/syw079</t>
  </si>
  <si>
    <t>EP9OV</t>
  </si>
  <si>
    <t>WOS:000397703800011</t>
  </si>
  <si>
    <t>Blanchard, JL; Heneghan, RF; Everett, JD; Trebilco, R; Richardson, AJ</t>
  </si>
  <si>
    <t>Blanchard, Julia L.; Heneghan, Ryan F.; Everett, Jason D.; Trebilco, Rowan; Richardson, Anthony J.</t>
  </si>
  <si>
    <t>From Bacteria to Whales: Using Functional Size Spectra to Model Marine Ecosystems</t>
  </si>
  <si>
    <t>TRENDS IN ECOLOGY &amp; EVOLUTION</t>
  </si>
  <si>
    <t>BODY-SIZE; FISH COMMUNITY; CLIMATE-CHANGE; STRUCTURED POPULATIONS; PELAGIC ECOSYSTEM; FOOD WEBS; BIOMASS; PLANKTON; ABUNDANCE; IMPACTS</t>
  </si>
  <si>
    <t>Size-based ecosystem modeling is emerging as a powerful way to assess ecosystem-level impacts of human- and environment-driven changes from individual-level processes. These models have evolved as mechanistic explanations for observed regular patterns of abundance across the marine size spectrum hypothesized to hold from bacteria to whales. Fifty years since the first size spectrum measurements, we ask how far have we come? Although recent modeling studies capture an impressive range of sizes, complexity, and real-world applications, ecosystem coverage is still only partial. We describe how this can be overcome by unifying functional traits with size spectra (which we call functional size spectra) and highlight the key knowledge gaps that need to be filled to model ecosystems from bacteria to whales.</t>
  </si>
  <si>
    <t>[Blanchard, Julia L.] Univ Tasmania, Inst Marine &amp; Antarctic Studies, 20 Castray Esplanade,Battery Point, Hobart, Tas 7000, Australia; [Blanchard, Julia L.] Univ Tasmania, Ctr Marine Socioecol, 20 Castray Esplanade,Battery Point, Hobart, Tas 7000, Australia; [Heneghan, Ryan F.; Richardson, Anthony J.] Univ Queensland, Ctr Applicat Nat Resource Math CARM, Sch Math &amp; Phys, St Lucia, Qld 4072, Australia; [Everett, Jason D.] Univ New South Wales, Evolut &amp; Ecol Res Ctr, Sydney, NSW 2052, Australia; [Everett, Jason D.] Sydney Inst Marine Sci, Bldg 22,Chowder Bay Rd, Mosman, NSW 2088, Australia; [Trebilco, Rowan] Univ Tasmania, Antarctic Climate &amp; Ecosyst Cooperat Res Ctr, Private Bag 80, Hobart, Tas 7001, Australia; [Richardson, Anthony J.] CSIRO, Oceans &amp; Atmosphere Ecosci Precinct, GPO Box 2583, Brisbane, Qld 4102, Australia</t>
  </si>
  <si>
    <t>University of Tasmania; University of Tasmania; University of Queensland; University of New South Wales Sydney; Sydney Institute of Marine Science; Antarctic Climate &amp; Ecosystems Cooperative Research Centre (ACE CRC); University of Tasmania; Commonwealth Scientific &amp; Industrial Research Organisation (CSIRO)</t>
  </si>
  <si>
    <t>Blanchard, JL (corresponding author), Univ Tasmania, Inst Marine &amp; Antarctic Studies, 20 Castray Esplanade,Battery Point, Hobart, Tas 7000, Australia.;Blanchard, JL (corresponding author), Univ Tasmania, Ctr Marine Socioecol, 20 Castray Esplanade,Battery Point, Hobart, Tas 7000, Australia.</t>
  </si>
  <si>
    <t>julia.blanchard@utas.edu.au</t>
  </si>
  <si>
    <t>Richardson, Anthony J/B-3649-2010; Trebilco, Rowan/I-5311-2012; Blanchard, Julia L/E-4919-2010; Everett, Jason/C-4557-2008</t>
  </si>
  <si>
    <t>Richardson, Anthony J/0000-0002-9289-7366; Trebilco, Rowan/0000-0001-9712-8016; Heneghan, Ryan/0000-0001-7626-1248; Blanchard, Julia/0000-0003-0532-4824; Everett, Jason/0000-0002-6681-8054</t>
  </si>
  <si>
    <t>UK Natural Environment Research Council; Department for Environment, Food and Rural Affairs [NE/L003279/1]; ARC [DP150102656]; Australian Postgraduate Award; RJL Hawke Postdoctoral Fellowship</t>
  </si>
  <si>
    <t>UK Natural Environment Research Council(UK Research &amp; Innovation (UKRI)Natural Environment Research Council (NERC)); Department for Environment, Food and Rural Affairs(Department for Environment, Food &amp; Rural Affairs (DEFRA)); ARC(Australian Research Council); Australian Postgraduate Award(Australian Government); RJL Hawke Postdoctoral Fellowship</t>
  </si>
  <si>
    <t>J.L.B. acknowledges support from the UK Natural Environment Research Council and Department for Environment, Food and Rural Affairs (NE/L003279/1, Marine Ecosystems Research Programme). J.D.E. was funded by an ARC Discovery Grant (DP150102656), R.F.H. was funded by an Australian Postgraduate Award, and RT was funded by the RJL Hawke Postdoctoral Fellowship. We thank Richard Law, Kirsty Nash, Stacey McCormack, and an anonymous reviewer for their helpful comments on previous versions of this manuscript.</t>
  </si>
  <si>
    <t>0169-5347</t>
  </si>
  <si>
    <t>1872-8383</t>
  </si>
  <si>
    <t>TRENDS ECOL EVOL</t>
  </si>
  <si>
    <t>Trends Ecol. Evol.</t>
  </si>
  <si>
    <t>10.1016/j.tree.2016.12.003</t>
  </si>
  <si>
    <t>Ecology; Evolutionary Biology; Genetics &amp; Heredity</t>
  </si>
  <si>
    <t>Environmental Sciences &amp; Ecology; Evolutionary Biology; Genetics &amp; Heredity</t>
  </si>
  <si>
    <t>EM9DQ</t>
  </si>
  <si>
    <t>WOS:000395611900003</t>
  </si>
  <si>
    <t>Espejo, W; Celis, JE; Sandoval, M; González-Acuña, D; Barra, R; Capulín, J</t>
  </si>
  <si>
    <t>Espejo, Winfred; Celis, Jose E.; Sandoval, Marco; Gonzalez-Acuna, Daniel; Barra, Ricardo; Capulin, Juan</t>
  </si>
  <si>
    <t>The Impact of Penguins on the Content of Trace Elements and Nutrients in Coastal Soils of North Western Chile and the Antarctic Peninsula Area</t>
  </si>
  <si>
    <t>Trace metals; Heavy metals; Nutrients; Seabirds; Soil; Biotransport; Penguins</t>
  </si>
  <si>
    <t>HEAVY-METAL CONTAMINATION; DIFFERENT LOCATIONS; GENTOO PENGUINS; MARINE BIRDS; SEDIMENTS; PLANTS; ISLAND; RANGE; LAND; PHYTOTOXICITY</t>
  </si>
  <si>
    <t>In isolated areas without direct human impact where several species of seabirds nest, transformations affecting the soil come mainly from natural processes, such as chemical enrichment caused by seabirds. Penguins constitute an important bird biomass in the Southern Hemisphere, where they breed in colonies on different sites from 100 to thousands of individuals. The accumulation of trace elements and nutrients in soils within two perennial colonies of Humboldt penguins (Spheniscus humboldti) located in north western Chile and three colonies of Adelie penguins (Pygoscelis adeliae) in the Antarctic Peninsula area were investigated here. Surface soil samples were collected directly from nesting sites. Control samples were taken outside the colonies within sites adjacent to the nesting areas, but not affected by bird excrement. The contents of Cd, Co, Cr, Cu, Mo, Ni, Sr, V and Zn were determined by inductively coupled plasma optical emission spectrometry. Ammonium (NH4) and nitrate (NO3) ions were determined colorimetrically. Extractable potassium (K) was determined by flame emission spectrometry, and available phosphorus (Olsen-P) was determined by spectrophotometry. The highest concentrations of trace metals (Cd, Co, Cr, Cu, Mo, V and Zn) and macronutrients (available N, K and P), along with an increase in salinity and acidity levels, were found directly below the seabird colony, a situation occurring in northern Chile as well as in the Antarctic Peninsula area, highlighting the role that penguins have as bio-vectors on generating geochemical changes in different ecosystems. Some terrestrial plants and animals that live near those penguin colonies might be affected at a greater level than the organisms that live in sites similar but distant from colonies of birds. New data about the role of these species of seabirds as bio-vectors of chemical contaminants are added.</t>
  </si>
  <si>
    <t>[Espejo, Winfred; Barra, Ricardo] Univ Concepcion, Fac Environm Sci, Dept Aquat Syst, Casilla 160-C, Concepcion, Chile; [Espejo, Winfred; Barra, Ricardo] Univ Concepcion, EULA Chile Ctr, Casilla 160-C, Concepcion, Chile; [Celis, Jose E.; Gonzalez-Acuna, Daniel] Univ Concepcion, Dept Anim Sci, Fac Ciencias Vet, Casilla 537, Chillan, Chile; [Sandoval, Marco] Univ Concepcion, Dept Soil &amp; Nat Resources, Fac Agron, Casilla 537, Chillan, Chile; [Capulin, Juan] Univ Autonoma Estado Hidalgo, Inst Ciencias Agr, Km 1 S-N, Tulancingo, Mexico</t>
  </si>
  <si>
    <t>Universidad de Concepcion; Universidad de Concepcion; Universidad de Concepcion; Universidad de Concepcion; Universidad Autonoma del Estado de Hidalgo</t>
  </si>
  <si>
    <t>Celis, JE (corresponding author), Univ Concepcion, Dept Anim Sci, Fac Ciencias Vet, Casilla 537, Chillan, Chile.</t>
  </si>
  <si>
    <t>jcelis@udec.cl</t>
  </si>
  <si>
    <t>Espejo, Winfred/AAO-7150-2020; Barra, Ricardo O./A-5543-2009; CELIS, JOSE/AAP-6048-2021</t>
  </si>
  <si>
    <t>Barra, Ricardo O./0000-0002-1567-7722; CELIS, JOSE E./0000-0002-2458-1239; Espejo, Winfred/0000-0002-3753-2006</t>
  </si>
  <si>
    <t>INACH [RG 09-14]; VRID [214.074.051-1.0]; FONDAP-CONICYT CRHIAM [15-13-0015]</t>
  </si>
  <si>
    <t>INACH; VRID; FONDAP-CONICYT CRHIAM</t>
  </si>
  <si>
    <t>We thank the Instituto Antartico Chileno (INACH) for providing logistical support. This study was financially supported by the project INACH RG 09-14 granted to J. Celis, project VRID 214.074.051-1.0 gamed to M. Sandoval and project FONDAP-CONICYT CRHIAM 15-13-0015 granted to R. Barra. Also, many thanks are due to Dr. Mario Briones for all the statistical analyses. We finally thank Diane Haughney and Jeff Elhai for their useful contributions of the English revision.</t>
  </si>
  <si>
    <t>10.1007/s11270-017-3303-y</t>
  </si>
  <si>
    <t>EQ1HQ</t>
  </si>
  <si>
    <t>WOS:000397821100031</t>
  </si>
  <si>
    <t>Odeyemi, OA</t>
  </si>
  <si>
    <t>Odeyemi, Olumide A.</t>
  </si>
  <si>
    <t>Microtiter plate assay methods of classification of bacterial biofilm formation</t>
  </si>
  <si>
    <t>Biofilm formation; Food safety; Microbial ecology; Foodborne pathogens</t>
  </si>
  <si>
    <t>FOOD CONTACT SURFACES; VIBRIO-PARAHAEMOLYTICUS; CAMPYLOBACTER-JEJUNI; ESCHERICHIA-COLI; VARIABILITY; INFECTION</t>
  </si>
  <si>
    <t>[Odeyemi, Olumide A.] Univ Tasmania, Inst Marine &amp; Antarctic Studies, Aquaculture Microbiol Lab, Ecol &amp; Biodivers Ctr, Launceston, Tas, Australia</t>
  </si>
  <si>
    <t>Odeyemi, OA (corresponding author), Univ Tasmania, Inst Marine &amp; Antarctic Studies, Aquaculture Microbiol Lab, Ecol &amp; Biodivers Ctr, Launceston, Tas, Australia.</t>
  </si>
  <si>
    <t>olumide.odeyemi@utas.edu.au</t>
  </si>
  <si>
    <t>Odeyemi, Olumide A/ABE-3206-2021</t>
  </si>
  <si>
    <t>Odeyemi, Olumide A/0000-0002-6041-5027</t>
  </si>
  <si>
    <t>10.1016/j.foodcont.2016.08.049</t>
  </si>
  <si>
    <t>EG3SU</t>
  </si>
  <si>
    <t>WOS:000390965800016</t>
  </si>
  <si>
    <t>He, L; Mao, YZ; Zhang, LJ; Wang, HL; Alias, SA; Gao, B; Wei, DZ</t>
  </si>
  <si>
    <t>He, Lei; Mao, Youzhi; Zhang, Lujia; Wang, Hualei; Alias, Siti Aisyah; Gao, Bei; Wei, Dongzhi</t>
  </si>
  <si>
    <t>Functional expression of a novel α-amylase from Antarctic psychrotolerant fungus for baking industry and its magnetic immobilization</t>
  </si>
  <si>
    <t>BMC BIOTECHNOLOGY</t>
  </si>
  <si>
    <t>alpha-Amylase; Antarctic fungus; Biochemical properties; Bread quality; Immobilization</t>
  </si>
  <si>
    <t>PURIFICATION; ESTERASE; LACCASE; CLONING; GENE; HYDROLYSIS; SEQUENCE; ENZYME</t>
  </si>
  <si>
    <t>Background: alpha-Amylase plays a pivotal role in a broad range of industrial processes. To meet increasing demands of biocatalytic tasks, considerable efforts have been made to isolate enzymes produced by extremophiles. However, the relevant data of a-amylases from cold-adapted fungi are still insufficient. In addition, bread quality presents a particular interest due to its high consummation. Thus developing amylases to improve textural properties could combine health benefits with good sensory properties. Furthermore, iron oxide nanoparticles provide an economical and convenient method for separation of biomacromolecules. In order to maximize the catalytic efficiency of alpha-amylase and support further applications, a comprehensive characterization of magnetic immobilization of alpha-amylase is crucial and needed. Results: A novel alpha-amylase (AmyA1) containing an open reading frame of 1482 bp was cloned from Antarctic psychrotolerant fungus G. pannorum and then expressed in the newly constructed Aspergillus oryzae system. The purified recombinant AmyA1 was approximate 52 kDa. AmyA1 was optimally active at pH 5.0 and 40 degrees C, and retained over 20% of maximal activity at 0-20 degrees C. The K-m and V-max values toward soluble starch were 2.51 mg/mL and 8.24 x 10(-2) mg/(mL min) respectively, with specific activity of 12.8 x 10(3) U/mg. AmyA1 presented broad substrate specificity, and the main hydrolysis products were glucose, maltose, and maltotetraose. The influence of AmyA1 on the quality of bread was further investigated. The application study shows a 26% increase in specific volume, 14.5% increase in cohesiveness and 14.1% decrease in gumminess in comparison with the control. AmyA1 was immobilized on magnetic nanoparticles and characterized. The immobilized enzyme showed improved thermostability and enhanced pH tolerance under neutral conditions. Also, magnetically immobilized AmyA1 can be easily recovered and reused for maximum utilization. Conclusions: A novel alpha-amylase (AmyA1) from Antarctic psychrotolerant fungus was cloned, heterologous expression in Aspergillus oryzae, and characterized. The detailed report of the enzymatic properties of AmyA1 gives new insights into fungal cold-adapted amylase. Application study showed potential value of AmyA1 in the food and starch fields. In addition, AmyA1 was immobilized on magnetic nanoparticles and characterized. The improved stability and longer service life of AmyA1 could potentially benefit industrial applications.</t>
  </si>
  <si>
    <t>[He, Lei; Mao, Youzhi; Zhang, Lujia; Wang, Hualei; Gao, Bei; Wei, Dongzhi] East China Univ Sci &amp; Technol, New World Inst Biotechnol, State Key Lab Bioreactor Engn, POB 311130 Meilong Rd, Shanghai 200237, Peoples R China; [Alias, Siti Aisyah] Univ Malaya, Inst Ocean &amp; Earth Sci, Inst Postgrad Studies C308, Kuala Lumpur 50603, Malaysia</t>
  </si>
  <si>
    <t>East China University of Science &amp; Technology; Universiti Malaya</t>
  </si>
  <si>
    <t>Gao, B (corresponding author), East China Univ Sci &amp; Technol, New World Inst Biotechnol, State Key Lab Bioreactor Engn, POB 311130 Meilong Rd, Shanghai 200237, Peoples R China.</t>
  </si>
  <si>
    <t>gaobei@ecust.edu.cn</t>
  </si>
  <si>
    <t>Zhang, Lujia/ABI-3724-2020; FASc, SITI AISYAH A. HJ ALIAS/B-9785-2010; Wei, Dongzhi/AAJ-3404-2021; Wang, Hualei/S-7920-2018</t>
  </si>
  <si>
    <t>Zhang, Lujia/0000-0003-3566-917X; FASc, SITI AISYAH A. HJ ALIAS/0000-0002-6759-5745;</t>
  </si>
  <si>
    <t>Natural Science Foundation of Shanghai [16ZR1449500]; National High Technology Research and Development Program of China [2013AA102109]; National Natural Foundation of China [31571786, 21406068/B060804]</t>
  </si>
  <si>
    <t>Natural Science Foundation of Shanghai(Natural Science Foundation of Shanghai); National High Technology Research and Development Program of China(National High Technology Research and Development Program of China); National Natural Foundation of China(National Natural Science Foundation of China (NSFC))</t>
  </si>
  <si>
    <t>This work was funded by Natural Science Foundation of Shanghai (No. 16ZR1449500), the National High Technology Research and Development Program of China (No. 2013AA102109), the National Natural Foundation of China (No. 31571786), and the National Natural Foundation of China (No. 21406068/B060804).</t>
  </si>
  <si>
    <t>1472-6750</t>
  </si>
  <si>
    <t>BMC BIOTECHNOL</t>
  </si>
  <si>
    <t>BMC Biotechnol.</t>
  </si>
  <si>
    <t>FEB 28</t>
  </si>
  <si>
    <t>10.1186/s12896-017-0343-8</t>
  </si>
  <si>
    <t>EN5YA</t>
  </si>
  <si>
    <t>WOS:000396080500001</t>
  </si>
  <si>
    <t>de Souza, EB; Cherwinka, J; Cole, A; Ezeribe, AC; Grant, D; Halzen, F; Heeger, KM; Hsu, L; Hubbard, AJF; Jo, JH; Karle, A; Kauer, M; Kudryavtsev, VA; Lim, KE; Macdonald, C; Maruyama, RH; Mouton, F; Paling, SM; Pettus, W; Pierpoint, ZP; Reilly, BN; Robinson, M; Rogers, FR; Sandstrom, P; Scarff, A; Spooner, NJC; Telfer, S; Yang, L</t>
  </si>
  <si>
    <t>de Souza, E. Barbosa; Cherwinka, J.; Cole, A.; Ezeribe, A. C.; Grant, D.; Halzen, F.; Heeger, K. M.; Hsu, L.; Hubbard, A. J. F.; Jo, J. H.; Karle, A.; Kauer, M.; Kudryavtsev, V. A.; Lim, K. E.; Macdonald, C.; Maruyama, R. H.; Mouton, F.; Paling, S. M.; Pettus, W.; Pierpoint, Z. P.; Reilly, B. N.; Robinson, M.; Rogers, F. R.; Sandstrom, P.; Scarff, A.; Spooner, N. J. C.; Telfer, S.; Yang, L.</t>
  </si>
  <si>
    <t>DM-Ice Collaboration</t>
  </si>
  <si>
    <t>First search for a dark matter annual modulation signal with NaI(Tl) in the Southern Hemisphere by DM-Ice17</t>
  </si>
  <si>
    <t>PHYSICAL REVIEW D</t>
  </si>
  <si>
    <t>BACKGROUNDS; CRYSTALS; MODEL</t>
  </si>
  <si>
    <t>We present the first search for a dark matter annual modulation signal in the Southern Hemisphere conducted with NaI(Tl) detectors, performed by the DM-Ice17 experiment. Nuclear recoils from dark matter interactions are expected to yield an annually modulated signal independent of location within the Earth's hemispheres. DM-Ice17, the first step in the DM-Ice experimental program, consists of 17 kg of NaI (Tl) located at the South Pole under 2200 m.w.e. overburden of Antarctic glacial ice. Taken over 3.6 years for a total exposure of 60.8 kg yr, DM-Ice17 data are consistent with no modulation in the energy range of 4-20 keV, providing the strongest limits on weakly interacting massive particle dark matter from a direct detection experiment located in the Southern Hemisphere. The successful deployment and stable long-term operation of DM-Ice17 establishes the South Pole ice as a viable location for future dark matter searches and in particular for a high-sensitivity NaI(Tl) dark matter experiment to directly test the DAMA/LIBRA claim of the observation of dark matter.</t>
  </si>
  <si>
    <t>[de Souza, E. Barbosa; Heeger, K. M.; Hubbard, A. J. F.; Jo, J. H.; Kauer, M.; Lim, K. E.; Maruyama, R. H.; Pettus, W.; Pierpoint, Z. P.; Reilly, B. N.; Rogers, F. R.] Yale Univ, Dept Phys, New Haven, CT 06520 USA; [de Souza, E. Barbosa; Heeger, K. M.; Hubbard, A. J. F.; Jo, J. H.; Kauer, M.; Lim, K. E.; Maruyama, R. H.; Pettus, W.; Pierpoint, Z. P.; Reilly, B. N.; Rogers, F. R.] Yale Univ, Wright Lab, New Haven, CT 06520 USA; [Cherwinka, J.] Univ Wisconsin, Phys Sci Lab, Stoughton, WI 53589 USA; [Cole, A.; Ezeribe, A. C.; Kudryavtsev, V. A.; Macdonald, C.; Mouton, F.; Robinson, M.; Scarff, A.; Spooner, N. J. C.; Telfer, S.] Univ Sheffield, Dept Phys &amp; Astron, Sheffield S10 2TN, S Yorkshire, England; [Cole, A.; Paling, S. M.] STFC Boulby Underground Sci Facil, Boulby Mine TS13 4UZ, Cleveland, England; [Grant, D.] Univ Alberta, Dept Phys, Edmonton, AB T6G 2E1, Canada; [Halzen, F.; Hubbard, A. J. F.; Karle, A.; Kauer, M.; Pettus, W.; Pierpoint, Z. P.; Reilly, B. N.; Sandstrom, P.] Univ Wisconsin, Dept Phys, 1150 Univ Ave, Madison, WI 53706 USA; [Halzen, F.; Hubbard, A. J. F.; Karle, A.; Kauer, M.; Pettus, W.; Pierpoint, Z. P.; Reilly, B. N.; Sandstrom, P.] Univ Wisconsin, Wisconsin IceCube Particle Astrophys Ctr, Madison, WI 53706 USA; [Hsu, L.] Fermilab Natl Accelerator Lab, POB 500, Batavia, IL 60510 USA; [Yang, L.] Univ Illinois, Dept Phys, Urbana, IL 61801 USA; [Hubbard, A. J. F.] Northwestern Univ, Dept Phys &amp; Astron, Evanston, IL 60208 USA; [Pettus, W.] Univ Washington, CENPA, Seattle, WA 98195 USA; [Pettus, W.] Univ Washington, Dept Phys, Seattle, WA 98195 USA; [Reilly, B. N.] Univ Wisconsin Fox Valley, Dept Phys &amp; Astron, Menasha, WI 54952 USA; [Rogers, F. R.] MIT, Nucl Sci Lab, Cambridge, MA 02139 USA</t>
  </si>
  <si>
    <t>Yale University; Yale University; University of Wisconsin System; University of Sheffield; UK Research &amp; Innovation (UKRI); Science &amp; Technology Facilities Council (STFC); University of Alberta; University of Wisconsin System; University of Wisconsin Madison; University of Wisconsin System; University of Wisconsin Madison; United States Department of Energy (DOE); University of Chicago; Fermi National Accelerator Laboratory; University of Illinois System; University of Illinois Urbana-Champaign; Northwestern University; University of Washington; University of Washington Seattle; University of Washington; University of Washington Seattle; University of Wisconsin System; Massachusetts Institute of Technology (MIT)</t>
  </si>
  <si>
    <t>Maruyama, RH; Pierpoint, ZP (corresponding author), Yale Univ, Dept Phys, New Haven, CT 06520 USA.;Maruyama, RH; Pierpoint, ZP (corresponding author), Yale Univ, Wright Lab, New Haven, CT 06520 USA.;Pierpoint, ZP (corresponding author), Univ Wisconsin, Dept Phys, 1150 Univ Ave, Madison, WI 53706 USA.;Pierpoint, ZP (corresponding author), Univ Wisconsin, Wisconsin IceCube Particle Astrophys Ctr, Madison, WI 53706 USA.</t>
  </si>
  <si>
    <t>reina.maruyama@yale.edu; zachary.pierpoint@yale.edu</t>
  </si>
  <si>
    <t>Malek, Fairouz/E-4410-2018; Maruyama, Reina H/A-1064-2013; Lim, Kenneth EK/B-4977-2009; Kauer, Matt/AAY-7581-2020; Yang, Liang/AAT-9994-2020; Heeger, Karsten/A-9533-2011</t>
  </si>
  <si>
    <t>Malek, Fairouz/0000-0002-0948-5775; Maruyama, Reina H/0000-0003-2794-512X; Kauer, Matt/0000-0003-1830-9076; Yang, Liang/0000-0001-5272-050X; Hubbard, Antonia/0000-0002-4982-9413; Ezeribe, MInstP, MNIP, AMBCS, Dr. Anthony Chigbo/0000-0003-1604-2304; Scarff, Andrew/0000-0001-6514-6156; Spooner, Neil/0000-0001-7867-9293; Rogers, Field/0000-0003-3791-0107; Heeger, Karsten/0000-0002-4623-7543; Pettus, Walter/0000-0003-4947-7400; Kudryavtsev, Vitaly/0000-0002-7018-5827</t>
  </si>
  <si>
    <t>Alfred P. Sloan Foundation; WIPAC; Wisconsin Alumni Research Foundation; Yale University; Natural Sciences and Engineering Research Council of Canada; Fermilab [DE-AC02-07CH11359]; United States Department of Energy [DE-AC02-07CH11359]; DOE/NNSA [DE-FC52-08NA28752]; NSF [PLR-1046816, PHY-1151795, PHY-1457995, DGE-1256259]; Division Of Physics; Direct For Mathematical &amp; Physical Scien [1457995] Funding Source: National Science Foundation; Science and Technology Facilities Council [ST/K001337/1, ST/L006545/1, ST/H000917/2, ST/K001337/1 ATLAS Upgrades, ST/L003090/1, PP/E000371/1, ST/M002667/1, ST/N000277/1, ST/K001337/1 DMUK, ST/K001337/1 T2K, ST/K00302X/1, ST/H000917/1, ST/K001337/1 ATLAS, ST/K000799/1, ST/K001337/1 SNO+, ST/M00144X/1, ST/K001337/1 MICE, ST/P003788/1, ST/K001337/1 MICE/UKNF] Funding Source: researchfish; STFC [ST/L003090/1, ST/M002667/1, ST/M00144X/1, PP/E000371/1, ST/K000799/1, ST/H000917/2, ST/R000042/1, ST/K00302X/1, ST/N000277/1, ST/P003788/1, ST/L006545/1, ST/H000917/1, ST/K001337/1] Funding Source: UKRI</t>
  </si>
  <si>
    <t>Alfred P. Sloan Foundation(Alfred P. Sloan Foundation); WIPAC; Wisconsin Alumni Research Foundation; Yale University; Natural Sciences and Engineering Research Council of Canada(Natural Sciences and Engineering Research Council of Canada (NSERC)CGIAR); Fermilab; United States Department of Energy(United States Department of Energy (DOE)); DOE/NNSA(National Nuclear Security AdministrationUnited States Department of Energy (DOE)); NSF(National Science Foundation (NSF)); Division Of Physics; Direct For Mathematical &amp; Physical Scien(National Science Foundation (NSF)NSF - Directorate for Mathematical &amp; Physical Sciences (MPS)); Science and Technology Facilities Council(UK Research &amp; Innovation (UKRI)Science &amp; Technology Facilities Council (STFC)); STFC(UK Research &amp; Innovation (UKRI)Science &amp; Technology Facilities Council (STFC))</t>
  </si>
  <si>
    <t>We thank the Wisconsin IceCube Particle Astrophysics Center (WIPAC) and the IceCube Collaboration for their ongoing experimental support and data management. We thank Chris Toth and Emma Meehan for operational support at Boulby Underground Lab. This work was supported in part by the Alfred P. Sloan Foundation Fellowship, NSF Grants No. PLR-1046816, No. PHY-1151795, and No. PHY-1457995, WIPAC, the Wisconsin Alumni Research Foundation, Yale University, the Natural Sciences and Engineering Research Council of Canada, and Fermilab, operated by Fermi Research Alliance, LLC under Contract No. DE-AC02-07CH11359 with the United States Department of Energy. W. P. and A. H. were supported by the DOE/NNSA Stewardship Science Graduate Fellowship (Grant No. DE-FC52-08NA28752) and NSF Graduate Research Fellowship (Grant No. DGE-1256259) respectively.</t>
  </si>
  <si>
    <t>AMER PHYSICAL SOC</t>
  </si>
  <si>
    <t>COLLEGE PK</t>
  </si>
  <si>
    <t>ONE PHYSICS ELLIPSE, COLLEGE PK, MD 20740-3844 USA</t>
  </si>
  <si>
    <t>2470-0010</t>
  </si>
  <si>
    <t>2470-0029</t>
  </si>
  <si>
    <t>PHYS REV D</t>
  </si>
  <si>
    <t>Phys. Rev. D</t>
  </si>
  <si>
    <t>10.1103/PhysRevD.95.032006</t>
  </si>
  <si>
    <t>Astronomy &amp; Astrophysics; Physics, Particles &amp; Fields</t>
  </si>
  <si>
    <t>Astronomy &amp; Astrophysics; Physics</t>
  </si>
  <si>
    <t>EN5DD</t>
  </si>
  <si>
    <t>Green Accepted, Green Submitted, hybrid</t>
  </si>
  <si>
    <t>WOS:000396024900001</t>
  </si>
  <si>
    <t>An increased abundance of micrometeorites on Earth owing to vesicular parachutes</t>
  </si>
  <si>
    <t>COSMIC DUST; ANTARCTIC MICROMETEORITES; EXTRATERRESTRIAL HE-3; SILICATE MELTS; ACCRETION RATE; ASTEROID DUST; COLLECTION; SPHERULES; BREAKUP; SHOWER</t>
  </si>
  <si>
    <t>Micrometeorites (MMs) are extraterrestrial dust particles that survive atmospheric entry and can be recovered from sedimentary rocks. Fossil MMs allow events beyond the Earth, such as the collisional breakup of asteroids, to be identified. Here the effects of vesicle formation during melting of dust are investigated through numerical modeling and observations of Antarctic MMs. Vesicle formation is shown to cause a parachute effect that causes rapid deceleration, decreasing peak temperature. Vesicular parachuting enhances the abundance of melted MMs formed from phyllosilicate-bearing C-type asteroid dust on the Earth surface by a factor of 2. Micrometeorites recovered from the geological record, therefore, are biased toward breakup events involving hydrated C-type asteroids, whilst those involving phyllosilicate-poor particles are diluted by the enhanced background flux of hydrous dust. The parachute effect is also likely to increase the delivery of He-3 to ocean sediments by C-type asteroid dust.</t>
  </si>
  <si>
    <t>[Genge, Matthew J.] Imperial Coll London, Dept Earth Sci &amp; Engn, London, England; [Genge, Matthew J.] Nat Hist Museum, Dept Earth Sci, London, England</t>
  </si>
  <si>
    <t>Imperial College London; Natural History Museum London</t>
  </si>
  <si>
    <t>Genge, MJ (corresponding author), Imperial Coll London, Dept Earth Sci &amp; Engn, London, England.;Genge, MJ (corresponding author), Nat Hist Museum, Dept Earth Sci, London, England.</t>
  </si>
  <si>
    <t>M.genge@imperial.ac.uk</t>
  </si>
  <si>
    <t>Genge, Matthew/0000-0002-9528-5971</t>
  </si>
  <si>
    <t>Science and Technology Council (STFC) [ST/J001260/1]; STFC [ST/N000803/1, ST/J001260/1] Funding Source: UKRI; Science and Technology Facilities Council [ST/N000803/1, ST/J001260/1] Funding Source: researchfish; UK Space Agency [ST/M003167/1] Funding Source: researchfish</t>
  </si>
  <si>
    <t>Science and Technology Council (STFC); STFC(UK Research &amp; Innovation (UKRI)Science &amp; Technology Facilities Council (STFC)); Science and Technology Facilities Council(UK Research &amp; Innovation (UKRI)Science &amp; Technology Facilities Council (STFC)); UK Space Agency</t>
  </si>
  <si>
    <t>This study was funded by Science and Technology Council (STFC) (grant ST/J001260/1). Simulation run data can be obtained from the corresponding author on request (m.genge@imperial.ac.uk).</t>
  </si>
  <si>
    <t>10.1002/2016GL072490</t>
  </si>
  <si>
    <t>EO0TO</t>
  </si>
  <si>
    <t>WOS:000396411100008</t>
  </si>
  <si>
    <t>Robinson, NJ; Stevens, CL; McPhee, MG</t>
  </si>
  <si>
    <t>Robinson, N. J.; Stevens, C. L.; McPhee, M. G.</t>
  </si>
  <si>
    <t>Observations of amplified roughness from crystal accretion in the sub-ice ocean boundary layer</t>
  </si>
  <si>
    <t>SHELF WATER PLUME; SEA-ICE; PLATELET ICE; DRAG COEFFICIENT; EAST ANTARCTICA; MCMURDO SOUND; BENEATH; MODEL; BEDS</t>
  </si>
  <si>
    <t>Ice crystal accretion on the underside of sea ice and ice shelves, a signature of pressure-induced supercooling, has the potential to alter the energy balance in the ocean boundary layer through enhanced hydrodynamic roughness. Here we present estimates of crystal-driven ocean boundary layer roughness in supercooled water beneath sea ice adjacent to the McMurdo/Ross Ice Shelf. Data were collected from four sites in McMurdo Sound, Antarctica, between 2007 and 2015, and represent a range of ice shelf-affected conditions. The results show that drag of the rough ice underside in the presence of platelets is 6-30 times larger than typical levels homogeneously applied in ice-ocean interaction models. The crystal-enhanced drag promotes increased entrainment into the boundary layer from the upper ocean, which has the potential to affect ice shelf evolution and sea ice growth through enhanced turbulent exchange of heat and momentum. Plain Language Summary Water that includes a component of meltwater can become colder than its freezing point as it ascends the ice shelf base. This can promote the growth of thick layers of ice crystals between the ice and ocean. Owing to a lack of observational evidence, computational models presently make no allowance for this granular type of interface and therefore suppress vertical mixing that may be significant for ice shelf longevity. Over five Antarctic field campaigns, we have made measurements in the ocean beneath sea ice that demonstrate the effect of thin and thick layers of ice crystals beneath the ice. We have found that there may be as much as 5 times greater water exchange near the base of the ice than when the crystals are not present. Depending on the temperature of that water, this effect could lead to either enhanced melt or freeze.</t>
  </si>
  <si>
    <t>[Robinson, N. J.; Stevens, C. L.] Natl Inst Water &amp; Atmospher Res, Marine Phys, Wellington, New Zealand; [Stevens, C. L.] Univ Auckland, Dept Phys, Auckland, New Zealand; [McPhee, M. G.] McPhee Res, Naches, WA USA</t>
  </si>
  <si>
    <t>National Institute of Water &amp; Atmospheric Research (NIWA) - New Zealand; University of Auckland</t>
  </si>
  <si>
    <t>Robinson, NJ (corresponding author), Natl Inst Water &amp; Atmospher Res, Marine Phys, Wellington, New Zealand.</t>
  </si>
  <si>
    <t>natalie.robinson@niwa.co.nz</t>
  </si>
  <si>
    <t>Robinson, Natalie J/I-4460-2015</t>
  </si>
  <si>
    <t>Stevens, Craig/0000-0002-4730-6985</t>
  </si>
  <si>
    <t>Royal Society of New Zealand Marsden Fund; NIWA Core Funding, Antarctica New Zealand; University of Otago Research Grant; Deep South National Science Challenge project 'Targeted observations; New Zealand Antarctic Research Institute; Metadata are lodged with Antarctica New Zealand</t>
  </si>
  <si>
    <t>Royal Society of New Zealand Marsden Fund(Royal Society of New ZealandMarsden Fund (NZ)); NIWA Core Funding, Antarctica New Zealand; University of Otago Research Grant; Deep South National Science Challenge project 'Targeted observations; New Zealand Antarctic Research Institute; Metadata are lodged with Antarctica New Zealand</t>
  </si>
  <si>
    <t>Tim Haskell, Brett Grant, Cecilia Bitz, Gabby O'Connor, Andy Mahoney, Alex Gough, Brian Staite, and Antarctica New Zealand are thanked for their assistance in the field. Inga Smith, Pat Langhorne, Mike Williams, Ken Hughes, Greg Leonard, Ben Galton-Fenzi, and David Gwyther are thanked for valuable discussion. David Plew is thanked for the loan of equipment. We thank two anonymous reviewers for their insightful comments which have helped to improve the clarity and applicability of the manuscript. Funding was provided by the Royal Society of New Zealand Marsden Fund, NIWA Core Funding, Antarctica New Zealand, a University of Otago Research Grant, the Deep South National Science Challenge project 'Targeted observations and process-informed modeling of Antarctic sea ice, and the New Zealand Antarctic Research Institute. Metadata are lodged with Antarctica New Zealand. Data are archived with NIWA, New Zealand, and are available from the authors upon request (natalie.robinson@niwa.co.nz).</t>
  </si>
  <si>
    <t>10.1002/2016GL071491</t>
  </si>
  <si>
    <t>WOS:000396411100024</t>
  </si>
  <si>
    <t>Jones, TR; White, JC; Steig, EJ; Vaughn, BH; Morris, V; Gkinis, V; Markle, BR; Schoenemann, SW</t>
  </si>
  <si>
    <t>Jones, Tyler R.; White, JamesW. C.; Steig, Eric J.; Vaughn, Bruce H.; Morris, Valerie; Gkinis, Vasileios; Markle, Bradley R.; Schoenemann, Spruce W.</t>
  </si>
  <si>
    <t>Improved methodologies for continuous-flow analysis of stable water isotopes in ice cores</t>
  </si>
  <si>
    <t>RING-DOWN SPECTROSCOPY; OXYGEN-ISOTOPE; MASS-SPECTROMETRY; CLIMATE; HYDROGEN; RATIOS; RECORDS; FIRN; PRECIPITATION; DELTA-O-18</t>
  </si>
  <si>
    <t>Water isotopes in ice cores are used as a climate proxy for local temperature and regional atmospheric circulation as well as evaporative conditions in moisture source regions. Traditional measurements of water isotopes have been achieved using magnetic sector isotope ratio mass spectrometry (IRMS). However, a number of recent studies have shown that laser absorption spectrometry (LAS) performs as well or better than IRMS. The new LAS technology has been combined with continuous-flow analysis (CFA) to improve data density and sample throughput in numerous prior ice coring projects. Here, we present a comparable semi-automated LAS-CFA system for measuring high-resolution water isotopes of ice cores. We outline new methods for partitioning both system precision and mixing length into liquid and vapor components -useful measures for defining and improving the overall performance of the system. Critically, these methods take into account the uncertainty of depth registration that is not present in IRMS nor fully accounted for in other CFA studies. These analyses are achieved using samples from a South Pole firn core, a Greenland ice core, and the West Antarctic Ice Sheet (WAIS) Divide ice core. The measurement system utilizes a 16-position carousel contained in a freezer to consecutively deliver similar to 1m x 1.3 cm(2) ice sticks to a temperature-controlled melt head, where the ice is converted to a continuous liquid stream and eventually vaporized using a concentric nebulizer for isotopic analysis. An integrated delivery system for water isotope standards is used for calibration to the Vienna Standard Mean Ocean Water (VSMOW) scale, and depth registration is achieved using a precise overhead laser distance device with an uncertainty of +/- 0.2 mm. As an added check on the system, we perform inter-lab LAS comparisons usingWAIS Divide ice samples, a corroboratory step not taken in prior CFA studies. The overall results are important for substantiating data obtained from LAS-CFA systems, including optimizing liquid and vapor mixing lengths, determining melt rates for ice cores with different accumulation and thinning histories, and removing system-wide mixing effects that are convolved with the natural diffusional signal that results primarily from water molecule diffusion in the firn column.</t>
  </si>
  <si>
    <t>[Jones, Tyler R.; White, JamesW. C.; Vaughn, Bruce H.; Morris, Valerie] Univ Colorado, Inst Arctic &amp; Alpine Res, Boulder, CO 80309 USA; [White, JamesW. C.] Univ Colorado, Dept Geol Sci, Boulder, CO 80309 USA; [Steig, Eric J.; Markle, Bradley R.; Schoenemann, Spruce W.] Univ Washington, Dept Earth &amp; Space Sci, Seattle, WA 98195 USA; [Gkinis, Vasileios] Univ Copenhagen, Niels Bohr Inst, Ctr Ice &amp; Climate, Copenhagen, Denmark</t>
  </si>
  <si>
    <t>University of Colorado System; University of Colorado Boulder; University of Colorado System; University of Colorado Boulder; University of Washington; University of Washington Seattle; University of Copenhagen; Niels Bohr Institute</t>
  </si>
  <si>
    <t>Jones, TR (corresponding author), Univ Colorado, Inst Arctic &amp; Alpine Res, Boulder, CO 80309 USA.</t>
  </si>
  <si>
    <t>tyler.jones@colorado.edu</t>
  </si>
  <si>
    <t>Markle, Bradley R/I-6132-2019; White, James W.C./A-7845-2009; Gkinis, Vasileios/E-8185-2011; Vaughn, Bruce/AAO-8867-2020; /G-9088-2015</t>
  </si>
  <si>
    <t>Gkinis, Vasileios/0000-0002-5910-1549; Markle, Bradley/0000-0002-2282-6546; JONES, TYLER/0000-0003-1871-2105; /0000-0002-8191-5549; VAUGHN, BRUCE/0000-0001-6503-957X; MORRIS, VALERIE/0000-0002-8105-585X</t>
  </si>
  <si>
    <t>US National Science Foundation (NSF) [0537930, 0537593, 1043092, 1043167]; NSF [0230396, 0440817, 0944266, 0944348]; Ice Drilling Program Office (IDPO); Ice Drilling Design and Operations (IDDO) group; National Ice Core Laboratory (NICL); Antarctic Support Contractor; 109th New York Air National Guard; Centre for Ice and Climate at the Niels Bohr Institute, University of Copenhagen; Direct For Computer &amp; Info Scie &amp; Enginr; Div Of Information &amp; Intelligent Systems [1245947] Funding Source: National Science Foundation; Directorate For Geosciences; Office of Polar Programs (OPP) [0537930] Funding Source: National Science Foundation; Office of Polar Programs (OPP); Directorate For Geosciences [1043092, 0537593, 1043167] Funding Source: National Science Foundation; Office Of The Director; Office Of Internatl Science &amp;Engineering [0968391] Funding Source: National Science Foundation</t>
  </si>
  <si>
    <t>US National Science Foundation (NSF)(National Science Foundation (NSF)); NSF(National Science Foundation (NSF)); Ice Drilling Program Office (IDPO); Ice Drilling Design and Operations (IDDO) group; National Ice Core Laboratory (NICL); Antarctic Support Contractor; 109th New York Air National Guard; Centre for Ice and Climate at the Niels Bohr Institute, University of Copenhagen; Direct For Computer &amp; Info Scie &amp; Enginr; Div Of Information &amp; Intelligent Systems(National Science Foundation (NSF)NSF - Directorate for Computer &amp; Information Science &amp; Engineering (CISE)); Directorate For Geosciences; Office of Polar Programs (OPP)(National Science Foundation (NSF)NSF - Directorate for Geosciences (GEO)); Office of Polar Programs (OPP); Directorate For Geosciences(National Science Foundation (NSF)NSF - Directorate for Geosciences (GEO)); Office Of The Director; Office Of Internatl Science &amp;Engineering(National Science Foundation (NSF)NSF - Office of the Director (OD))</t>
  </si>
  <si>
    <t>This work was supported by US National Science Foundation (NSF) grants 0537930, 0537593, 1043092, and 1043167. The authors would like to thank all field crew, laboratory staff, students, and principal investigators involved with the project. Field and logistical activities were managed by the WAIS Divide Science Coordination Office at the Desert Research Institute, Reno, NE, USA, and the University of New Hampshire, USA (NSF grants 0230396, 0440817, 0944266, and 0944348). The National Science Foundation Division of Polar Programs funded the Ice Drilling Program Office (IDPO), the Ice Drilling Design and Operations (IDDO) group, the National Ice Core Laboratory (NICL), the Antarctic Support Contractor, and the 109th New York Air National Guard. Finally, we would like to thank the Centre for Ice and Climate at the Niels Bohr Institute, University of Copenhagen, for support in the design of the analysis system used in this study.</t>
  </si>
  <si>
    <t>FEB 27</t>
  </si>
  <si>
    <t>10.5194/amt-10-617-2017</t>
  </si>
  <si>
    <t>EM1UT</t>
  </si>
  <si>
    <t>WOS:000395103300001</t>
  </si>
  <si>
    <t>Vallelonga, P; Maffezzoli, N; Moy, AD; Curran, MAJ; Vance, TR; Edwards, R; Hughes, G; Barker, E; Spreen, G; Saiz-Lopez, A; Corella, JP; Cuevas, CA; Spolaor, A</t>
  </si>
  <si>
    <t>Vallelonga, Paul; Maffezzoli, Niccolo; Moy, Andrew D.; Curran, Mark A. J.; Vance, Tessa R.; Edwards, Ross; Hughes, Gwyn; Barker, Emily; Spreen, Gunnar; Saiz-Lopez, Alfonso; Pablo Corella, J.; Cuevas, Carlos A.; Spolaor, Andrea</t>
  </si>
  <si>
    <t>Sea-ice-related halogen enrichment at Law Dome, coastal East Antarctica</t>
  </si>
  <si>
    <t>BOUNDARY-LAYER; OZONE DEPLETION; WEDDELL SEA; CORE; BROMINE; IODINE; MERCURY; RECORD; SEASONALITY; SNOW</t>
  </si>
  <si>
    <t>The Law Dome site is ideal for the evaluation of sea ice proxies due to its location near to the Antarctic coast, regular and high accumulation throughout the year, an absence of surface melting or remobilization, and minimal multiyear sea ice. We present records of bromine and iodine concentrations and their enrichment beyond seawater compositions and compare these to satellite observations of first-year sea ice area in the 90-130 degrees E sector of the Wilkes coast. Our findings support the results of previous studies of sea ice variability from Law Dome, indicating that Wilkes coast sea ice area is currently at its lowest level since the start of the 20th century. From the Law Dome DSS1213 firn core, 26 years of monthly deposition data indicate that the period of peak bromine enrichment is during austral spring-summer, from November to February. Results from a traverse along the lee (western) side of Law Dome show low levels of sodium and bromine deposition, with the greatest fluxes in the vicinity of the Law Dome summit. Finally, multidecadal variability in iodine enrichment appears well correlated to bromine enrichment, suggesting a common source of variability that may be related to the Interdecadal Pacific Oscillation (IPO).</t>
  </si>
  <si>
    <t>[Vallelonga, Paul; Maffezzoli, Niccolo] Univ Copenhagen, Niels Bohr Inst, Ctr Ice &amp; Climate, Juliane Maries Vej 30, DK-2100 Copenhagen O, Denmark; [Moy, Andrew D.; Curran, Mark A. J.] Australian Antarctic Div, Channel Highway, Kingston, Tas 7050, Australia; [Moy, Andrew D.; Curran, Mark A. J.; Vance, Tessa R.] Univ Tasmania, Antarctic Climate &amp; Ecosyst Cooperat Res Ctr, Private Bag 80, Hobart, Tas 7001, Australia; [Edwards, Ross; Hughes, Gwyn; Barker, Emily] Curtin Univ Technol, Phys &amp; Astron, Perth, WA 6102, Australia; [Spreen, Gunnar] Univ Bremen, Inst Environm Phys, Otto Hahn Allee 1, D-28359 Bremen, Germany; [Saiz-Lopez, Alfonso; Pablo Corella, J.; Cuevas, Carlos A.] CSIC, Inst Phys Chem Rocasolano, Dept Atmospher Chem &amp; Climate, Serrano 119, Madrid 28006, Spain; [Spolaor, Andrea] Ca Foscari Univ Venice, Dept Environm Sci Informat &amp; Stat, Via Torino 155, I-30170 Venice Mestre, Italy; [Spolaor, Andrea] IDPA CNR, Inst Dynam Environm Proc, Via Torino 155, I-30170 Venice Mestre, Italy</t>
  </si>
  <si>
    <t>University of Copenhagen; Niels Bohr Institute; Australian Antarctic Division; Antarctic Climate &amp; Ecosystems Cooperative Research Centre (ACE CRC); University of Tasmania; Curtin University; University of Bremen; Consejo Superior de Investigaciones Cientificas (CSIC); CSIC - Instituto de Quimica Fisica Rocasolano (IQFR); Universita Ca Foscari Venezia; Consiglio Nazionale delle Ricerche (CNR); Istituto per la Dinamica dei Processi Ambientali (IDPA-CNR)</t>
  </si>
  <si>
    <t>Vallelonga, P (corresponding author), Univ Copenhagen, Niels Bohr Inst, Ctr Ice &amp; Climate, Juliane Maries Vej 30, DK-2100 Copenhagen O, Denmark.</t>
  </si>
  <si>
    <t>vallelonga@nbi.ku.dk</t>
  </si>
  <si>
    <t>Spolaor, Andrea/AAX-8808-2020; Saiz-Lopez, Alfonso/B-3759-2015; Corella, Juan Pablo/CAI-6873-2022; Spreen, Gunnar/A-4533-2010; Corella, Juan Pablo/CAG-0621-2022; Edwards, Ross/B-1433-2013; Vallelonga, Paul/I-9650-2016</t>
  </si>
  <si>
    <t>Spolaor, Andrea/0000-0001-8635-9193; Saiz-Lopez, Alfonso/0000-0002-0060-1581; Corella, Juan Pablo/0000-0001-5127-9011; Spreen, Gunnar/0000-0003-0165-8448; Corella, Juan Pablo/0000-0001-5127-9011; Cuevas Rodriguez, Carlos Alberto/0000-0002-9251-5460; Vance, Tessa/0000-0001-6970-8646; Edwards, Ross/0000-0002-9233-8775; Maffezzoli, Niccolo/0000-0002-8649-9185; Vallelonga, Paul/0000-0003-1055-7235; Barker, Emily/0000-0002-7564-1449; Moy, Andrew/0000-0002-7664-9960</t>
  </si>
  <si>
    <t>European Research Council under the European Union [610055 Ice2ice]; Australian Antarctic Division [4061, 4062]; Institutional Strategy of the University of Bremen - German Excellence Initiative</t>
  </si>
  <si>
    <t>European Research Council under the European Union(European Research Council (ERC)); Australian Antarctic Division; Institutional Strategy of the University of Bremen - German Excellence Initiative</t>
  </si>
  <si>
    <t>The research leading to these results received funding from the European Research Council under the European Union's Seventh Framework Programme (FP7/2007-2013), grant agreement no. 610055 Ice2ice. The Australian Antarctic Division provided funding and logistical support for the DSS ice cores (AAS projects 4061 and 4062). Gunnar Spreen was supported by the Institutional Strategy of the University of Bremen, funded by the German Excellence Initiative. All correlations and associated confidence levels reported here have been calculated using the program R via the RStudio interface. We thank the reviewers for their helpful suggestions and constructive comments.</t>
  </si>
  <si>
    <t>10.5194/cp-13-171-2017</t>
  </si>
  <si>
    <t>EM1XK</t>
  </si>
  <si>
    <t>WOS:000395110300001</t>
  </si>
  <si>
    <t>Wang, J; Liu, SH; Li, CC; Wang, TL; Zhang, PY; Chen, KS</t>
  </si>
  <si>
    <t>Wang, Jing; Liu, Shenghao; Li, Chengcheng; Wang, Tailin; Zhang, Pengying; Chen, Kaoshan</t>
  </si>
  <si>
    <t>PnLRR-RLK27, a novel leucine-rich repeats receptor-like protein kinase from the Antarctic moss Pohlia nutans, positively regulates salinity and oxidation-stress tolerance</t>
  </si>
  <si>
    <t>ABSCISIC-ACID; PHYSCOMITRELLA-PATENS; TRANSCRIPTION FACTOR; SIGNAL-TRANSDUCTION; GENE-EXPRESSION; SALT TOLERANCE; SUPEROXIDE DISMUTASES; DROUGHT TOLERANCE; ANION CHANNELS; ARABIDOPSIS</t>
  </si>
  <si>
    <t>Leucine-rich repeats receptor-like kinases (LRR-RLKs) play important roles in plant growth and development as well as stress responses. Here, 56 LRR-RLK genes were identified in the Antarctic moss Pohlia nutans transcriptome, which were further classified into 11 subgroups based on their extracellular domain. Of them, PnLRR-RLK27 belongs to the LRR II subgroup and its expression was significantly induced by abiotic stresses. Subcellular localization analysis showed that PnLRR-RLK27 was a plasma membrane protein. The overexpression of PnLRR-RLK27 in Physcomitrella significantly enhanced the salinity and ABA tolerance in their gametophyte growth. Similarly, PnLRR-RLK27 heterologous expression in Arabidopsis increased the salinity and ABA tolerance in their seed germination and early root growth as well as the tolerance to oxidative stress. PnLRR-RLK27 overproduction in these transgenic plants increased the expression of salt stress/ABA-related genes. Furthermore, PnLRR-RLK27 increased the activities of reactive oxygen species (ROS) scavengers and reduced the levels of malondialdehyde (MDA) and ROS. Taken together, these results suggested that PnLRR-RLK27 as a signaling regulator confer abiotic stress response associated with the regulation of the stress-and ABA-mediated signaling network.</t>
  </si>
  <si>
    <t>[Wang, Jing; Li, Chengcheng; Wang, Tailin; Zhang, Pengying; Chen, Kaoshan] Shandong Univ, Sch Life Sci, Jinan, Peoples R China; [Wang, Jing; Li, Chengcheng; Wang, Tailin; Zhang, Pengying; Chen, Kaoshan] Shandong Univ, Natl Glycoengn Res Ctr, Jinan, Peoples R China; [Liu, Shenghao] State Ocean Adm, Inst Oceanog 1, Marine Ecol Res Ctr, Qingdao, Peoples R China; [Zhang, Pengying] Shandong Prov Key Lab Carbohydrate Chem &amp; Glycobi, Jinan, Peoples R China</t>
  </si>
  <si>
    <t>Shandong University; Shandong University; First Institute of Oceanography, Ministry of Natural Resources</t>
  </si>
  <si>
    <t>Zhang, PY (corresponding author), Shandong Univ, Sch Life Sci, Jinan, Peoples R China.;Zhang, PY (corresponding author), Shandong Univ, Natl Glycoengn Res Ctr, Jinan, Peoples R China.;Zhang, PY (corresponding author), Shandong Prov Key Lab Carbohydrate Chem &amp; Glycobi, Jinan, Peoples R China.</t>
  </si>
  <si>
    <t>zhangpy80@sdu.edu.cn</t>
  </si>
  <si>
    <t>National Natural Science Foundation of China [41206176, 41476174]; Basic Scientific Fund for National Public Research Institutes of China [2014T04]; Natural Science Foundation of Shandong Province [ZR2014DQ012]; Excellent Creative Team Fund of Jinan</t>
  </si>
  <si>
    <t>National Natural Science Foundation of China(National Natural Science Foundation of China (NSFC)); Basic Scientific Fund for National Public Research Institutes of China; Natural Science Foundation of Shandong Province(Natural Science Foundation of Shandong Province); Excellent Creative Team Fund of Jinan</t>
  </si>
  <si>
    <t>This work was supported by the National Natural Science Foundation of China (41206176 and 41476174), Basic Scientific Fund for National Public Research Institutes of China (2014T04), Natural Science Foundation of Shandong Province (ZR2014DQ012) and the Excellent Creative Team Fund of Jinan. The funders had no role in study design, data collection and analysis, decision to publish, or preparation of the manuscript.; This work was supported by the National Natural Science Foundation of China (41206176 and 41476174), Basic Scientific Fund for National Public Research Institutes of China (2014T04), Natural Science Foundation of Shandong Province (ZR2014DQ012) and Excellent Creative Team Fund of Jinan. We thank Dr. Tomoaki Nishiyama and Dr. Mitsuyasu Hasebe (NIBB, Japan) for providing the pTFH15.3 vector.</t>
  </si>
  <si>
    <t>e0172869</t>
  </si>
  <si>
    <t>10.1371/journal.pone.0172869</t>
  </si>
  <si>
    <t>EN3UW</t>
  </si>
  <si>
    <t>WOS:000395934400047</t>
  </si>
  <si>
    <t>Sabroux, R; Corbari, L; Krapp, F; Bonillo, C; Le Prieur, S; Hassanin, A</t>
  </si>
  <si>
    <t>Sabroux, Romain; Corbari, Laure; Krapp, Franz; Bonillo, Celine; Le Prieur, Stepahnie; Hassanin, Alexandre</t>
  </si>
  <si>
    <t>Biodiversity and phylogeny of Ammotheidae (Arthropoda: Pycnogonida)</t>
  </si>
  <si>
    <t>EUROPEAN JOURNAL OF TAXONOMY</t>
  </si>
  <si>
    <t>Pantopoda; taxonomy; DNA phylogeny; barcode of life; strand-bias</t>
  </si>
  <si>
    <t>SEA SPIDERS ARTHROPODA; RNA GENE-SEQUENCES; 1ST USE; MITOCHONDRIAL; CLASSIFY; SUGGEST</t>
  </si>
  <si>
    <t>The family Ammotheidae is the most diversified group of the class Pycnogonida, with 297 species described in 20 genera. Its monophyly and intergeneric relationships have been highly debated in previous studies. Here, we investigated the phylogeny of Ammotheidae using specimens from poorly studied areas. We sequenced the mitochondrial gene encoding the first subunit of cytochrome c oxidase (CO1) from 104 specimens. The complete nuclear 18S rRNA gene was sequenced from a selection of 80 taxa to provide further phylogenetic signal. The base composition in CO1 shows a higher heterogeneity in Ammotheidae than in other families, which may explain their apparent polyphyly in the CO1 tree. Although deeper nodes of the tree receive no statistical support, Ammotheidae was found to be monophyletic and divided into two clades, here defined as distinct subfamilies: Achelinae comprises the genera Achelia Hodge, 1864, Ammothella Verrill, 1900, Nymphopsis Haswell, 1884 and Tanystylum Miers, 1879; and Ammotheinae includes the genera Ammothea Leach, 1814, Acheliana Arnaud, 1971, Cilunculus Loman, 1908, Sericosura Fry &amp; Hedgpeth, 1969 and also Teratonotum gen. nov., including so far only the type species Ammothella stauromata Child, 1982. The species Cilunculus gracilis Nakamura &amp; Child, 1991 is reassigned to Ammothella, forming the binomen Ammothella gracilis (Nakamura &amp; Child, 1991) comb. nov. Additional taxonomic re-arrangements are suggested for the genera Achelia, Acheliana, Ammothella and Cilunculus.</t>
  </si>
  <si>
    <t>[Sabroux, Romain; Hassanin, Alexandre] Sorbonne Univ, Museum Natl Hist Nat, UMR 7205, Inst Systemat Evolut &amp; Biodiversite,Dept Systemat, 55 Rue Buffon,CP 51, F-75005 Paris, France; [Krapp, Franz] Zool Forsch Museum Alexander Koenig, Adenauerallee 160, D-53113 Bonn, Germany; [Bonillo, Celine; Le Prieur, Stepahnie] Museum Natl Hist Nat, UMS CNRS 2700, CP 26,57 Rue Cuvier, F-75231 Paris 05, France</t>
  </si>
  <si>
    <t>Sorbonne Universite; Centre National de la Recherche Scientifique (CNRS); CNRS - Institute of Ecology &amp; Environment (INEE); Museum National d'Histoire Naturelle (MNHN); Zoologisches Forschungsmuseum Alexander Koenig (ZFMK); Museum National d'Histoire Naturelle (MNHN)</t>
  </si>
  <si>
    <t>Hassanin, A (corresponding author), Sorbonne Univ, Museum Natl Hist Nat, UMR 7205, Inst Systemat Evolut &amp; Biodiversite,Dept Systemat, 55 Rue Buffon,CP 51, F-75005 Paris, France.</t>
  </si>
  <si>
    <t>romain.sabroux@mnhn.fr; corbari@mnhn.fr; franz.krapp.zfmk@uni-bonn.de; bonillo@mnhn.fr; sleprieur@mnhn.fr; hassanin@mnhn.fr</t>
  </si>
  <si>
    <t>Sabroux, Romain/AAF-1009-2019; HASSANIN, Alexandre/AAO-3327-2021; Hassanin, Alexandre/AAP-8634-2020</t>
  </si>
  <si>
    <t>HASSANIN, Alexandre/0000-0002-4905-8540; Hassanin, Alexandre/0000-0002-4905-8540; Corbari, Laure/0000-0002-3323-6162</t>
  </si>
  <si>
    <t>Total Foundation; Prince Albert II of Monaco Foundation; Sloan Foundation; Stavros Niarchos Foundation; European funding (FEDER); Port Autonome de la Guadeloupe (PAG); Eramet company; Australian Antarctic Division; French polar institute IPEV; CNRS; ANR project ANTFLOCKs; French-Taiwanese grant TF-DeepEvo; ANR; Ministry of Science and Technology of Taiwan; project Taxonomie moleculaire: DNA Barcode et Gestion durable des Collections - MNHN; Bibliotheque du Vivant network - MNHN; Bibliotheque du Vivant network - INRA; Bibliotheque du Vivant network - CEA; Bibliotheque du Vivant network - CNRS; Technip company</t>
  </si>
  <si>
    <t>Total Foundation(Total SA); Prince Albert II of Monaco Foundation; Sloan Foundation(Alfred P. Sloan Foundation); Stavros Niarchos Foundation; European funding (FEDER)(European Union (EU)); Port Autonome de la Guadeloupe (PAG); Eramet company; Australian Antarctic Division; French polar institute IPEV; CNRS(Centre National de la Recherche Scientifique (CNRS)); ANR project ANTFLOCKs(Agence Nationale de la Recherche (ANR)); French-Taiwanese grant TF-DeepEvo(Agence Nationale de la Recherche (ANR)); ANR(Agence Nationale de la Recherche (ANR)); Ministry of Science and Technology of Taiwan(Ministry of Science and Technology, Taiwan); project Taxonomie moleculaire: DNA Barcode et Gestion durable des Collections - MNHN; Bibliotheque du Vivant network - MNHN; Bibliotheque du Vivant network - INRA; Bibliotheque du Vivant network - CEA; Bibliotheque du Vivant network - CNRS; Technip company</t>
  </si>
  <si>
    <t>The studied specimens were collected during MNHN expeditions of the programs Tropical Deep Sea Benthos and Planete Revisitee (http://laplaneterevisitee.org). Deep-sea specimens were mainly collected during the many cruises organized by P. Bouchet, S. Samadi and L.C. of the MNHN and Institut de Recherche pour le Developpement (IRD). Recent expeditions were funded by the Total Foundation, the Prince Albert II of Monaco Foundation, the Sloan Foundation, the Stavros Niarchos Foundation and conducted by the MNHN and Pro-Natura International. The KARUBENTHOS expedition was sponsored via European funding (FEDER), the Port Autonome de la Guadeloupe (PAG). Specimens from hydrothermal vents were provided by the IFREMER: BICOSE and FUTUNA 3 cruises (financial support was provided by the Eramet and Technip companies). The CEAMARC cruise on RSV Aurora Australis was funded by the Australian Antarctic Division, the French polar institute IPEV, CNRS and the ANR project ANTFLOCKs (G. Lecointre). Special thanks to S. Hourdez for the specimens from the Hydromar cruise, to N. Schnell for photography and to the editor and the two anonymous reviewers for useful comments on the first version of the manuscript. R.S. acknowledges the French-Taiwanese grant TF-DeepEvo co-funded by the ANR and the Ministry of Science and Technology of Taiwan for supporting his visit to Germany. This work was supported by the project Taxonomie moleculaire: DNA Barcode et Gestion durable des Collections, funded by the MNHN and the Bibliotheque du Vivant network funded by the CNRS, MNHN, INRA and CEA (Genoscope).</t>
  </si>
  <si>
    <t>MUSEUM NATL HISTOIRE NATURELLE</t>
  </si>
  <si>
    <t>SERVICE PUBLICATIONS SCIENTIFIQUES, 57 RUE CUVIER, 75005 PARIS, FRANCE</t>
  </si>
  <si>
    <t>2118-9773</t>
  </si>
  <si>
    <t>EUR J TAXON</t>
  </si>
  <si>
    <t>Eur. J. Taxon.</t>
  </si>
  <si>
    <t>FEB 24</t>
  </si>
  <si>
    <t>10.5852/ejt.2017.286</t>
  </si>
  <si>
    <t>Plant Sciences; Entomology; Zoology</t>
  </si>
  <si>
    <t>EN8FS</t>
  </si>
  <si>
    <t>WOS:000396236900001</t>
  </si>
  <si>
    <t>Hoffmann, L; Spang, R; Orr, A; Alexander, MJ; Holt, LA; Stein, O</t>
  </si>
  <si>
    <t>Hoffmann, Lars; Spang, Reinhold; Orr, Andrew; Alexander, M. Joan; Holt, Laura A.; Stein, Olaf</t>
  </si>
  <si>
    <t>A decadal satellite record of gravity wave activity in the lower stratosphere to study polar stratospheric cloud formation</t>
  </si>
  <si>
    <t>NITRIC-ACID TRIHYDRATE; AIRBORNE LIDAR OBSERVATIONS; HETEROGENEOUS FORMATION; ARCTIC STRATOSPHERE; ATMOSPHERIC WAVES; MLS OBSERVATIONS; DOWNSLOPE WINDS; OZONE DEPLETION; DATA PRODUCTS; PART 2</t>
  </si>
  <si>
    <t>Atmospheric gravity waves yield substantial small-scale temperature fluctuations that can trigger the formation of polar stratospheric clouds (PSCs). This paper introduces a new satellite record of gravity wave activity in the polar lower stratosphere to investigate this process. The record is comprised of observations of the Atmospheric Infrared Sounder (AIRS) aboard NASA's Aqua satellite from January 2003 to December 2012. Gravity wave activity is measured in terms of detrended and noise-corrected 15 mu m brightness temperature variances, which are calculated from AIRS channels that are the most sensitive to temperature fluctuations at about 17-32 km of altitude. The analysis of temporal patterns in the data set revealed a strong seasonal cycle in wave activity with wintertime maxima at mid-and high latitudes. The analysis of spatial patterns indicated that orography as well as jet and storm sources are the main causes of the observed waves. Wave activity is closely correlated with 30 hPa zonal winds, which is attributed to the AIRS observational filter. We used the new data set to evaluate explicitly resolved temperature fluctuations due to gravity waves in the European Centre for Medium-Range Weather Forecasts (ECMWF) operational analysis. It was found that the analysis reproduces orographic and non-orographic wave patterns in the right places, but that wave amplitudes are typically underestimated by a factor of 2-3. Furthermore, in a first survey of joint AIRS and Michelson Interferometer for Passive Atmospheric Sounding (MIPAS) satellite observations, nearly 50 gravity-wave-induced PSC formation events were identified. The survey shows that the new AIRS data set can help to better identify such events and more generally highlights the importance of the process for polar ozone chemistry.</t>
  </si>
  <si>
    <t>[Hoffmann, Lars; Stein, Olaf] Forschungszentrum Julich, Julich Supercomp Ctr, Julich, Germany; [Spang, Reinhold] Forschungszentrum Julich, Inst Energie &amp; Klimaforsch, Julich, Germany; [Orr, Andrew] British Antarctic Survey, NERC, Cambridge, England; [Alexander, M. Joan; Holt, Laura A.] NorthWest Res Associates Inc, CoRA Off, Boulder, CO USA</t>
  </si>
  <si>
    <t>Helmholtz Association; Research Center Julich; Helmholtz Association; Research Center Julich; UK Research &amp; Innovation (UKRI); Natural Environment Research Council (NERC); NERC British Antarctic Survey; NorthWest Research Associates</t>
  </si>
  <si>
    <t>Hoffmann, L (corresponding author), Forschungszentrum Julich, Julich Supercomp Ctr, Julich, Germany.</t>
  </si>
  <si>
    <t>l.hoffmann@fz-juelich.de</t>
  </si>
  <si>
    <t>HOLT, LAURA/AAE-1938-2020; Hoffmann, Lars/A-5173-2013; Hoffmann, Lars/ABI-3746-2020; Stein, Olaf/J-3483-2012; Spang, Reinhold/A-2738-2013</t>
  </si>
  <si>
    <t>HOLT, LAURA/0000-0003-0211-053X; Hoffmann, Lars/0000-0003-3773-4377; Hoffmann, Lars/0000-0003-3773-4377; Spang, Reinhold/0000-0002-2483-5761; Stein, Olaf/0000-0002-6684-7103</t>
  </si>
  <si>
    <t>NASA Goddard Space Flight Center [NNX14AO76G]; NERC [NE/H022988/1, bas0100032] Funding Source: UKRI; Natural Environment Research Council [bas0100032, NE/H022988/1] Funding Source: researchfish; NASA [NNX14AO76G, 675740] Funding Source: Federal RePORTER</t>
  </si>
  <si>
    <t>NASA Goddard Space Flight Center(National Aeronautics &amp; Space Administration (NASA)); NERC(UK Research &amp; Innovation (UKRI)Natural Environment Research Council (NERC)); Natural Environment Research Council(UK Research &amp; Innovation (UKRI)Natural Environment Research Council (NERC)); NASA(National Aeronautics &amp; Space Administration (NASA))</t>
  </si>
  <si>
    <t>M. Joan Alexander and Laura A. Holt acknowledge the NASA Goddard Space Flight Center for support (grant no. NNX14AO76G).</t>
  </si>
  <si>
    <t>10.5194/acp-17-2901-2017</t>
  </si>
  <si>
    <t>EM1ZQ</t>
  </si>
  <si>
    <t>WOS:000395116400003</t>
  </si>
  <si>
    <t>van den Hoff, J; Kilpatrick, R; Welsford, D</t>
  </si>
  <si>
    <t>van den Hoff, John; Kilpatrick, Robbie; Welsford, Dirk</t>
  </si>
  <si>
    <t>Southern elephant seals (Mirounga leonina Linn.) depredate toothfish longlines in the midnight zone</t>
  </si>
  <si>
    <t>MARINE MAMMALS; FISHING GEAR; FISHERIES; BYCATCH; PREDATOR; IMPACTS; CROZET</t>
  </si>
  <si>
    <t>Humans have devised fishing technologies that compete with marine predators for fish resources world-wide. One such fishery for the Patagonian toothfish (Dissostichus eleginoides) has developed interactions with a range of predators, some of which are marine mammals capable of diving to extreme depths for extended periods. A deep-sea camera system deployed within a toothfish fishery operating in the Southern Ocean acquired the first-ever video footage of an extreme-diver, the southern elephant seal (Mirounga leonina), depredating catch from longlines set at depths in excess of 1000m. The interactions recorded were non-lethal, however independent fisheries observer reports confirm elephant seal-longline interactions can be lethal. The seals behaviour of depredating catch at depth during the line soak-period differs to other surface-breathing species and thus presents a unique challenge to mitigate their by-catch. Deployments of deep-sea cameras on exploratory fishing gear prior to licencing and permit approvals would gather valuable information regarding the nature of interactions between deep diving/dwelling marine species and long-line fisheries operating at bathypelagic depths. Furthermore, the positive identification by sex and age class of species interacting with commercial fisheries would assist in formulating management plans and mitigation strategies founded on species-specific life-history strategies.</t>
  </si>
  <si>
    <t>[van den Hoff, John; Kilpatrick, Robbie; Welsford, Dirk] Australian Antarctic Div, Kingston, Tas, Australia</t>
  </si>
  <si>
    <t>van den Hoff, J (corresponding author), Australian Antarctic Div, Kingston, Tas, Australia.</t>
  </si>
  <si>
    <t>john_van@aad.gov.au</t>
  </si>
  <si>
    <t>Welsford, Dirk/0000-0001-5379-5052</t>
  </si>
  <si>
    <t>Australian government</t>
  </si>
  <si>
    <t>Australian government(Australian Government)</t>
  </si>
  <si>
    <t>This was an Australian government funded project.</t>
  </si>
  <si>
    <t>e0172396</t>
  </si>
  <si>
    <t>10.1371/journal.pone.0172396</t>
  </si>
  <si>
    <t>EL5VB</t>
  </si>
  <si>
    <t>WOS:000394688200077</t>
  </si>
  <si>
    <t>Labrousse, S; Sallée, JB; Fraser, AD; Massom, RA; Reid, P; Hobbs, W; Guinet, C; Harcourt, R; McMahon, C; Authier, M; Bailleul, F; Hindell, MA; Charrassin, JB</t>
  </si>
  <si>
    <t>Labrousse, Sara; Sallee, Jean-Baptiste; Fraser, Alexander D.; Massom, Rob A.; Reid, Phillip; Hobbs, William; Guinet, Christophe; Harcourt, Robert; McMahon, Clive; Authier, Matthieu; Bailleul, Frederic; Hindell, Mark A.; Charrassin, Jean-Benoit</t>
  </si>
  <si>
    <t>Variability in sea ice cover and climate elicit sex specific responses in an Antarctic predator</t>
  </si>
  <si>
    <t>SOUTHERN ELEPHANT SEALS; PACK-ICE; ATMOSPHERIC CIRCULATION; DIVING BEHAVIOR; KRILL; TRENDS; CONSUMPTION; ECOSYSTEM; SEABIRDS; POLYNYAS</t>
  </si>
  <si>
    <t>Contrasting regional changes in Southern Ocean sea ice have occurred over the last 30 years with distinct regional effects on ecosystem structure and function. Quantifying how Antarctic predators respond to such changes provides the context for predicting how climate variability/change will affect these assemblages into the future. Over an 11-year time-series, we examine how inter-annual variability in sea ice concentration and advance affect the foraging behaviour of a top Antarctic predator, the southern elephant seal. Females foraged longer in pack ice in years with greatest sea ice concentration and earliest sea ice advance, while males foraged longer in polynyas in years of lowest sea ice concentration. There was a positive relationship between near-surface meridional wind anomalies and female foraging effort, but not for males. This study reveals the complexities of foraging responses to climate forcing by a poleward migratory predator through varying sea ice property and dynamic anomalies.</t>
  </si>
  <si>
    <t>[Labrousse, Sara; Sallee, Jean-Baptiste; Charrassin, Jean-Benoit] UPMC Univ, Paris 06, Sorbonne Univ, UMR CNRS IRD MNHN 7159,LOCEAN IPSL, F-75005 Paris, France; [Labrousse, Sara; McMahon, Clive; Hindell, Mark A.] Univ Tasmania, Inst Marine &amp; Antarct Studies, Marine Predator Unit, Private Bag 129, Hobart, Tas 7001, Australia; [Sallee, Jean-Baptiste] British Antarctic Survey, Cambridge CB3 0ET, England; [Fraser, Alexander D.] Hokkaido Univ, Inst Low Temp Sci, Kita Ku, N19 W8, Sapporo, Hokkaido 0600819, Japan; [Fraser, Alexander D.; Massom, Rob A.; Hobbs, William; Hindell, Mark A.] Univ Tasmania, Antarctic Climate &amp; Ecosyst Cooperat Res Ctr, Private Bag 80, Hobart, Tas 7001, Australia; [Massom, Rob A.] Australian Antarctic Div, Channel Highway, Kingston, Tas 7050, Australia; [Reid, Phillip] Australian Bur Meteorol, Ctr Australian Weather &amp; Climate Res, Hobart, Tas 7001, Australia; [Hobbs, William] Australian Res Council, Ctr Excellence Climate Syst Sci, Sydney, NSW 2052, Australia; [Guinet, Christophe] Univ Rochelle, CNRS, UMR 7372, CEBC, F-79360 Villiers En Bois, France; [Harcourt, Robert; McMahon, Clive] Macquarie Univ, Dept Biol Sci, Sydney, NSW 2109, Australia; [McMahon, Clive] Sydney Inst Marine Sci, 19 Chowder Bay Rd, Mosman, NSW 2088, Australia; [Authier, Matthieu] Observ PELAGIS, UMS 3462, CNRS ULR, F-17000 La Rochelle, France; [Bailleul, Frederic] SARDI, 2 Hamra Ave, West Beach, SA 5024, Australia</t>
  </si>
  <si>
    <t>Museum National d'Histoire Naturelle (MNHN); Sorbonne Universite; University of Tasmania; UK Research &amp; Innovation (UKRI); Natural Environment Research Council (NERC); NERC British Antarctic Survey; Hokkaido University; University of Tasmania; Antarctic Climate &amp; Ecosystems Cooperative Research Centre (ACE CRC); Australian Antarctic Division; Bureau of Meteorology - Australia; Commonwealth Scientific &amp; Industrial Research Organisation (CSIRO); Centre National de la Recherche Scientifique (CNRS); CNRS - Institute of Ecology &amp; Environment (INEE); Macquarie University; Sydney Institute of Marine Science; Centre National de la Recherche Scientifique (CNRS); CNRS - Institute of Ecology &amp; Environment (INEE)</t>
  </si>
  <si>
    <t>Labrousse, S (corresponding author), UPMC Univ, Paris 06, Sorbonne Univ, UMR CNRS IRD MNHN 7159,LOCEAN IPSL, F-75005 Paris, France.;Labrousse, S (corresponding author), Univ Tasmania, Inst Marine &amp; Antarct Studies, Marine Predator Unit, Private Bag 129, Hobart, Tas 7001, Australia.</t>
  </si>
  <si>
    <t>sara.labrousse@gmail.com</t>
  </si>
  <si>
    <t>SALLEE, Jean baptiste/HDO-5355-2022; Hobbs, Will/P-8094-2019; McMahon, Clive R/D-5713-2013; Hindell, Mark A/K-1131-2013; Fraser, Alexander/AFO-7186-2022; Guinet, Christophe/AAR-8457-2020; SALLEE, Jean baptiste/A-5837-2010</t>
  </si>
  <si>
    <t>Hobbs, Will/0000-0002-2061-0899; McMahon, Clive R/0000-0001-5241-8917; Fraser, Alexander/0000-0003-1924-0015; Hindell, Mark/0000-0002-7823-7185; Harcourt, Robert/0000-0003-4666-2934; Massom, Robert/0000-0003-1533-5084; Labrousse, Sara/0000-0002-8099-3254; Authier, Matthieu/0000-0001-7394-1993; SALLEE, Jean baptiste/0000-0002-6109-5176</t>
  </si>
  <si>
    <t>French Polar Institute (Institut Paul Emile Victor, IPEV) research project IPEV [109]; CNES-TOSCA project (Elephants de mer oceanographes); IMOS; Australian Government; Super Science Initiative; Japan Society for the Promotion of Science [25.03748]; ERC under the European Union's Horizon research and innovation program [637770]; Cooperative Research Centre program through the Antarctic Climate &amp; Ecosystems Cooperative Research Centre; NERC [bas0100033] Funding Source: UKRI; European Research Council (ERC) [637770] Funding Source: European Research Council (ERC); Natural Environment Research Council [bas0100033] Funding Source: researchfish</t>
  </si>
  <si>
    <t>French Polar Institute (Institut Paul Emile Victor, IPEV) research project IPEV; CNES-TOSCA project (Elephants de mer oceanographes); IMOS; Australian Government(Australian Government); Super Science Initiative; Japan Society for the Promotion of Science(Ministry of Education, Culture, Sports, Science and Technology, Japan (MEXT)Japan Society for the Promotion of Science); ERC under the European Union's Horizon research and innovation program(European Research Council (ERC)); Cooperative Research Centre program through the Antarctic Climate &amp; Ecosystems Cooperative Research Centre(Australian GovernmentDepartment of Industry, Innovation and ScienceCooperative Research Centres (CRC) Programme); NERC(UK Research &amp; Innovation (UKRI)Natural Environment Research Council (NERC)); European Research Council (ERC)(European Research Council (ERC)Spanish Government); Natural Environment Research Council(UK Research &amp; Innovation (UKRI)Natural Environment Research Council (NERC))</t>
  </si>
  <si>
    <t>This study is part of French Polar Institute (Institut Paul Emile Victor, IPEV) research project IPEV # 109 (PI H. Weimerskirch), and of the Australian collaborative Integrated Marine Observing System (IMOS) research programme. It was funded by a CNES-TOSCA project (Elephants de mer oceanographes) and IMOS, and supported by the Australian Government through both the National Collaborative Research Infrastructure Strategy and the Super Science Initiative and the Cooperative Research Centre program through the Antarctic Climate &amp; Ecosystems Cooperative Research Centre. This work was also supported by the Japan Society for the Promotion of Science Grant-in-Aid for Scientific Research (KAKENHI) number 25.03748. J.B. Sallee received support from the ERC under the European Union's Horizon 2020 research and innovation program (grant agreement 637770). For R. Massom, A. Fraser and P. Reid, the work contributes to AAS Project 4116. Passive microwave sea ice concentration data were obtained from the NASA Earth Observing System Distributed Active Archive Center (DAAC) at the U.S. National Snow and Ice Data Center, University of Colorado (http://www.nsidc. org) for SSMI/S. Special thanks go to M. Sumner, B. Raymond, J.O. Irisson, S. Wotherspoon, G. Williams, B. Picard and Y. David for very useful comments. Thank to Indi Hodgson-Johnston for illustration of Fig. 6. Finally, we would like to thank N. El Skaby and all colleagues and volunteers involved in the research on southern elephant seals in Kerguelen. All animals in this study were treated in accordance with the IPEV ethical and Polar Environment Committees guidelines. We are extremely grateful to the anonymous referee for his constructive suggestions and the detailed comments provided.</t>
  </si>
  <si>
    <t>10.1038/srep43236</t>
  </si>
  <si>
    <t>EM2YV</t>
  </si>
  <si>
    <t>WOS:000395182600001</t>
  </si>
  <si>
    <t>Kim, S; Oh, M; Jung, W; Park, J; Choi, HG; Shin, SC</t>
  </si>
  <si>
    <t>Kim, Sanghee; Oh, Mijin; Jung, Woongsic; Park, Joonho; Choi, Han-Gu; Shin, Seung Chul</t>
  </si>
  <si>
    <t>Genome sequencing of the winged midge, Parochlus steinenii, from the Antarctic Peninsula</t>
  </si>
  <si>
    <t>GIGASCIENCE</t>
  </si>
  <si>
    <t>Parochlus steinenii; Cold-tolerant; Complete mitochondrial genome; Antarctic winged midge</t>
  </si>
  <si>
    <t>DE-NOVO IDENTIFICATION; GENE FAMILY EVOLUTION; ANNOTATION; PIPELINE; DIPTERA; PROGRAM; FATE; TOOL</t>
  </si>
  <si>
    <t>Background: In the Antarctic, only two species of Chironomidae occur naturally-the wingless midge, Belgica antarctica, and the winged midge, Parochlus steinenii. B. antarctica is an extremophile with unusual adaptations. The larvae of B. antarctica are desiccation-and freeze-tolerant and the adults are wingless. Recently, the compact genome of B. antarctica was reported and it is the first Antarctic eukaryote to be sequenced. Although P. steinenii occurs naturally in the Antarctic with B. antarctica, the larvae of P. steinenii are cold-tolerant but not freeze-tolerant and the adults are winged. Differences in adaptations in the Antarctic midges are interesting in terms of evolutionary processes within an extreme environment. Herein, we provide the genome of another Antarctic midge to help elucidate the evolution of these species. Results: The draft genome of P. steinenii had a total size of 138 Mbp, comprising 9513 contigs with an N50 contig size of 34,110 bp, and a GC content of 32.2%. Overall, 13,468 genes were predicted using the MAKER annotation pipeline, and gene ontology classified 10,801 (80.2%) predicted genes to a function. Compared with the assembled genome architecture of B. antarctica, that of P. steinenii was approximately 50 Mbp longer with 6.2-fold more repeat sequences, whereas gene regions were as similarly compact as in B. antarctica. Conclusions: We present an annotated draft genome of the Antarctic midge, P. steinenii. The genomes of P. steinenii and B. antarctica will aid in the elucidation of evolution in harsh environments and provide new resources for functional genomic analyses of the order Diptera.</t>
  </si>
  <si>
    <t>[Kim, Sanghee; Jung, Woongsic; Choi, Han-Gu] Korea Polar Res Inst KOPRI, Div Life Sci, Incheon 21990, South Korea; [Oh, Mijin] LabGenomics, Clin Res Inst, Seongnam, South Korea; [Park, Joonho] Seoul Natl Univ Sci &amp; Technol, Dept Fine Chem, Seoul 01811, South Korea; [Shin, Seung Chul] Korea Polar Res Inst KOPRI, Unit Polar Genom, Incheon 21990, South Korea</t>
  </si>
  <si>
    <t>Korea Polar Research Institute (KOPRI); Seoul National University of Science &amp; Technology; Korea Polar Research Institute (KOPRI)</t>
  </si>
  <si>
    <t>Shin, SC (corresponding author), Korea Polar Res Inst KOPRI, Unit Polar Genom, Incheon 21990, South Korea.</t>
  </si>
  <si>
    <t>biotech21@gmail.com</t>
  </si>
  <si>
    <t>Polar Genomics 101 Project grant [PE17080]; Korea Polar Research Institute (KOPRI) [PE17090]</t>
  </si>
  <si>
    <t>Polar Genomics 101 Project grant; Korea Polar Research Institute (KOPRI)(Korea Polar Research Institute of Marine Research Placement (KOPRI))</t>
  </si>
  <si>
    <t>This study was supported by a Polar Genomics 101 Project grant (PE17080) and a Modeling responses of terrestrial organisms to environmental changes on King George Island grant (PE17090) funded by the Korea Polar Research Institute (KOPRI).</t>
  </si>
  <si>
    <t>2047-217X</t>
  </si>
  <si>
    <t>GigaScience</t>
  </si>
  <si>
    <t>10.1093/gigascience/giw009</t>
  </si>
  <si>
    <t>Biology; Multidisciplinary Sciences</t>
  </si>
  <si>
    <t>Life Sciences &amp; Biomedicine - Other Topics; Science &amp; Technology - Other Topics</t>
  </si>
  <si>
    <t>EX6MI</t>
  </si>
  <si>
    <t>WOS:000403356000001</t>
  </si>
  <si>
    <t>Pound, MJ; Salzmann, U</t>
  </si>
  <si>
    <t>Pound, Matthew J.; Salzmann, Ulrich</t>
  </si>
  <si>
    <t>Heterogeneity in global vegetation and terrestrial climate change during the late Eocene to early Oligocene transition</t>
  </si>
  <si>
    <t>ANTARCTIC GLACIATION; ATMOSPHERIC CO2; COEXISTENCE APPROACH; EVOLUTION; PALEOGENE; RECORD; ONSET; RECONSTRUCTION; CIRCULATION; MAMMALS</t>
  </si>
  <si>
    <t>Rapid global cooling at the Eocene - Oligocene Transition (EOT), similar to 33.9-33.5 Ma, is widely considered to mark the onset of the modern icehouse world. A large and rapid drop in atmospheric pCO(2) has been proposed as the driving force behind extinctions in the marine realm and glaciation on Antarctica. However, the global terrestrial response to this cooling is uncertain. Here we present the first global vegetation and terrestrial temperature reconstructions for the EOT. Using an extensive palynological dataset, that has been statistically grouped into palaeo-biomes, we show a more transitional nature of terrestrial climate change by indicating a spatial and temporal heterogeneity of vegetation change at the EOT in both hemispheres. The reconstructed terrestrial temperatures show for many regions a cooling that started well before the EOT and continued into the Early Oligocene. We conclude that the heterogeneous pattern of global vegetation change has been controlled by a combination of multiple forcings, such as tectonics, sea-level fall and long-term decline in greenhouse gas concentrations during the late Eocene to early Oligocene, and does not represent a single response to a rapid decline in atmospheric pCO(2) at the EOT.</t>
  </si>
  <si>
    <t>[Pound, Matthew J.; Salzmann, Ulrich] Northumbria Univ, Dept Geog, Newcastle Upon Tyne NE1 8ST, Tyne &amp; Wear, England</t>
  </si>
  <si>
    <t>Northumbria University</t>
  </si>
  <si>
    <t>Pound, MJ (corresponding author), Northumbria Univ, Dept Geog, Newcastle Upon Tyne NE1 8ST, Tyne &amp; Wear, England.</t>
  </si>
  <si>
    <t>matthew.pound@northumbria.ac.uk</t>
  </si>
  <si>
    <t>Salzmann, Ulrich/H-9929-2017</t>
  </si>
  <si>
    <t>Salzmann, Ulrich/0000-0001-5598-5327; Pound, Matthew/0000-0001-8029-9548</t>
  </si>
  <si>
    <t>Natural Environmental Research Council (NERC) [NE/H000984/1]; NERC [NE/H000984/1] Funding Source: UKRI; Natural Environment Research Council [NE/H000984/1] Funding Source: researchfish</t>
  </si>
  <si>
    <t>Natural Environmental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</si>
  <si>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US and MP acknowledge funding received from the Natural Environmental Research Council (NERC grant NE/H000984/1). MP and US thank two anonymous reviewers for their comments that greatly improved this manuscript.</t>
  </si>
  <si>
    <t>10.1038/srep43386</t>
  </si>
  <si>
    <t>EM3TN</t>
  </si>
  <si>
    <t>WOS:000395237600001</t>
  </si>
  <si>
    <t>Tollefson, J</t>
  </si>
  <si>
    <t>Tollefson, Jeff</t>
  </si>
  <si>
    <t>Giant crack in Antarctic ice shelf spotlights advances in glaciology</t>
  </si>
  <si>
    <t>ICE SHELF</t>
  </si>
  <si>
    <t>FEB 23</t>
  </si>
  <si>
    <t>10.1038/nature.2017.21507</t>
  </si>
  <si>
    <t>EM1RG</t>
  </si>
  <si>
    <t>WOS:000395094100007</t>
  </si>
  <si>
    <t>Sweetman, AK; Thurber, AR; Smith, CR; Levin, LA; Mora, C; Wei, CL; Gooday, AJ; Jones, DOB; Rex, M; Yasuhara, M; Ingels, J; Ruhl, HA; Frieder, CA; Danovaro, R; Würzberg, L; Baco, A; Grupe, BM; Pasulka, A; Meyer, KS; Dunlop, KM; Henry, LA; Roberts, JM</t>
  </si>
  <si>
    <t>Sweetman, Andrew K.; Thurber, Andrew R.; Smith, Craig R.; Levin, Lisa A.; Mora, Camilo; Wei, Chih-Lin; Gooday, Andrew J.; Jones, Daniel O. B.; Rex, Michael; Yasuhara, Moriaki; Ingels, Jeroen; Ruhl, Henry A.; Frieder, Christina A.; Danovaro, Roberto; Wurzberg, Laura; Baco, Amy; Grupe, Benjamin M.; Pasulka, Alexis; Meyer, Kirstin S.; Dunlop, Katherine M.; Henry, Lea-Anne; Roberts, J. Murray</t>
  </si>
  <si>
    <t>Major impacts of climate change on deep-sea benthic ecosystems</t>
  </si>
  <si>
    <t>deep-sea; climate change; ecosystem functioning; biodiversity; benthos</t>
  </si>
  <si>
    <t>OXYGEN-MINIMUM ZONE; PERSISTENT ORGANIC POLLUTANTS; WATER CORAL MOUNDS; FINAL GLOBAL SINK; NORTH-ATLANTIC; HABITAT HETEROGENEITY; ANTARCTIC BENTHOS; PHYSICAL DISTURBANCE; POLYMETALLIC NODULES; OCEAN ACIDIFICATION</t>
  </si>
  <si>
    <t>The deep sea encompasses the largest ecosystems on Earth. Although poorly known, deep seafloor ecosystems provide services that are vitally important to the entire ocean and biosphere. Rising atmospheric greenhouse gases are bringing about significant changes in the environmental properties of the ocean realm in terms of water column oxygenation, temperature, pH and food supply, with concomitant impacts on deep-sea ecosystems. Projections suggest that abyssal (3000-6000 m) ocean temperatures could increase by 1 degrees C over the next 84 years, while abyssal seafloor habitats under areas of deep-water formation may experience reductions in water column oxygen concentrations by as much as 0.03 mL L-1 by 2100. Bathyal depths (200-3000 m) worldwide will undergo the most significant reductions in pH in all oceans by the year 2100 (0.29 to 0.37 pH units). O-2 concentrations will also decline in the bathyal NE Pacific and Southern Oceans, with losses up to 3.7% or more, especially at intermediate depths. Another important environmental parameter, the flux of particulate organic matter to the seafloor, is likely to decline significantly in most oceans, most notably in the abyssal and bathyal Indian Ocean where it is predicted to decrease by 40-55% by the end of the century. Unfortunately, how these major changes will affect deep-seafloor ecosystems is, in some cases, very poorly understood. In this paper, we provide a detailed overview of the impacts of these changing environmental parameters on deep-seafloor ecosystems that will most likely be seen by 2100 in continental margin, abyssal and polar settings. We also consider how these changes may combine with other anthropogenic stressors (e.g., fishing, mineral mining, oil and gas extraction) to further impact deep-seafloor ecosystems and discuss the possible societal implications.</t>
  </si>
  <si>
    <t>[Sweetman, Andrew K.] Heriot Watt Univ, Lyell Ctr Earth &amp; Marine Sci &amp; Technol, Inst Life &amp; Earth Sci, Edinburgh, Midlothian, Scotland; [Thurber, Andrew R.] Oregon State Univ, Coll Sci, Dept Microbiol, Corvallis, OR 97331 USA; [Thurber, Andrew R.] Oregon State Univ, Coll Sci, Coll Earth Ocean &amp; Atmospher Sci, Corvallis, OR 97331 USA; [Smith, Craig R.] Univ Hawaii Manoa, Dept Oceanog, Honolulu, HI 96822 USA; [Levin, Lisa A.; Frieder, Christina A.] Scripps Inst Oceanog, Ctr Marine Biodivers &amp; Conservat, La Jolla, CA USA; [Levin, Lisa A.; Frieder, Christina A.] Scripps Inst Oceanog, Integrat Oceanog Div, La Jolla, CA USA; [Mora, Camilo] Univ Hawaii, Dept Geog, Honolulu, HI 96822 USA; [Wei, Chih-Lin] Natl Taiwan Univ, Inst Oceanog, Taipei, Taiwan; [Gooday, Andrew J.; Jones, Daniel O. B.] Univ Southampton, Natl Oceanog Ctr, Southampton, Hants, England; [Rex, Michael] Univ Massachusetts, Boston, MA 02125 USA; [Yasuhara, Moriaki] Univ Hong Kong, Sch Biol Sci, Hong Kong, Hong Kong, Peoples R China; [Yasuhara, Moriaki] Univ Hong Kong, Swire Inst Marine Sci, Hong Kong, Hong Kong, Peoples R China; [Ingels, Jeroen] Plymouth Marine Lab, Plymouth, Devon, England; [Frieder, Christina A.] Univ So Calif, Dept Biol Sci, Los Angeles, CA 90089 USA; [Danovaro, Roberto] Polytech Univ Marche, Dept Life &amp; Environm Sci, Ancona, Italy; [Danovaro, Roberto] Staz Zool Anton Dohrn, Naples, Italy; [Wurzberg, Laura] Univ Hamburg, Bioctr Grindel &amp; Zool Museum, Hamburg, Germany; [Baco, Amy] Florida State Univ, Dept Earth Ocean &amp; Atmospher Sci, Tallahassee, FL 32306 USA; [Grupe, Benjamin M.] Inst Ocean Sci, Fisheries &amp; Oceans Canada, Sidney, BC, Canada; [Pasulka, Alexis] CALTECH, Div Geol &amp; Planetary Sci, Pasadena, CA 91125 USA; [Meyer, Kirstin S.] Oregon Inst Marine Biol, Charleston, OR USA; [Meyer, Kirstin S.] Woods Hole Oceanog Inst, Woods Hole, MA USA; [Henry, Lea-Anne; Roberts, J. Murray] Univ Edinburgh, Sch Geosci, Edinburgh, Midlothian, Scotland</t>
  </si>
  <si>
    <t>Heriot Watt University; Oregon State University; Oregon State University; University of Hawaii System; University of Hawaii Manoa; University of California System; University of California San Diego; Scripps Institution of Oceanography; University of California System; University of California San Diego; Scripps Institution of Oceanography; University of Hawaii System; National Taiwan University; University of Southampton; NERC National Oceanography Centre; University of Massachusetts System; University of Massachusetts Boston; University of Hong Kong; University of Hong Kong; Plymouth Marine Laboratory; University of Southern California; Marche Polytechnic University; Stazione Zoologica Anton Dohrn di Napoli; University of Hamburg; State University System of Florida; Florida State University; Fisheries &amp; Oceans Canada; California Institute of Technology; Woods Hole Oceanographic Institution; University of Edinburgh</t>
  </si>
  <si>
    <t>Sweetman, AK (corresponding author), Heriot Watt Univ, Lyell Ctr Earth &amp; Marine Sci &amp; Technol, Inst Life &amp; Earth Sci, Edinburgh, Midlothian, Scotland.</t>
  </si>
  <si>
    <t>A.Sweetman@hw.ac.uk</t>
  </si>
  <si>
    <t>Grupe, Benjamin/D-1436-2010; Gooday, Andrew/ABB-4267-2020; Roberts, Murray/D-8299-2013; Gooday, Andrew/AAH-8991-2021; Jones, Daniel/A-3412-2009; Ingels, Jeroen/A-1691-2008</t>
  </si>
  <si>
    <t>Grupe, Benjamin/0000-0002-5421-7278; Gooday, Andrew/0000-0002-5661-7371; Jones, Daniel/0000-0001-5218-1649; Meyer-Kaiser, Kirstin/0000-0003-2219-6086; Henry, Lea-Anne/0000-0001-5134-1102; Levin, Lisa/0000-0002-2858-8622; Frieder, Christina/0000-0003-2056-3954; WEI, CHIH-LIN/0000-0001-9430-0060; Ingels, Jeroen/0000-0001-8342-2222; Dunlop, Katherine/0000-0002-2397-1841</t>
  </si>
  <si>
    <t>Norwegian Research Council (NFR) at Friday Harbor Laboratories, University of Washington [216598]; European Union [603418, 689518, 678760]</t>
  </si>
  <si>
    <t>Norwegian Research Council (NFR) at Friday Harbor Laboratories, University of Washington; European Union(European Union (EU))</t>
  </si>
  <si>
    <t>We thank the Norwegian Research Council for awarding funding to A.K. Sweetman, L.A. Levin, A.R. Thurber and C.R. Smith to run the workshop CLIDEEP - Workshop to explore the impacts of climate change on deep-sea pelagic and benthic ecosystems (NFR grant No. 216598) at Friday Harbor Laboratories, University of Washington, where the foundations for this paper were laid. A.K. Sweetman D.O.B. Jones and R. Danovaro acknowledge funding from the European Union Seventh Framework Programme (FP7/2007-2013) under grant agreement 603418 (MIDAS), and the European Union Horizon 2020 research and innovation programme under grant agreement 689518 (MERCES). L.-A. Henry and J.M. Roberts acknowledge funding from the European Union's Horizon 2020 research and innovation programme under grant agreement No 678760 (ATLAS): this output reflects only the authors' views and the European Union cannot be held responsible for any use that may be made of the information contained therein.</t>
  </si>
  <si>
    <t>10.1525/elementa.203</t>
  </si>
  <si>
    <t>EQ3FJ</t>
  </si>
  <si>
    <t>WOS:000397956500001</t>
  </si>
  <si>
    <t>Casillo, A; Papa, R; Ricciardelli, A; Sannino, F; Ziaco, M; Tilotta, M; Selan, L; Marino, G; Corsaro, MM; Tutino, ML; Artini, M; Parrilli, E</t>
  </si>
  <si>
    <t>Casillo, Angela; Papa, Rosanna; Ricciardelli, Annarita; Sannino, Filomena; Ziaco, Marcello; Tilotta, Marco; Selan, Laura; Marino, Gennaro; Corsaro, Maria M.; Tutino, Maria L.; Artini, Marco; Parrilli, Ermenegilda</t>
  </si>
  <si>
    <t>Anti-Biofilm Activity of a Long-Chain Fatty Aldehyde from Antarctic Pseudoalteromonas haloplanktis TAC 125 against Staphylococcus epidermidis Bio film</t>
  </si>
  <si>
    <t>FRONTIERS IN CELLULAR AND INFECTION MICROBIOLOGY</t>
  </si>
  <si>
    <t>ati-biofilm; Staphylococcus epidermidis; long fatty acid aldehyde; quorum sensing; Pseudoalteromonas haloplanktis TAC125</t>
  </si>
  <si>
    <t>METABOLISM; VIRULENCE; AUREUS; LUXS; MECHANISMS; INHIBITORS; OXIDATION; STRATEGY; MUTANTS; SYSTEM</t>
  </si>
  <si>
    <t>Staphylococcus epidermidis is a harmless human skin colonizer responsible for similar to 20% of orthopedic device-related infections due to its capability to form biofilm. Nowadays there is an interest in the development of anti-biofilm molecules. Marine bacteria represent a still underexploited source of biodiversity able to synthesize a broad range of bioactive compounds, including anti-biofilm molecules. Previous results have demonstrated that the culture supernatant of Antarctic marine bacterium Pseudoalteromonas haloplanktis TAC125 impairs the formation of S. epidermidis biofilm. Further, evidence supports the hydrophobic nature of the active molecule, which has been suggested to act as a signal molecule. In this paper we describe an efficient activity-guided purification protocol which allowed us to purify this anti-biofilm molecule and structurally characterize it by NMR and mass spectrometry analyses. Our results demonstrate that the anti-biofilm molecule is pentadecanal, a long-chain fatty aldehyde, whose anti-S. epidermidis biofilm activity has been assessed using both static and dynamic biofilm assays. The specificity of its action on S. epidermidis biofilm has been demonstrated by testing chemical analogs of pentadecanal differing either in the length of the aliphatic chain or in their functional group properties. Further, indications of the mode of action of pentadecanal have been collected by studying the bioluminescence of a Vibrio harveyi reporter strain for the detection of autoinducer AI-2 like activities. The data collected suggest that pentadecanal acts as an AI-2 signal. Moreover, the aldehyde metabolic role and synthesis in the Antarctic source strain has been investigated. To the best of our knowledge, this is the first report on the identification of an anti-biofilm molecule form from cold-adapted bacteria and on the action of a long-chain fatty aldehyde acting as an anti-biofilmmolecule against S. epidermidis.</t>
  </si>
  <si>
    <t>[Casillo, Angela; Ricciardelli, Annarita; Sannino, Filomena; Ziaco, Marcello; Marino, Gennaro; Corsaro, Maria M.; Tutino, Maria L.; Parrilli, Ermenegilda] Complesso Univ Monte St Angelo, Federico Univ 2, Dept Chem Sci, Naples, Italy; [Papa, Rosanna; Tilotta, Marco; Selan, Laura; Artini, Marco] Sapienza Univ, Dept Publ Hlth &amp; Infect Dis, Rome, Italy</t>
  </si>
  <si>
    <t>Sapienza University Rome</t>
  </si>
  <si>
    <t>Parrilli, E (corresponding author), Complesso Univ Monte St Angelo, Federico Univ 2, Dept Chem Sci, Naples, Italy.</t>
  </si>
  <si>
    <t>erparril@unina.it</t>
  </si>
  <si>
    <t>Ziaco, Marcello/AIA-2444-2022; Ricciardelli, Annarita/AAF-3219-2021; Corsaro, Maria Michela/T-6190-2019; Ziaco, Marcello/KHD-9520-2024; parrilli, ermenegilda/JAZ-0586-2023; parrilli, ermenegilda/K-4616-2016; TUTINO, MARIA LUISA/L-1834-2013</t>
  </si>
  <si>
    <t>Ziaco, Marcello/0000-0002-0054-779X; Ricciardelli, Annarita/0000-0003-2084-0579; Corsaro, Maria Michela/0000-0002-6834-8682; parrilli, ermenegilda/0000-0002-9002-5409; Tutino, Maria Luisa/0000-0002-4978-6839</t>
  </si>
  <si>
    <t>Programma Nazionale di Ricerche in Antartide [2013/B1.04 Tutino]</t>
  </si>
  <si>
    <t>Programma Nazionale di Ricerche in Antartide(Ministry of Education, Universities and Research (MIUR))</t>
  </si>
  <si>
    <t>This work was supported by Programma Nazionale di Ricerche in Antartide 2013/B1.04 Tutino.</t>
  </si>
  <si>
    <t>2235-2988</t>
  </si>
  <si>
    <t>FRONT CELL INFECT MI</t>
  </si>
  <si>
    <t>Front. Cell. Infect. Microbiol.</t>
  </si>
  <si>
    <t>10.3389/fcimb.2017.00046</t>
  </si>
  <si>
    <t>EL3XC</t>
  </si>
  <si>
    <t>WOS:000394551600001</t>
  </si>
  <si>
    <t>Kilada, R; Reiss, CS; Kawaguchi, S; King, RA; Matsuda, T; Ichii, T</t>
  </si>
  <si>
    <t>Kilada, Raouf; Reiss, Christian S.; Kawaguchi, So; King, Robert A.; Matsuda, Tsuyoshi; Ichii, Taro</t>
  </si>
  <si>
    <t>Validation of band counts in eyestalks for the determination of age of Antarctic krill, Euphausia superba</t>
  </si>
  <si>
    <t>SCOTIA SEA; HOMARUS-AMERICANUS; PENINSULA REGION; CLIMATE-CHANGE; GASTRIC MILL; GROWTH; SHRINKAGE; RECRUITMENT; LIPOFUSCIN; BIOMASS</t>
  </si>
  <si>
    <t>Using known-age Antarctic krill (Euphausia superba) grown from eggs hatched at two different laboratories, we validate the annual pattern of bands deposited in the eyestalks of krill and determine the absolute age of these animals. Ages two through five years were validated, and these animals ranged from 37.1 to 62.6 mm in total length. The band counts in these individuals were either identical to their absolute ages, or only failed to agree by a few months, which demonstrates the accuracy of this method. Precision and bias were estimated graphically using Chang's index (Coefficient of Variation = 5.03%). High accuracy and precision between readers and low ageing bias indicate that longitudinal sections of eyestalks can be used to age krill in wild samples and to develop age-based stock assessment models for krill. Archival samples preserved in formalin (5%) and stored in ambient conditions were also readable. Ageing preserved krill will provide the opportunity to examine changes in growth among krill populations within the Southern Ocean and to retrospectively examine changes in krill production over the last century to better understand the historical and future impacts of climate change on this critical Southern Ocean species.</t>
  </si>
  <si>
    <t>[Kilada, Raouf] Univ New Brunswick, St John, NB, Canada; [Kilada, Raouf] Suez Canal Univ, Dept Marine Sci, Ismailia, Egypt; [Reiss, Christian S.] NOAA Fisheries, Antarctic Ecosyst Res Div, La Jolla, CA 92037 USA; [Kawaguchi, So; King, Robert A.] Australian Antarctic Div, Kingston, Tas, Australia; [Kawaguchi, So] Antarctic Climate &amp; Ecosyst Cooperat Res Ctr, Hobart, Tas, Australia; [Matsuda, Tsuyoshi] Port Nagoya Publ Aquarium, Nagoya, Aichi, Japan; [Ichii, Taro] Natl Res Inst Far Seas Fisheries, Yokohama, Kanagawa, Japan</t>
  </si>
  <si>
    <t>University of New Brunswick; Egyptian Knowledge Bank (EKB); Suez Canal University; National Oceanic Atmospheric Admin (NOAA) - USA; Australian Antarctic Division; Antarctic Climate &amp; Ecosystems Cooperative Research Centre (ACE CRC); Japan Fisheries Research &amp; Education Agency (FRA)</t>
  </si>
  <si>
    <t>Reiss, CS (corresponding author), NOAA Fisheries, Antarctic Ecosyst Res Div, La Jolla, CA 92037 USA.</t>
  </si>
  <si>
    <t>Christian.reiss@noaa.gov</t>
  </si>
  <si>
    <t>Matsuda, Tsuyoshi/HJI-5833-2023; Kawaguchi, So/N-1795-2017</t>
  </si>
  <si>
    <t>Kawaguchi, So/0000-0002-2042-5095; King, Robert/0000-0002-4650-2335</t>
  </si>
  <si>
    <t>National Oceanic and Atmospheric Administration; Antarctic Wildlife Research Fund</t>
  </si>
  <si>
    <t>National Oceanic and Atmospheric Administration(National Oceanic Atmospheric Admin (NOAA) - USA); Antarctic Wildlife Research Fund</t>
  </si>
  <si>
    <t>This work was supported by a contract to RK by the National Oceanic and Atmospheric Administration and a grant by the Antarctic Wildlife Research Fund to RK, CSR and SK. The Port of Nagoya Public Aquarium provided the very valuable known age animals, and support in the form of salary for author TM, but did not have any additional role in the study design, data collection and analysis, decision to publish, or preparation of the manuscript.</t>
  </si>
  <si>
    <t>FEB 22</t>
  </si>
  <si>
    <t>e0171773</t>
  </si>
  <si>
    <t>10.1371/journal.pone.0171773</t>
  </si>
  <si>
    <t>EL5SK</t>
  </si>
  <si>
    <t>Green Accepted, gold, Green Published, Green Submitted</t>
  </si>
  <si>
    <t>WOS:000394680900020</t>
  </si>
  <si>
    <t>Ferrera, I; Sarmento, H; Priscu, JC; Chiuchiolo, A; González, JM; Grossart, HP</t>
  </si>
  <si>
    <t>Ferrera, Isabel; Sarmento, Hugo; Priscu, John C.; Chiuchiolo, Amy; Gonzalez, Jose M.; Grossart, Hans-Peter</t>
  </si>
  <si>
    <t>Diversity and Distribution of Freshwater Aerobic Anoxygenic Phototrophic Bacteria across a Wide Latitudinal Gradient</t>
  </si>
  <si>
    <t>AAP bacteria; photoheterotrophy; pufM gene; freshwater lakes; latitudinal gradients; biogeography</t>
  </si>
  <si>
    <t>MCMURDO DRY VALLEYS; MICROBIAL COMMUNITIES; SURFACE WATERS; GROWTH-RATES; SALINE LAKES; BIOGEOGRAPHY; BACTERIOPLANKTON; PHOTOHETEROTROPHS; DELAWARE; ENVIRONMENT</t>
  </si>
  <si>
    <t>Aerobic anoxygenic phototrophs (AAPs) have been shown to exist in numerous marine and brackish environments where they are hypothesized to play important ecological roles. Despite their potential significance, the study of freshwater AAPs is in its infancy and limited to local investigations. Here, we explore the occurrence, diversity and distribution of AAPs in lakes covering a wide latitudinal gradient: Mongolian and German lakes located in temperate regions of Eurasia, tropical Great East African lakes, and polar permanently ice-covered Antarctic lakes. Our results show a widespread distribution of AAPs in lakes with contrasting environmental conditions and confirm that this group is composed of different members of the Alpha- and Betaproteobacteria. While latitude does not seem to strongly influence AAP abundance, clear patterns of community structure and composition along geographic regions were observed as indicated by a strong macro-geographical signal in the taxonomical composition of AAPs. Overall, our results suggest that the distribution patterns of freshwater AAPs are likely driven by a combination of small-scale environmental conditions (specific of each lake and region) and large-scale geographic factors (climatic regions across a latitudinal gradient).</t>
  </si>
  <si>
    <t>[Ferrera, Isabel] CSIC, Inst Ciencies Mar, Dept Biol Marina &amp; Oceanog, Barcelona, Spain; [Ferrera, Isabel; Grossart, Hans-Peter] Leibniz Inst Freshwater Ecol &amp; Inland Fisheries, Dept Expt Limnol, Stechlin, Germany; [Sarmento, Hugo] Univ Fed Sao Carlos, Dept Hydrobiol, Sao Carlos, SP, Brazil; [Priscu, John C.; Chiuchiolo, Amy] Montana State Univ, Dept Land Resources &amp; Environm Sci, Bozeman, MT 59717 USA; [Gonzalez, Jose M.] Univ La Laguna, Dept Microbiol, San Cristobal la Laguna, Spain; [Grossart, Hans-Peter] Univ Potsdam, Dept Biol &amp; Biochem, Potsdam, Germany</t>
  </si>
  <si>
    <t>Consejo Superior de Investigaciones Cientificas (CSIC); CSIC - Centro Mediterraneo de Investigaciones Marinas y Ambientales (CMIMA); CSIC - Instituto de Ciencias del Mar (ICM); Leibniz Institut fur Gewasserokologie und Binnenfischerei (IGB); Universidade Federal de Sao Carlos; Montana State University System; Montana State University Bozeman; Universidad de la Laguna; University of Potsdam</t>
  </si>
  <si>
    <t>Ferrera, I (corresponding author), CSIC, Inst Ciencies Mar, Dept Biol Marina &amp; Oceanog, Barcelona, Spain.;Ferrera, I (corresponding author), Leibniz Inst Freshwater Ecol &amp; Inland Fisheries, Dept Expt Limnol, Stechlin, Germany.</t>
  </si>
  <si>
    <t>iferrera@icm.csic.es</t>
  </si>
  <si>
    <t>Sarmento, Hugo/A-7655-2008; González, José M./C-3333-2013; Sarmento, Hugo/W-3805-2019; Ferrera, Isabel/L-7200-2014</t>
  </si>
  <si>
    <t>Sarmento, Hugo/0000-0001-5220-7992; González, José M./0000-0002-9926-3323; Sarmento, Hugo/0000-0001-5220-7992; Ferrera, Isabel/0000-0003-3484-516X</t>
  </si>
  <si>
    <t>IGB Fellowship Program in Freshwater Science; Spanish Ministry of Science and Innovation [CGL2010-11556-E]; US NSF [NSF-PLR 1115245]; CNPq; FAPESP [2014/14139-3]</t>
  </si>
  <si>
    <t>IGB Fellowship Program in Freshwater Science; Spanish Ministry of Science and Innovation(Spanish Government); US NSF(National Science Foundation (NSF)); CNPq(Conselho Nacional de Desenvolvimento Cientifico e Tecnologico (CNPQ)); FAPESP(Fundacao de Amparo a Pesquisa do Estado de Sao Paulo (FAPESP))</t>
  </si>
  <si>
    <t>This work was partly supported through the IGB Fellowship Program in Freshwater Science funded to IF. Sampling expedition to the African lakes was funded by the Spanish Ministry of Science and Innovation (CGL2010-11556-E). Antarctic samples were collected as part of the US NSF funded McMurdo Dry Valleys Long-Term Ecological Research Program (NSF-PLR 1115245). We thank Gongor Sergelen for collecting Mongolian samples. We are thankful to Jean-Pierre Descy, Cedric Morana, Marc Lliros, Pascal Isumbisho, and William Okello who helped in the African sampling expedition and all those that participated in the collection of Antarctic samples. HS work was supported by CNPq and FAPESP (Process: 2014/14139-3). We greatly thank Ivette Salka for kindly providing her published data in a convenient format for analysis in this work. IF also thanks the staff of the Department of Experimental Limnology at IGB for all their support during her research stay.</t>
  </si>
  <si>
    <t>10.3389/fmicb.2017.00175</t>
  </si>
  <si>
    <t>EL3TT</t>
  </si>
  <si>
    <t>WOS:000394542900001</t>
  </si>
  <si>
    <t>Ezat, MM; Rasmussen, TL; Hönisch, B; Groeneveld, J; deMenocal, P</t>
  </si>
  <si>
    <t>Ezat, Mohamed M.; Rasmussen, Tine L.; Honisch, Barbel; Groeneveld, Jeroen; deMenocal, Peter</t>
  </si>
  <si>
    <t>Episodic release of CO2 from the high-latitude North Atlantic Ocean during the last 135 kyr</t>
  </si>
  <si>
    <t>ATMOSPHERIC CARBON-DIOXIDE; BORON ISOTOPIC COMPOSITION; ICE-CORE; FORAMINIFERAL MG/CA; BULLOIDES IMPLICATIONS; CLEANING PROCEDURES; PACHYDERMA S; NORDIC SEAS; CLIMATE; VARIABILITY</t>
  </si>
  <si>
    <t>Antarctic ice cores document glacial-interglacial and millennial-scale variability in atmospheric pCO(2) over the past 800 kyr. The ocean, as the largest active carbon reservoir on this timescale, is thought to have played a dominant role in these pCO(2) fluctuations, but it remains unclear how and where in the ocean CO2 was stored during glaciations and released during (de)glacial millennial-scale climate events. The evolution of surface ocean pCO(2) in key locations can therefore provide important clues for understanding the ocean's role in Pleistocene carbon cycling. Here we present a 135-kyr record of shallow subsurface pCO(2) and nutrient levels from the Norwegian Sea, an area of intense CO2 uptake from the atmosphere today. Our results suggest that the Norwegian Sea probably acted as a CO2 source towards the end of Heinrich stadials HS1, HS4 and HS11, and may have contributed to the increase in atmospheric pCO(2) at these times.</t>
  </si>
  <si>
    <t>[Ezat, Mohamed M.; Rasmussen, Tine L.] UiT Arctic Univ Norway, Dept Geosci, CAGE Ctr Arctic Gas Hydrate Environm &amp; Climate, N-9037 Tromso, Norway; [Ezat, Mohamed M.] Beni Suef Univ, Dept Geol, Fac Sci, Bani Suwayf 62511, Egypt; [Honisch, Barbel; deMenocal, Peter] Columbia Univ, Dept Earth &amp; Environm Sci, Palisades, NY 10964 USA; [Honisch, Barbel; deMenocal, Peter] Columbia Univ, Lamont Doherty Earth Observ, Palisades, NY 10964 USA; [Groeneveld, Jeroen] Univ Bremen, Inst Marine Environm Sci MARUM, Klagenfurterstr 2-4, D-28359 Bremen, Germany</t>
  </si>
  <si>
    <t>UiT The Arctic University of Tromso; Egyptian Knowledge Bank (EKB); Beni Suef University; Columbia University; Columbia University; University of Bremen</t>
  </si>
  <si>
    <t>Ezat, MM (corresponding author), UiT Arctic Univ Norway, Dept Geosci, CAGE Ctr Arctic Gas Hydrate Environm &amp; Climate, N-9037 Tromso, Norway.;Ezat, MM (corresponding author), Beni Suef Univ, Dept Geol, Fac Sci, Bani Suwayf 62511, Egypt.</t>
  </si>
  <si>
    <t>mohamed.ezat@uit.no</t>
  </si>
  <si>
    <t>Hoenisch, Baerbel/ABF-4968-2021; Hoenisch, Baerbel/C-7530-2013</t>
  </si>
  <si>
    <t>Hoenisch, Baerbel/0000-0001-5844-3398; Hoenisch, Baerbel/0000-0001-5844-3398; Ezat, Mohamed/0000-0002-9475-0974</t>
  </si>
  <si>
    <t>Research Council of Norway through its Centres of Excellence funding scheme [223259]; Arctic University of Norway; Mohn Foundation</t>
  </si>
  <si>
    <t>Research Council of Norway through its Centres of Excellence funding scheme(Research Council of Norway); Arctic University of Norway; Mohn Foundation</t>
  </si>
  <si>
    <t>We sincerely thank J. Ruprecht, K. Esswein, U. Hoff, J. Farmer, T. Dahl, E. Ellingsen, I. Hald, K. Monsen, L. Pena, K. Allen, M. Segl and S. Pape for valuable support in the laboratory and L. Skinner, D. Thornalley, U. Hoff, J. McManus, J. Farmer and H. Spero for helpful discussions. We also thank the three anonymous reviewers for their very constructive comments and suggestions. This research was funded by the Research Council of Norway through its Centres of Excellence funding scheme, project number 223259. M. M. Ezat has also received funding from the Arctic University of Norway and the Mohn Foundation to the Paleo-CIRCUS project.</t>
  </si>
  <si>
    <t>10.1038/ncomms14498</t>
  </si>
  <si>
    <t>EL3MZ</t>
  </si>
  <si>
    <t>WOS:000394524600001</t>
  </si>
  <si>
    <t>See-Too, WS; Ee, R; Lim, YL; Convey, P; Pearce, DA; Yin, WF; Chan, KG</t>
  </si>
  <si>
    <t>See-Too, Wah Seng; Ee, Robson; Lim, Yan-Lue; Convey, Peter; Pearce, David A.; Yin, Wai-Fong; Chan, Kok-Gan</t>
  </si>
  <si>
    <t>AidP, a novel N-Acyl homoserine lactonase gene from Antarctic Planococcus sp</t>
  </si>
  <si>
    <t>QUORUM-QUENCHING LACTONASE; ACYLHOMOSERINE LACTONASE; BACILLUS-THURINGIENSIS; METAGENOMIC ANALYSIS; GENOME SEQUENCE; SENSING SIGNAL; GROWTH; BACTERIA; ENZYME; AIIA</t>
  </si>
  <si>
    <t>Planococcus is a Gram-positive halotolerant bacterial genus in the phylum Firmicutes, commonly found in various habitats in Antarctica. Quorum quenching (QQ) is the disruption of bacterial cell-tocell communication (known as quorum sensing), which has previously been described in mesophilic bacteria. This study demonstrated the QQ activity of a psychrotolerant strain, Planococcus versutus strain L10.15(T), isolated from a soil sample obtained near an elephant seal wallow in Antarctica. Whole genome analysis of this bacterial strain revealed the presence of an N-acyl homoserine lactonase, an enzyme that hydrolyzes the ester bond of the homoserine lactone of N-acyl homoserine lactone (AHLs). Heterologous gene expression in E. coli confirmed its functions for hydrolysis of AHLs, and the gene was designated as aidP (autoinducer degrading gene from Planococcus sp.). The low temperature activity of this enzyme suggested that it is a novel and uncharacterized class of AHL lactonase. This study is the first report on QQ activity of bacteria isolated from the polar regions.</t>
  </si>
  <si>
    <t>[See-Too, Wah Seng; Ee, Robson; Lim, Yan-Lue; Yin, Wai-Fong; Chan, Kok-Gan] Univ Malaya, Inst Biol Sci, Div Genet &amp; Mol Biol, Fac Sci, 50603 Kuala Lumpur, Malaysia; [See-Too, Wah Seng; Convey, Peter; Pearce, David A.] Univ Malaya, Inst Postgrad Studies, NARC, Kuala Lumpur 50603, Malaysia; [Convey, Peter; Pearce, David A.] British Antarctic Survey, NERC, High Cross, Cambridge CB3 OET, England; [Pearce, David A.] Northumbria Univ, Fac Hlth &amp; Life Sci, Newcastle Upon Tyne NE1 8ST, Tyne &amp; Wear, England; [Chan, Kok-Gan] Univ Malaya, UM Omics Ctr, Kuala Lumpur, Malaysia</t>
  </si>
  <si>
    <t>Universiti Malaya; Universiti Malaya; UK Research &amp; Innovation (UKRI); Natural Environment Research Council (NERC); NERC British Antarctic Survey; Northumbria University; Universiti Malaya</t>
  </si>
  <si>
    <t>Chan, KG (corresponding author), Univ Malaya, Inst Biol Sci, Div Genet &amp; Mol Biol, Fac Sci, 50603 Kuala Lumpur, Malaysia.;Chan, KG (corresponding author), Univ Malaya, UM Omics Ctr, Kuala Lumpur, Malaysia.</t>
  </si>
  <si>
    <t>Convey, Peter/AAV-5728-2020; See-Too, Wah-Seng/O-9330-2019; Chan, Kok-Gan/B-8347-2010</t>
  </si>
  <si>
    <t>Convey, Peter/0000-0001-8497-9903; See-Too, Wah-Seng/0000-0003-0843-1895; Chan, Kok-Gan/0000-0002-1883-1115; Pearce, David/0000-0001-5292-4596</t>
  </si>
  <si>
    <t>University of Malaya (UM) High Impact Research (UM-MOHE HIR Grant) [UM.C/625/1/HIR/MOHE/CHAN/14/1, H-50001-A000027, UM.C/625/1/HIR/MOHE/CHAN/01, A-000001-50001]; Bright Sparks Program of University of Malaya; PPP grant from the University of Malaya [PG084-2015B]; PPP grant [PG133-2016A]; British Antarctic Survey; NERC core funding; Natural Environment Research Council [bas0100036] Funding Source: researchfish; NERC [bas0100036] Funding Source: UKRI</t>
  </si>
  <si>
    <t>University of Malaya (UM) High Impact Research (UM-MOHE HIR Grant); Bright Sparks Program of University of Malaya; PPP grant from the University of Malaya; PPP grant; British Antarctic Survey; NERC core funding; Natural Environment Research Council(UK Research &amp; Innovation (UKRI)Natural Environment Research Council (NERC)); NERC(UK Research &amp; Innovation (UKRI)Natural Environment Research Council (NERC))</t>
  </si>
  <si>
    <t>This work was supported by the University of Malaya (UM) High Impact Research Grants (UM-MOHE HIR Grant UM.C/625/1/HIR/MOHE/CHAN/14/1, Grant No. H-50001-A000027; UM-MOHE HIR Grant UM.C/625/1/HIR/MOHE/CHAN/01, Grant No. A-000001-50001) awarded to Kok-Gan Chan. Wah-Seng See-Too thanks the Bright Sparks Program of University of Malaya for scholarship support. Robson Ee was supported by PPP grant (PG084-2015B) from the University of Malaya, and Yan Lue Lim by PPP grant (PG133-2016A). Fieldwork in Antarctica was supported by the British Antarctic Survey. Peter Convey is supported by NERC core funding to the BAS 'Biodiversity, Evolution and Adaptation' Team. This paper also contributes to the Scientific Committee on Antarctic Research international programme 'Antarctic Thresholds-Ecosystem Resilience and Adaptation' (AnT-ERA).</t>
  </si>
  <si>
    <t>10.1038/srep42968</t>
  </si>
  <si>
    <t>EL6WC</t>
  </si>
  <si>
    <t>WOS:000394762100001</t>
  </si>
  <si>
    <t>Shabangu, FW; Yemane, D; Stafford, KM; Ensor, P; Findlay, KP</t>
  </si>
  <si>
    <t>Shabangu, Fannie W.; Yemane, Dawit; Stafford, Kathleen M.; Ensor, Paul; Findlay, Ken P.</t>
  </si>
  <si>
    <t>Modelling the effects of environmental conditions on the acoustic occurrence and behaviour of Antarctic blue whales</t>
  </si>
  <si>
    <t>BALAENOPTERA-MUSCULUS; SOUTHERN-HEMISPHERE; OCEAN; TEMPERATURE; WIND; CALIFORNIA; FREQUENCY; SOUNDS; CALLS; KRILL</t>
  </si>
  <si>
    <t>Harvested to perilously low numbers by commercial whaling during the past century, the large scale response of Antarctic blue whales Balaenoptera musculus intermedia to environmental variability is poorly understood. This study uses acoustic data collected from 586 sonobuoys deployed in the austral summers of 1997 through 2009, south of 38 degrees S, coupled with visual observations of blue whales during the IWC SOWER line-transect surveys. The characteristic Z-call and D-call of Antarctic blue whales were detected using an automated detection template and visual verification method. Using a random forest model, we showed the environmental preferences pattern, spatial occurrence and acoustic behaviour of Antarctic blue whales. Distance to the southern boundary of the Antarctic Circumpolar Current (SBACC), latitude and distance from the nearest Antarctic shores were the main geographic predictors of blue whale call occurrence. Satellite-derived sea surface height, sea surface temperature, and productivity (chlorophyll-a) were the most important environmental predictors of blue whale call occurrence. Call rates of D-calls were strongly predicted by the location of the SBACC, latitude and visually detected number of whales in an area while call rates of Z-call were predicted by the SBACC, latitude and longitude. Satellite-derived sea surface height, wind stress, wind direction, water depth, sea surface temperatures, chlorophyll-a and wind speed were important environmental predictors of blue whale call rates in the Southern Ocean. Blue whale call occurrence and call rates varied significantly in response to inter-annual and long term variability of those environmental predictors. Our results identify the response of Antarctic blue whales to inter-annual variability in environmental conditions and highlighted potential suitable habitats for this population. Such emerging knowledge about the acoustic behaviour, environmental and habitat preferences of Antarctic blue whales is important in improving the management and conservation of this highly depleted species.</t>
  </si>
  <si>
    <t>[Shabangu, Fannie W.; Yemane, Dawit] Dept Agr Forestry &amp; Fisheries, Fisheries Management, Cape Town, South Africa; [Shabangu, Fannie W.; Findlay, Ken P.] Univ Pretoria, Mammal Res Inst, Whale Unit, Wynberg, South Africa; [Stafford, Kathleen M.] Univ Washington, Appl Phys Lab, Seattle, WA 98105 USA; [Ensor, Paul] Australian Marine Mammal Ctr, Australian Antarctic Div, Hobart, Tas, Australia; [Findlay, Ken P.] Cape Peninsula Univ Technol, Ctr Sustainable Oceans Econ, Cape Town, South Africa</t>
  </si>
  <si>
    <t>University of Pretoria; University of Washington; University of Washington Seattle; Australian Antarctic Division; Cape Peninsula University of Technology</t>
  </si>
  <si>
    <t>Shabangu, FW (corresponding author), Dept Agr Forestry &amp; Fisheries, Fisheries Management, Cape Town, South Africa.;Shabangu, FW (corresponding author), Univ Pretoria, Mammal Res Inst, Whale Unit, Wynberg, South Africa.</t>
  </si>
  <si>
    <t>fannie.shabangu@yahoo.com</t>
  </si>
  <si>
    <t>; Findlay, Ken/A-5766-2019</t>
  </si>
  <si>
    <t>Stafford, Kathleen Mary/0000-0003-0039-5025; Findlay, Ken/0000-0001-7154-8805; Shabangu, Fannie W./0000-0002-3668-3566</t>
  </si>
  <si>
    <t>International Whaling Commission; National Research Institute of Far Seas Fisheries via Southern Ocean Whale and Ecosystem Research program of the International Whaling Commission; South African National Antarctic Programme; National Research Foundation</t>
  </si>
  <si>
    <t>This work was supported by the International Whaling Commission and National Research Institute of Far Seas Fisheries via Southern Ocean Whale and Ecosystem Research program of the International Whaling Commission. The funders had no role in study design, data collection and analysis, decision to publish, or preparation of the manuscript.; We are greatly indebted to the International Whaling Commission for granting permission to use the IWC SOWER passive acoustic data together with the cruise reports, acoustic data records and visual survey data. We thank the captains, crew and researchers aboard the IWC SOWER survey vessels, the Shonan Maru and the Shonan Maru No 2 for the collection of these data. South African National Antarctic Programme and National Research Foundation funded the South African Blue Whale Project. Marcel du Plessis and Hazel Little of the Department of Oceanography, University of Cape Town, are thanked for the fruitful discussions regarding the best satellite products to use to obtain chlorophyll-a data for the cloudy Southern Ocean. Cathy Boucher, Department of Agriculture, Fisheries and Forestry, is acknowledged for collating some of our figures. GlobColour data (http://globcolour.info) used in this study has been developed, validated, and distributed by ACRI-ST, France. We are grateful to two anonymous reviewers for their constructive comments that improved the structure of this paper.</t>
  </si>
  <si>
    <t>FEB 21</t>
  </si>
  <si>
    <t>e0172705</t>
  </si>
  <si>
    <t>10.1371/journal.pone.0172705</t>
  </si>
  <si>
    <t>EL5QV</t>
  </si>
  <si>
    <t>WOS:000394676800078</t>
  </si>
  <si>
    <t>Tripathi, S; Tiwari, M; Lee, J; Khim, BK</t>
  </si>
  <si>
    <t>Tripathi, Shubham; Tiwari, Manish; Lee, Jongmin; Khim, Boo-Keun</t>
  </si>
  <si>
    <t>IODP Expedition 355 Scientists</t>
  </si>
  <si>
    <t>First evidence of denitrification vis-a-vis monsoon in the Arabian Sea since Late Miocene</t>
  </si>
  <si>
    <t>EVOLUTION; CLIMATE; INTENSIFICATION; PRODUCTIVITY; PLATEAU; ONSET</t>
  </si>
  <si>
    <t>In the Arabian Sea, South Asian monsoon (SAM)-induced high surface water productivity coupled with poor ventilation of intermediate water results in strong denitrification within the oxygen minimum zone (OMZ). Despite the significance of denitrification in the Arabian Sea, we have no long-term record of its evolution spanning the past several million years. Here, we present the first record of denitrification evolution since Late Miocene (similar to 10.2 Ma) in the Eastern Arabian Sea, where the SAM generates moderate surface water productivity, based on the samples retrieved during the International Ocean Discovery Program (IODP) Expedition 355. We find that (i) the SAM was persistently weaker from similar to 10.2 to 3.1 Ma; it did not intensify at similar to 8 Ma in contrast to a few previous studies, (ii) on tectonic timescale, both the SAM and the East Asian Monsoon (EAM) varied synchronously, (iii) the first evidence of denitrification and productivity/SAM intensification was at similar to 3.2-2.8 Ma that coincided with MidPliocene Warm Period (MPWP), and (iv) the modern strength of the OMZ where denitrification is a permanent feature was attained at similar to 1.0 Ma.</t>
  </si>
  <si>
    <t>[Tripathi, Shubham; Tiwari, Manish] Natl Ctr Antarctic &amp; Ocean Res, Vasco Da Gama 403804, Goa, India; [Lee, Jongmin; Khim, Boo-Keun] Pusan Natl Univ, Dept Oceanog, Busan 46241, South Korea</t>
  </si>
  <si>
    <t>Ministry of Earth Sciences (MoES) - India; National Centre for Polar and Ocean Research (NCPOR); Pusan National University</t>
  </si>
  <si>
    <t>Tiwari, M (corresponding author), Natl Ctr Antarctic &amp; Ocean Res, Vasco Da Gama 403804, Goa, India.;Khim, BK (corresponding author), Pusan Natl Univ, Dept Oceanog, Busan 46241, South Korea.</t>
  </si>
  <si>
    <t>manish@ncaor.gov.in; bkkhim@pusan.ac.kr</t>
  </si>
  <si>
    <t>Kumar, Anil/K-3768-2014; Scardia, Giancarlo/E-8821-2011; Pandey, Dhananjai/S-3843-2019; Griffith, Elizabeth/KBB-3072-2024; Tripathi, Shubham/AAU-9384-2020; Gurumurthy, GP/B-5703-2013</t>
  </si>
  <si>
    <t>Kumar, Anil/0000-0003-1559-8589; Scardia, Giancarlo/0000-0003-3710-7197; Pandey, Dhananjai/0000-0001-6899-8995; Tripathi, Shubham/0000-0002-0676-4744; Bendle, James/0000-0002-6826-8658; Aharonovich, Sophia/0000-0002-2288-261X; Ganesh Kumar, A./0000-0002-4811-2883; Kulhanek, Denise/0000-0002-2156-6383; Griffith, Elizabeth/0000-0002-7919-4551; Iwai, Masao/0000-0001-7489-1262; Routledge, Claire Marie/0000-0002-6037-6638; Tiwari, Manish/0000-0003-3143-1658; Gurumurthy, GP/0000-0003-1156-6811; Saraswat, Rajeev/0000-0003-2110-2578; Yu, Zhaojie/0000-0003-4135-9418</t>
  </si>
  <si>
    <t>Ministry of Earth Sciences (MoES), Govt. of India; National Centre for Antarctic and Ocean Research (NCAOR) [03/2017]; National Research Foundation of Korea [2016R1A2B4008256]; K-IODP program by the Korea government; Research Council of Norway (RCN); MoES, Govt. of India through the Ind-Nor programme [248793, MoES/Ind-Nor/PS-8/2015]</t>
  </si>
  <si>
    <t>Ministry of Earth Sciences (MoES), Govt. of India(Ministry of Earth Science (MoES), Government of India); National Centre for Antarctic and Ocean Research (NCAOR); National Research Foundation of Korea(National Research Foundation of Korea); K-IODP program by the Korea government; Research Council of Norway (RCN)(Research Council of Norway); MoES, Govt. of India through the Ind-Nor programme</t>
  </si>
  <si>
    <t>This research used samples and data provided by IODP, collected onboard the vessel JOIDES Resolution (IODP Expedition 355-Arabian Sea Monsoon). M.T. and S.T. thank the Secretary, Ministry of Earth Sciences (MoES), Govt. of India and Director, National Centre for Antarctic and Ocean Research (NCAOR) for support and encouragement (NCAOR Contribution no. 03/2017). B.K.K. and J.L. appreciate the National Research Foundation of Korea grant (2016R1A2B4008256) and K-IODP program by the Korea government. This research has also been supported by the Research Council of Norway (RCN) and MoES, Govt. of India through the Ind-Nor programme (grant No. 248793 and MoES/Ind-Nor/PS-8/2015). We also thank the anonymous reviewers and the editor for constructive comments that helped to improve the manuscript.</t>
  </si>
  <si>
    <t>10.1038/srep43056</t>
  </si>
  <si>
    <t>EL6AS</t>
  </si>
  <si>
    <t>WOS:000394703400001</t>
  </si>
  <si>
    <t>Garza, JB; Bott, NJ; Hammond, MD; Shepherd, N; Nowak, BF</t>
  </si>
  <si>
    <t>Garza, Jimena Balli; Bott, Nathan J.; Hammond, Michael D.; Shepherd, Natalie; Nowak, Barbara F.</t>
  </si>
  <si>
    <t>Molecular characterisation of Miamiensis avidus (Ciliophora: Scuticociliata) from ranched Southern bluefin tuna, Thunnus maccoyii off Port Lincoln, South Australia</t>
  </si>
  <si>
    <t>AQUACULTURE</t>
  </si>
  <si>
    <t>Miamiensis avidus; Thunnus maccoyii; Scuticociliates; Molecular characterisation; Southern bluefin tuna</t>
  </si>
  <si>
    <t>PHILASTERIDES-DICENTRARCHI CILIOPHORA; FLOUNDER PARALICHTHYS-OLIVACEUS; AMEBIC GILL DISEASE; URONEMA-MARINUM; FARMED TURBOT; PSEUDOCOHNILEMBUS-PERSALINUS; SCOPHTHALMUS-MAXIMUS; SYSTEMIC INFECTION; ATLANTIC SALMON; EVOLUTION</t>
  </si>
  <si>
    <t>Scuticociliates are opportunistic protozoan pathogens present in a wide range of teleost hosts. Uronema spp. and Miamiensis spp. are the two most common genera recorded from scuticociliatosis cases in farmed and ornamental fish. Southern bluefin tuna (Thunnus maccoyii) (SBT) ranching is a high value aquaculture sector, situated off Port Lincoln, South Australia. Uronema nigricans has been previously associated with SBT swimmermortality syndrome and was considered to be the causative agent. We conducted the first molecular characterisation of swimmer syndrome agent from affected SBT. Comparison of SSU rDNA and mitochondrial cytochrome c oxidase 1 sequences from the cerebrospinal fluid from SBT affected by swimmer syndrome and Uronema marinum samples, and phylogenetic analyses identified the scuticociliate present in SBT samples as Miamiensis avidus. Bayesian Inference analyses of both partial gene sequences of the Port Lincoln isolates forma clade with known M. avidus to the exclusion of Uronema spp. This shows that M. avidus is associated with swimmer syndrome and is present in the environment around SBT leases. Based on our molecular data, there is no evidence of Uronema spp. presence in the infected SBT. This is the first time M. avidus has been documented in Australia. (C) 2016 Elsevier B.V. All rights reserved.</t>
  </si>
  <si>
    <t>[Garza, Jimena Balli; Nowak, Barbara F.] Univ Tasmania, Inst Marine &amp; Antarctic Studies, Locked Bag 1370, Launceston, Tas 7250, Australia; [Bott, Nathan J.; Hammond, Michael D.; Shepherd, Natalie] RMIT Univ, Sch Sci, Ctr Environm Sustainabil &amp; Remediat, POB 71, Bundoora, Vic 3083, Australia</t>
  </si>
  <si>
    <t>University of Tasmania; Royal Melbourne Institute of Technology (RMIT)</t>
  </si>
  <si>
    <t>Bott, NJ (corresponding author), RMIT Univ, Sch Sci, Ctr Environm Sustainabil &amp; Remediat, POB 71, Bundoora, Vic 3083, Australia.</t>
  </si>
  <si>
    <t>nathan.bott@rmit.edu.au</t>
  </si>
  <si>
    <t>Bott, Nathan J/A-3816-2009; Nowak, Barbara/J-7261-2014</t>
  </si>
  <si>
    <t>Hammond, Michael/0000-0002-7916-6446; Nowak, Barbara/0000-0002-0347-643X; Bott, Nathan/0000-0003-4049-9945</t>
  </si>
  <si>
    <t>University of Tasmania Animal Ethics Committee [A0013175]</t>
  </si>
  <si>
    <t>University of Tasmania Animal Ethics Committee</t>
  </si>
  <si>
    <t>The authors would like to thank the Australian Southern Bluefin Tuna Industry Association for their ongoing support, in particular Kirsten Rough and Claire Webber. We would also like to thank Dr. Daryl Evans, Marnikol Fisheries for his ongoing support of SBT Health research. We are grateful to Prof. Iva Dykova for providing the DNA samples of Uronema spp. All work with animals and methods for recovering samples were approved by the University of Tasmania Animal Ethics Committee, project number A0013175. Samples from Czech Republic were imported under Quarantine permit IP15004906.</t>
  </si>
  <si>
    <t>0044-8486</t>
  </si>
  <si>
    <t>1873-5622</t>
  </si>
  <si>
    <t>Aquaculture</t>
  </si>
  <si>
    <t>FEB 20</t>
  </si>
  <si>
    <t>10.1016/j.aquaculture.2016.11.040</t>
  </si>
  <si>
    <t>EH5UW</t>
  </si>
  <si>
    <t>WOS:000391839400006</t>
  </si>
  <si>
    <t>Whitehead, TO; Connan, M; Ropert-Coudert, Y; Ryan, PG</t>
  </si>
  <si>
    <t>Whitehead, T. Otto; Connan, Maelle; Ropert-Coudert, Yan; Ryan, Peter G.</t>
  </si>
  <si>
    <t>Subtle but significant segregation in the feeding ecology of sympatric penguins during the critical pre-moult period</t>
  </si>
  <si>
    <t>Niche partitioning; Crested penguins; Stable isotopes; Pre-moult</t>
  </si>
  <si>
    <t>MACARONI EUDYPTES-CHRYSOLOPHUS; KING-GEORGE-ISLAND; STABLE-ISOTOPES; ROCKHOPPER PENGUINS; TROPHIC RELATIONSHIPS; FOOD-CONSUMPTION; FORAGING RANGE; SOUTHERN-OCEAN; SEX; MARION</t>
  </si>
  <si>
    <t>Niche partitioning plays an important role in minimising interspecific competition for resources. Using carbon and nitrogen stable isotopic analysis of feathers, we investigated how macaroni penguins Eudyptes chrysolophus and eastern rockhopper penguins E. chrysocome fil-holi breeding at the Prince Edward Islands partition the marine environment during the critical pre-moult period over 5 consecutive years (2011 to 2015). Both species consistently foraged immediately south of the Antarctic Polar Front, with macaroni penguins foraging farther south in years of reduced primary productivity, minimising spatiotemporal overlap between species. Macaroni penguins consistently foraged at a higher trophic level than rockhopper penguins, indicating trophic niche differentiation. Male rockhopper penguins fed at a higher trophic level than females, but macaroni penguins showed no differences between sexes. The observed dietary differences, partial allochrony and species-specific spatial responses to reduced primary productivity (i.e. prey availability) indicate that macaroni and eastern rockhopper penguins exhibit contrasting foraging strategies that limit interspecific competition during the pre-moult period.</t>
  </si>
  <si>
    <t>[Whitehead, T. Otto; Ryan, Peter G.] Univ Cape Town, Percy Fitzpatrick Inst African Ornithol, DST NRF Ctr Excellence, ZA-7701 Rondebosch, South Africa; [Connan, Maelle] Nelson Mandela Metropolitan Univ, Dept Zool, ZA-6031 Port Elizabeth, South Africa; [Ropert-Coudert, Yan] Ctr Etud Biol Chize, Stn Ecol Chize La Rochelle, CNRS, UMR 7372, F-79360 Villiers En Bois, France</t>
  </si>
  <si>
    <t>University of Cape Town; National Research Foundation - South Africa; Nelson Mandela University; Centre National de la Recherche Scientifique (CNRS); CNRS - Institute of Ecology &amp; Environment (INEE)</t>
  </si>
  <si>
    <t>Whitehead, TO (corresponding author), Univ Cape Town, Percy Fitzpatrick Inst African Ornithol, DST NRF Ctr Excellence, ZA-7701 Rondebosch, South Africa.</t>
  </si>
  <si>
    <t>whitehead.otto@gmail.com</t>
  </si>
  <si>
    <t>Connan, Maelle/A-8468-2008</t>
  </si>
  <si>
    <t>Connan, Maelle/0000-0002-1308-9118</t>
  </si>
  <si>
    <t>South African National Antarctic Programme; South African Department of Science and Technology, National Research Foundation; University of Cape Town</t>
  </si>
  <si>
    <t>We thank Ben Dilley, Delia Davies, Stefan Schoombie and Kim Stevens for assistance with fieldwork. The South African National Antarctic Programme provided funding and logistical support; additional funding was provided by the South African Department of Science and Technology, National Research Foundation and the University of Cape Town.</t>
  </si>
  <si>
    <t>FEB 17</t>
  </si>
  <si>
    <t>10.3354/meps12017</t>
  </si>
  <si>
    <t>EN5NF</t>
  </si>
  <si>
    <t>WOS:000396051700015</t>
  </si>
  <si>
    <t>Cherel, Y; Xavier, JC; de Grissac, S; Trouvé, C; Weimerskirch, H</t>
  </si>
  <si>
    <t>Cherel, Yves; Xavier, Jose C.; de Grissac, Sophie; Trouve, Colette; Weimerskirch, Henri</t>
  </si>
  <si>
    <t>Feeding ecology, isotopic niche, and ingestion of fishery-related items of the wandering albatross Diomedea exulans at Kerguelen and Crozet Islands</t>
  </si>
  <si>
    <t>Cephalopod; Diet; Hook; Satellite tracking; Seabird; Southern Ocean; Stable isotopes</t>
  </si>
  <si>
    <t>SOUTHERN ELEPHANT SEALS; LONG-LINE FISHERIES; INDIAN-OCEAN; SATELLITE TRACKING; FORAGING ECOLOGY; CEPHALOPOD FAUNA; STABLE-ISOTOPES; MARION ISLAND; SHELF-BREAK; HABITAT USE</t>
  </si>
  <si>
    <t>Feeding ecology and isotopic niche of the wandering albatross Diomedea exulans were investigated in the poorly studied population on the Kerguelen Islands and compared to that on the Crozet Islands. Fish (48% by mass) and cephalopods (46%) were similarly important in chick food at Kerguelen, while cephalopods (87%) dominated the diet at Crozet. Fish prey included mainly deep-sea species, with the Patagonian toothfish Dissostichus eleginoides being the main item. Cephalopod beaks were identified, most of which were from adult oceanic squids. Albatrosses preyed upon the same taxa at both localities, but in different proportions. Histioteuthis atlantica (30% by number), Galiteuthis glacialis (13%), and Kondakovia longimana (10%) were the main squid prey at Kerguelen, while K. longimana (35%) and H. eltaninae (23%) dominated at Crozet. Chick feather delta N-15 values were higher in wandering albatrosses than in other oceanic seabirds of the 2 communities, indicating that the wandering albatross is an apex consumer together with the sperm whale and sleeper shark that have similar delta N-15 values. Satellite-tracked wandering albatrosses foraged in local subantarctic waters and farther north, with some Crozet birds overlapping with those from the Kerguelen population in western Kerguelen waters. Anthropogenic items (e.g. plastic fragments, hooks) were found in half the food samples. All fishery-related items were from the local toothfish fishery. The high number of hooks from Crozet indicated the presence of a fairly large number of illegal longliners in the area during the Austral winter 1998. A review of the feeding habits of Diomedea spp. highlights the need for more dietary investigations to achieve effective conservation and management of this endangered group of charismatic seabirds.</t>
  </si>
  <si>
    <t>[Cherel, Yves; de Grissac, Sophie; Trouve, Colette; Weimerskirch, Henri] CNRS, UMR 7372, Ctr Etud Biol Chize, F-79360 Villiers En Bois, France; [Cherel, Yves; de Grissac, Sophie; Trouve, Colette; Weimerskirch, Henri] Univ La Rochelle, F-79360 Villiers En Bois, France; [Xavier, Jose C.] Univ Coimbra, Marine &amp; Environm Sci Ctr, Dept Life Sci, P-3001401 Coimbra, Portugal; [Xavier, Jose C.] British Antarctic Survey, Nat Environm Res Council, Madingley Rd, Cambridge CB3 0ET, England</t>
  </si>
  <si>
    <t>Centre National de la Recherche Scientifique (CNRS); CNRS - Institute of Ecology &amp; Environment (INEE); La Rochelle Universite; Universidade de Coimbra; UK Research &amp; Innovation (UKRI); Natural Environment Research Council (NERC); NERC British Antarctic Survey</t>
  </si>
  <si>
    <t>Cherel, Y (corresponding author), CNRS, UMR 7372, Ctr Etud Biol Chize, F-79360 Villiers En Bois, France.;Cherel, Y (corresponding author), Univ La Rochelle, F-79360 Villiers En Bois, France.</t>
  </si>
  <si>
    <t>cherel@cebc.cnrs.fr</t>
  </si>
  <si>
    <t>de Grissac, Sophie/Q-6666-2017; Weimerskirch, Henri/K-7306-2019; Xavier, José/KFB-6739-2024; Weimerskirch, Henri/F-5562-2013</t>
  </si>
  <si>
    <t>Weimerskirch, Henri/0000-0002-0457-586X; /0000-0002-9621-6660</t>
  </si>
  <si>
    <t>Institut Polaire Francais Paul Emile Victor [109]; Terres Australes et Antarctiques Francaises; Natural Environment Research Council [bas0100035] Funding Source: researchfish; NERC [bas0100035] Funding Source: UKRI</t>
  </si>
  <si>
    <t>Institut Polaire Francais Paul Emile Victor; Terres Australes et Antarctiques Francaises; Natural Environment Research Council(UK Research &amp; Innovation (UKRI)Natural Environment Research Council (NERC)); NERC(UK Research &amp; Innovation (UKRI)Natural Environment Research Council (NERC))</t>
  </si>
  <si>
    <t>We thank S. Caulle, T. Guionnet, and D. Secondi, who helped during the field work; G. Guillou (LIENSs, La Rochelle) for stable isotope analysis; and G. Duhamel (MNHN, Paris) for providing information about the legal and illegal fisheries in Kerguelen and Crozet waters during the study period. This work was supported financially and logistically by the Institut Polaire Francais Paul Emile Victor (Programme No. 109, H.W.) and the Terres Australes et Antarctiques Francaises.</t>
  </si>
  <si>
    <t>10.3354/meps11994</t>
  </si>
  <si>
    <t>WOS:000396051700013</t>
  </si>
  <si>
    <t>Webber, BGM; Heywood, KJ; Stevens, DP; Dutrieux, P; Abrahamsen, EP; Jenkins, A; Jacobs, SS; Ha, HK; Lee, SH; Kim, TW</t>
  </si>
  <si>
    <t>Webber, Benjamin G. M.; Heywood, Karen J.; Stevens, David P.; Dutrieux, Pierre; Abrahamsen, E. Povl; Jenkins, Adrian; Jacobs, Stanley S.; Ha, Ho Kyung; Lee, Sang Hoon; Kim, Tae Wan</t>
  </si>
  <si>
    <t>Mechanisms driving variability in the ocean forcing of Pine Island Glacier</t>
  </si>
  <si>
    <t>CIRCUMPOLAR DEEP-WATER; AMUNDSEN SEA EMBAYMENT; ANTARCTIC ICE-SHEET; WEST ANTARCTICA; CONTINENTAL-SHELF; SOUTHERN-OCEAN; LEVEL RISE; MASS-LOSS; CIRCULATION; SENSITIVITY</t>
  </si>
  <si>
    <t>Pine Island Glacier (PIG) terminates in a rapidly melting ice shelf, and ocean circulation and temperature are implicated in the retreat and growing contribution to sea level rise of PIG and nearby glaciers. However, the variability of the ocean forcing of PIG has been poorly constrained due to a lack of multi-year observations. Here we show, using a unique record close to the Pine Island Ice Shelf (PIIS), that there is considerable oceanic variability at seasonal and interannual timescales, including a pronounced cold period from October 2011 to May 2013. This variability can be largely explained by two processes: cumulative ocean surface heat fluxes and sea ice formation close to PIIS; and interannual reversals in ocean currents and associated heat transport within Pine Island Bay, driven by a combination of local and remote forcing. Local atmospheric forcing therefore plays an important role in driving oceanic variability close to PIIS.</t>
  </si>
  <si>
    <t>[Webber, Benjamin G. M.; Heywood, Karen J.] Univ East Anglia, Ctr Ocean &amp; Atmospher Sci, Sch Environm Sci, Norwich NR4 7TJ, Norfolk, England; [Stevens, David P.] Univ East Anglia, Ctr Ocean &amp; Atmospher Sci, Sch Math, Norwich NR4 7TJ, Norfolk, England; [Dutrieux, Pierre; Jacobs, Stanley S.] Columbia Univ, Ocean &amp; Climate Phys, Lamont Doherty Earth Observ, 61 Route 9W, Palisades, NY 10964 USA; [Dutrieux, Pierre] Univ Washington, Appl Phys Lab, Polar Sci Ctr, Seattle, WA 98105 USA; [Dutrieux, Pierre; Abrahamsen, E. Povl; Jenkins, Adrian] British Antarctic Survey, Nat Environm Res Council, Cambridge CB3 0ET, England; [Ha, Ho Kyung] Inha Univ, Dept Ocean Sci, Incheon 22212, South Korea; [Lee, Sang Hoon; Kim, Tae Wan] Korea Polar Res Inst, Incheon 21990, South Korea</t>
  </si>
  <si>
    <t>University of East Anglia; University of East Anglia; Columbia University; University of Washington; University of Washington Seattle; UK Research &amp; Innovation (UKRI); Natural Environment Research Council (NERC); NERC British Antarctic Survey; Inha University; Korea Polar Research Institute (KOPRI)</t>
  </si>
  <si>
    <t>Webber, BGM (corresponding author), Univ East Anglia, Ctr Ocean &amp; Atmospher Sci, Sch Environm Sci, Norwich NR4 7TJ, Norfolk, England.</t>
  </si>
  <si>
    <t>b.webber@uea.ac.uk</t>
  </si>
  <si>
    <t>Dutrieux, Pierre/GVS-2890-2022; Ha, Ho Kyung/HCH-4138-2022; Kim, Tae-Wan/JGM-9981-2023; Jenkins, Adrian/IUN-2406-2023; Webber, Benjamin G M/J-7096-2015; Abrahamsen, Povl/B-2140-2008; Heywood, Karen/L-1757-2016; Stevens, David/F-2509-2010</t>
  </si>
  <si>
    <t>Dutrieux, Pierre/0000-0002-8066-934X; Kim, Tae-Wan/0000-0001-5257-7256; Abrahamsen, Povl/0000-0001-5924-5350; Heywood, Karen/0000-0001-9859-0026; Stevens, David/0000-0002-7283-4405; Webber, Ben/0000-0002-8812-5929; Jenkins, Adrian/0000-0002-9117-0616</t>
  </si>
  <si>
    <t>UK Natural Environment Research Council's iSTAR Programme through NERC [NE/J005703/1, NE/J005746/1, NE/J005770/1]; NSF Amundsen Sea Embayment Project [ANT06-32282]; NRF of Korea [NRF-2015K2A3A1000201]; Korean Polar Research Institute [KOPRI PP16020]; NERC [NE/J005746/1, NE/J005703/1, NE/J005770/1, bas0100033] Funding Source: UKRI; Natural Environment Research Council [NE/J005703/1, NE/J005746/1, bas0100033, NE/J005770/1] Funding Source: researchfish</t>
  </si>
  <si>
    <t>UK Natural Environment Research Council's iSTAR Programme through NERC; NSF Amundsen Sea Embayment Project; NRF of Korea; Korean Polar Research Institute; NERC(UK Research &amp; Innovation (UKRI)Natural Environment Research Council (NERC)); Natural Environment Research Council(UK Research &amp; Innovation (UKRI)Natural Environment Research Council (NERC))</t>
  </si>
  <si>
    <t>The authors thank the officers, crew and scientists of the RRS James Clark Ross, R/V Araon, and R/V Nathaniel B. Palmer. The work was supported by funding from the UK Natural Environment Research Council's iSTAR Programme through NERC Grant Numbers NE/J005703/1 (B.G.M.W., K.J.H., D.P.S.), NE/J005746/1 (A.J.) and NE/J005770/1 (P.D., A.J.). Support for the BSR5 mooring and S.S.J. was provided by the NSF Amundsen Sea Embayment Project (ANT06-32282). Support for H.K.H. was provided by NRF of Korea (NRF-2015K2A3A1000201). Support for S.H.L., T.W.K., and the iSTAR mooring deployment was provided by the Korean Polar Research Institute grant KOPRI PP16020. The surface heat flux and sea ice production data were obtained from http://wwwod.lowtem.hokudai.ac.jp/polar-seaflux/. The IBCSO bathymetry data were obtained from http://www.ibcso.org/data.html. We thank three anonymous reviewers for comments that helped to improve the manuscript.</t>
  </si>
  <si>
    <t>10.1038/ncomms14507</t>
  </si>
  <si>
    <t>EK9CZ</t>
  </si>
  <si>
    <t>WOS:000394222900001</t>
  </si>
  <si>
    <t>Möller, AL; Kaulfuss, U; Lee, DE; Wappler, T</t>
  </si>
  <si>
    <t>Moeller, Anna Lena; Kaulfuss, Uwe; Lee, Daphne E.; Wappler, Torsten</t>
  </si>
  <si>
    <t>High richness of insect herbivory from the early Miocene Hindon Maar crater, Otago, New Zealand</t>
  </si>
  <si>
    <t>PEERJ</t>
  </si>
  <si>
    <t>Early Miocene; Hindon Maar; New Zealand; Nothofagus; Plant; insect associations; Southern Hemisphere</t>
  </si>
  <si>
    <t>IN-SITU POLLEN; FOULDEN MAAR; LEAF GALLS; PLANT; ASSOCIATIONS; LEAVES; EOCENE; FLOWER; AMBLYOPONINAE; PALEOECOLOGY</t>
  </si>
  <si>
    <t>Plants and insects are key components of terrestrial ecosystems and insect herbivory is the most important type of interaction in these ecosystems.This study presents the first analysis of associations between plants and insects for the early Miocene Hindon Maar fossil lagerstatte,Otago,New Zealand.A total of 584 fossil angiosperm leaves representing 24 morphotypes were examined to determine the presence or absence of insect damage types. Of these leaves, 73% show signs of insect damage; they comprise 821 occurrences of damage from 87 damage types representing all eight functional feeding groups. In comparison to other fossil localities,the Hindon leaves display a high abundance of insect damage and a high diversity of damage types.Leaves of Nothofagus (southern beech), the dominant angiosperm in the fossil assemblage,exhibit a similar leaf damage pattern to leaves from the nearby mid to late Miocene Dunedin Volcano Group sites but display a more diverse spectrum and much higher percentage of herbivory damage than a comparable dataset of leaves from Palaeocene and Eocene sites in the Antarctic Peninsula.</t>
  </si>
  <si>
    <t>[Moeller, Anna Lena; Wappler, Torsten] Rheinische Friedrich Wilhelms Univ Bonn, Steinmann Inst Geol Mineral &amp; Palaeontol, Div Palaeontol, Bonn, Germany; [Kaulfuss, Uwe; Lee, Daphne E.] Univ Otago, Dept Geol, Dunedin, New Zealand; [Wappler, Torsten] Hess Landesmuseum Darmstadt, Darmstadt, Germany</t>
  </si>
  <si>
    <t>University of Bonn; University of Otago</t>
  </si>
  <si>
    <t>Möller, AL (corresponding author), Rheinische Friedrich Wilhelms Univ Bonn, Steinmann Inst Geol Mineral &amp; Palaeontol, Div Palaeontol, Bonn, Germany.;Kaulfuss, U (corresponding author), Univ Otago, Dept Geol, Dunedin, New Zealand.</t>
  </si>
  <si>
    <t>almoeller@uni-bonn.de; UweKaulfuss@otago.ac.nz</t>
  </si>
  <si>
    <t>Wappler, Torsten/P-6831-2019</t>
  </si>
  <si>
    <t>Wappler, Torsten/0000-0003-1592-0988</t>
  </si>
  <si>
    <t>German Academic Exchange Service; Deutsche Forschungsgemeinschaft (DFG) [WA 1492/8-1, WA 1492/11-1]; University of Otago Research Grant</t>
  </si>
  <si>
    <t>German Academic Exchange Service(Deutscher Akademischer Austausch Dienst (DAAD)); Deutsche Forschungsgemeinschaft (DFG)(German Research Foundation (DFG)); University of Otago Research Grant</t>
  </si>
  <si>
    <t>ALM was supported by a grant of the German Academic Exchange Service. This study was financially supported by the Deutsche Forschungsgemeinschaft (DFG, grant no WA 1492/8-1; 11-1) and an University of Otago Research Grant. The funders had no role in study design, data collection and analysis, decision to publish, or preparation of the manuscript.</t>
  </si>
  <si>
    <t>PEERJ INC</t>
  </si>
  <si>
    <t>341-345 OLD ST, THIRD FLR, LONDON, EC1V 9LL, ENGLAND</t>
  </si>
  <si>
    <t>2167-8359</t>
  </si>
  <si>
    <t>PeerJ</t>
  </si>
  <si>
    <t>FEB 16</t>
  </si>
  <si>
    <t>e2985</t>
  </si>
  <si>
    <t>10.7717/peerj.2985</t>
  </si>
  <si>
    <t>EO7WB</t>
  </si>
  <si>
    <t>WOS:000396899700002</t>
  </si>
  <si>
    <t>Hendry, AT; Rodger, CJ; Clilverd, MA</t>
  </si>
  <si>
    <t>Hendry, Aaron T.; Rodger, Craig J.; Clilverd, Mark A.</t>
  </si>
  <si>
    <t>Evidence of sub-MeV EMIC-driven electron precipitation</t>
  </si>
  <si>
    <t>ION-CYCLOTRON WAVES; PITCH-ANGLE SCATTERING; VAN ALLEN PROBES; RELATIVISTIC ELECTRONS; BELT; SPECTROMETER; SIMULATION; DEMETER; CRRES</t>
  </si>
  <si>
    <t>Electromagnetic ion cyclotron (EMIC) waves are potentially important drivers of the loss of energetic electrons from the radiation belts. Numerous theoretical calculations exist with conflicting predictions of one of the key parameters: the minimum resonance energy of electrons precipitated into the atmosphere by EMIC waves. In this study we initially analyze an EMIC electron precipitation event using data from two different spacecraft instruments to investigate the energies involved. Combining observations from these satellites, we find that the electron precipitation has a peak flux at similar to 250 keV. Extending the analysis technique to a previously published database of similar scattering events, we find that the peak electron precipitation flux occurs predominantly around 300 keV, with only similar to 11% of events peaking in the 1-4 MeV range. Such a significant population of low-energy EMIC-driven electron precipitation events highlights the possibility for EMIC waves to be significant drivers of radiation belt electron losses.</t>
  </si>
  <si>
    <t>[Hendry, Aaron T.; Rodger, Craig J.] Univ Otago, Dept Phys, Dunedin, New Zealand; [Clilverd, Mark A.] British Antarctic Survey NERC, Cambridge, England</t>
  </si>
  <si>
    <t>University of Otago; UK Research &amp; Innovation (UKRI); Natural Environment Research Council (NERC); NERC British Antarctic Survey</t>
  </si>
  <si>
    <t>Hendry, AT (corresponding author), Univ Otago, Dept Phys, Dunedin, New Zealand.</t>
  </si>
  <si>
    <t>aaron.hendry@otago.ac.nz</t>
  </si>
  <si>
    <t>Hendry, Aaron/T-1911-2019; Rodger, Craig/A-1501-2011</t>
  </si>
  <si>
    <t>Hendry, Aaron/0000-0002-9130-3781; Rodger, Craig J./0000-0002-6770-2707</t>
  </si>
  <si>
    <t>European Community [263218]; NERC [bas0100031] Funding Source: UKRI; Natural Environment Research Council [bas0100031] Funding Source: researchfish</t>
  </si>
  <si>
    <t>European Community; NERC(UK Research &amp; Innovation (UKRI)Natural Environment Research Council (NERC)); Natural Environment Research Council(UK Research &amp; Innovation (UKRI)Natural Environment Research Council (NERC))</t>
  </si>
  <si>
    <t>The research leading to these results has received funding from the European Community's Seventh Framework Programme (FP7/2007-2013) under grant agreement 263218. The authors wish to thank the personnel who developed, maintain, and operate the NOAA/POES spacecraft and the Demeter satellite. The data used in this paper are available at NOAA's National Geophysical Data Center (NGDC-POES MEPED data), and the CNES/CESR Centre de Donnees pour la Physique des Plasmas (CDPP-Demeter IDP and ICE data).</t>
  </si>
  <si>
    <t>10.1002/2016GL071807</t>
  </si>
  <si>
    <t>EN6LH</t>
  </si>
  <si>
    <t>WOS:000396115000003</t>
  </si>
  <si>
    <t>Saavedra-Pellitero, M; Baumann, KH; Ullermann, J; Lamy, F</t>
  </si>
  <si>
    <t>Saavedra-Pellitero, Mariem; Baumann, Karl-Heinz; Ullermann, Johannes; Lamy, Frank</t>
  </si>
  <si>
    <t>Marine Isotope Stage 11 in the Pacific sector of the Southern Ocean; a coccolithophore perspective</t>
  </si>
  <si>
    <t>Coccolith; Coccolithophores; Sr/Ca; Productivity; Southern Ocean; Carbonate; Pleistocene; Paleoceanography; Micropaleontology</t>
  </si>
  <si>
    <t>ANTARCTIC CIRCUMPOLAR CURRENT; LATE PLEISTOCENE; ATLANTIC SECTOR; PLANKTONIC-FORAMINIFERA; EMILIANIA-HUXLEYI; GEPHYROCAPSA COCCOLITHS; CARBON-DIOXIDE; INDIAN-OCEAN; SR/CA RATIOS; CLIMATE</t>
  </si>
  <si>
    <t>This work aims to provide new insights into environmental conditions during late Pleistocene Marine Isotope Stage 11 (MIS 11) in the Southern Ocean. We generated a multi-proxy coccolithophore dataset based on sediment core PS75/059-2. This core was retrieved at the western flank of the southern East Pacific Rise crest at similar to 3600 m water depth. Coccolithophore assemblage counts indicated that the coccolith fraction (CF; &lt;20 mu m) during MIS 11 was dominated by Gephyrocapsa caribbeanica and subsequently by small Gephyrocapsa. Coccolith accumulation rates, CF Sr/Ca data and temperature-corrected CF Sr/Ca records were consistent and showed a steep increase in coccolithophore productivity as well as apparent coccolith calcification during Termination V. Maximum values were reached during MIS 11. We explain this high coccolithophore production during MIS 11 by changes in sea surface temperature and nutrient regimes, due to a re-organisation of the surface circulation patterns and a southward migration of the frontal systems. Furthermore, the immense carbonate production of the coccolithophores may have contributed to increased atmospheric CO2 contents, causing a drawdown of the carbonate saturation and an increase in dissolution at the seafloor. However the atmospheric CO2 did not reach higher values probably due to the effective ballasting of organic matter by coccoliths. (C) 2016 Elsevier Ltd. All rights reserved.</t>
  </si>
  <si>
    <t>[Saavedra-Pellitero, Mariem; Baumann, Karl-Heinz] Univ Bremen, Dept Geosci, POB 330440, D-28334 Bremen, Germany; [Ullermann, Johannes; Lamy, Frank] Alfred Wegener Inst Polar &amp; Marine Res, Alten Hafen 26, D-27568 Bremerhaven, Germany</t>
  </si>
  <si>
    <t>University of Bremen; Helmholtz Association; Alfred Wegener Institute, Helmholtz Centre for Polar &amp; Marine Research</t>
  </si>
  <si>
    <t>Saavedra-Pellitero, M (corresponding author), Univ Bremen, Dept Geosci, POB 330440, D-28334 Bremen, Germany.</t>
  </si>
  <si>
    <t>msaavedr@uni-bremen.de</t>
  </si>
  <si>
    <t>Saavedra-Pellitero, Mariem/I-7468-2019; Lamy, Frank/H-3611-2014</t>
  </si>
  <si>
    <t>Saavedra-Pellitero, Mariem/0000-0003-0621-7932; Lamy, Frank/0000-0001-5952-1765</t>
  </si>
  <si>
    <t>DFG Fellowship [SA 2593/1-1]; Alfred Wegener Institute, Helmholtz Centre for Polar and Marine Research [PS75]</t>
  </si>
  <si>
    <t>DFG Fellowship(German Research Foundation (DFG)); Alfred Wegener Institute, Helmholtz Centre for Polar and Marine Research(Helmholtz Association)</t>
  </si>
  <si>
    <t>We thank Rainer Gersonde as well as the captain and crew of R/V Polarstern for their support during R/V Polarstern expedition PS75. The authors are indebted to Raill Tapia for valuable discussions. Technical support and laboratory assistance from Catarina Cavaleiro, Martin Koelling and Silvana Pape are greatly appreciated. Catarina Cavaleiro, Ivan Hernandez-Almeida and Yancheng Zhang are thanked for reading and commenting on a previous draft. We acknowledge William Brocas for proofreading the manuscript. Thoughtful comments from two anonymous reviewers and Henning Bauch greatly improved this manuscript during the review process. This work is funded by DFG Fellowship SA 2593/1-1 awarded to Mariem Saavedra-Pellitero. We acknowledge funding of Polarstern expedition PS75 through the Alfred Wegener Institute, Helmholtz Centre for Polar and Marine Research.</t>
  </si>
  <si>
    <t>FEB 15</t>
  </si>
  <si>
    <t>10.1016/j.quascirev.2016.12.020</t>
  </si>
  <si>
    <t>EL2YB</t>
  </si>
  <si>
    <t>WOS:000394485500001</t>
  </si>
  <si>
    <t>Huber, J; Cook, AJ; Paul, F; Zemp, M</t>
  </si>
  <si>
    <t>Huber, Jacqueline; Cook, Alison J.; Paul, Frank; Zemp, Michael</t>
  </si>
  <si>
    <t>A complete glacier inventory of the Antarctic Peninsula based on Landsat 7 images from 2000 to 2002 and other preexisting data sets</t>
  </si>
  <si>
    <t>LARSEN ICE SHELF; AREA; DISINTEGRATION; ALTITUDE</t>
  </si>
  <si>
    <t>The glaciers on the Antarctic Peninsula (AP) potentially make a large contribution to sea level rise. However, this contribution has been difficult to estimate since no complete glacier inventory (outlines, attributes, separation from the ice sheet) is available. This work fills the gap and presents a new glacier inventory of the AP north of 70 degrees S, based on digitally combining preexisting data sets with geographic information system (GIS) techniques. Rock outcrops have been removed from the glacier basin outlines of Cook et al. (2014) by intersection with the latest layer of the Antarctic Digital Database (Burton-Johnson et al., 2016). Glacier-specific topographic parameters (e.g., mean elevation, slope and aspect) as well as hypsometry have been calculated from the DEM of Cook et al. (2012). We also assigned connectivity levels to all glaciers following the concept by Rastner et al. (2012). Moreover, the bedrock data set of Huss and Farinotti (2014) enabled us to add ice thickness and volume for each glacier. The new inventory is available from the Global Land Ice Measurements from Space (GLIMS) database (doi: 10.7265/N5V98602) and consists of 1589 glaciers covering an area of 95 273 km(2), slightly more than the 89 720 km(2) covered by glaciers surrounding the Greenland Ice Sheet. Hence, compared to the preexisting data set of Cook et al. (2014), this data set covers a smaller area and one glacier less due to the intersection with the rock outcrop data set. The total estimated ice volume is 34 590 km3, of which one-third is below sea level. The hypsometric curve has a bimodal shape due to the unique topography of the AP, which consists mainly of ice caps with outlet glaciers. Most of the glacierized area is located at 200-500ma. s.l., with a secondary maximum at 1500-1900 m. Approximately 63% of the area is drained by marine-terminating glaciers, and ice-shelf tributary glaciers cover 35% of the area. This combination indicates a high sensitivity of the glaciers to climate change for several reasons: (1) only slightly rising equilibrium-line altitudes would expose huge additional areas to ablation, (2) rising ocean temperatures increase melting of marine terminating glaciers, and (3) ice shelves have a buttressing effect on their feeding glaciers and their collapse would alter glacier dynamics and strongly enhance ice loss (Rott et al., 2011). The new inventory should facilitate modeling of the related effects using approaches tailored to glaciers for a more accurate determination of their future evolution and contribution to sea level rise.</t>
  </si>
  <si>
    <t>[Huber, Jacqueline; Paul, Frank; Zemp, Michael] Univ Zurich Irchel, Dept Geog, CH-8057 Zurich, Switzerland; [Cook, Alison J.] Swansea Univ, Dept Geog, Swansea SA2 SPP, W Glam, Wales; [Cook, Alison J.] Univ Durham, Dept Geog, Durham DH1 3LE, England</t>
  </si>
  <si>
    <t>University of Zurich; Swansea University; Durham University</t>
  </si>
  <si>
    <t>Huber, J (corresponding author), Univ Zurich Irchel, Dept Geog, CH-8057 Zurich, Switzerland.</t>
  </si>
  <si>
    <t>jhuber@access.uzh.ch</t>
  </si>
  <si>
    <t>Zemp, Michael/0000-0003-2391-7877</t>
  </si>
  <si>
    <t>Swiss GCOS at the Federal Office of Meteorology and Climatology MeteoSwiss; ESA project Glaciers_cci [4000109873/14/I-NB]</t>
  </si>
  <si>
    <t>Swiss GCOS at the Federal Office of Meteorology and Climatology MeteoSwiss; ESA project Glaciers_cci</t>
  </si>
  <si>
    <t>Jacqueline Huber and Michael Zemp acknowledge financial support by the Swiss GCOS at the Federal Office of Meteorology and Climatology MeteoSwiss. The work of Frank Paul is funded by the ESA project Glaciers_cci (4000109873/14/I-NB). We are grateful to the LIMA Project, the Antarctic Digital Database and the National Snow and Ice Data Center and The Cryosphere Science Laboratory of NASA's Earth Sciences Divisions for free download of their data, allowing us to realize this study. We would also like to thank Matthias Huss and Daniel Farinotti for making their ice thickness data available as well as for their practical input. The inventory and the study benefited greatly from their bedrock data set. Finally, we would like to thank R. Drews, B. Marzeion and the anonymous referee for the constructive suggestions for improving the quality of this paper.</t>
  </si>
  <si>
    <t>10.5194/essd-9-115-2017</t>
  </si>
  <si>
    <t>EM2QD</t>
  </si>
  <si>
    <t>WOS:000395159800001</t>
  </si>
  <si>
    <t>Dodd, JP; Wiedenheft, W; Schwartz, JM</t>
  </si>
  <si>
    <t>Dodd, Justin P.; Wiedenheft, Wilson; Schwartz, Joshua M.</t>
  </si>
  <si>
    <t>Dehydroxylation and diagenetic variations in diatom oxygen isotope values</t>
  </si>
  <si>
    <t>Biogenic silica; Diatom; Oxygen; Isotope; Diagenesis; Experimental; Proxy; Paleoclimatology; Paleoceanography</t>
  </si>
  <si>
    <t>BIOGENIC SILICA DISSOLUTION; SOUTHERN-OCEAN; OPAL-A; PALEOENVIRONMENTAL RECONSTRUCTION; SURFACE-CHEMISTRY; AMORPHOUS SILICA; MARINE DIATOMS; WATER COLUMN; SEDIMENTS; SOLUBILITY</t>
  </si>
  <si>
    <t>Numerous studies have documented changes in the dissolution and reactivity of biogenic silica as it is transferred from the water column to sediment archives; here we present the first experimental data that demonstrate a physical mechanism by which the oxygen isotope (delta O-18(sil)) values of biogenic silica (diatoms) are altered during early diagenesis. The delta O-18(sil) value of diatom silica cultured at 19.3 degrees C was +31.9% +/- 0.2% (n = 6); the same silica experimentally aged in an artificial seawater media at near silica saturation at 85 degrees C had an average delta O-18(sil) value of + 27.1% +/- 0.6% (n = 20). The most significant change in the delta O-18(sil) value was coincident with an initial reduction in the total silanol abundance, indicating that the timing of dehydroxylation reactions in natural sedimentary environments is associated with diagenetic changes in the recorded delta O-18(sil) values. The rate of change in the experimental aging environment at 85 degrees C was rapid, with significant changes in both silanol abundance and delta O-18(sil) values. Additionally, the silica-water fractionation relationship recorded by the experimentally-aged samples approaches the equilibrium quartz-water fractionation factor. The linear rate law was used to estimate the timing of these changes in low temperature environments; the initial and most significant change in silica reactivity and delta O-18(sil) values is likely to occur on the order of 10's of years at 4 degrees C. Published silica-water fractionation factors for sedimentary diatoms most likely represent a combination of growth and diagenetic environments, and the delta O-18 value of diagenetic water needs to be addressed when using delta O-18(sil) values to reconstruct paleoceanographic and paleoenvironmental conditions. (C) 2016 Elsevier Ltd. All rights reserved.</t>
  </si>
  <si>
    <t>[Dodd, Justin P.; Wiedenheft, Wilson; Schwartz, Joshua M.] Northern Illinois Univ, Dept Geol &amp; Environm Geosci, De Kalb, IL 60115 USA</t>
  </si>
  <si>
    <t>Northern Illinois University</t>
  </si>
  <si>
    <t>Dodd, JP (corresponding author), Northern Illinois Univ, Dept Geol &amp; Environm Geosci, De Kalb, IL 60115 USA.</t>
  </si>
  <si>
    <t>jdodd@niu.edu</t>
  </si>
  <si>
    <t>Dodd, Justin/0000-0002-2964-3566</t>
  </si>
  <si>
    <t>American Chemical Society Petroleum Research Fund [53798-DNI2]; National Science Foundation-Antarctic Earth Sciences Grant [1443420]; Geological Society of America Graduate Student Research Grant; Northern Illinois University; Directorate For Geosciences; Office of Polar Programs (OPP) [1443420] Funding Source: National Science Foundation</t>
  </si>
  <si>
    <t>American Chemical Society Petroleum Research Fund(American Chemical Society); National Science Foundation-Antarctic Earth Sciences Grant; Geological Society of America Graduate Student Research Grant; Northern Illinois University; Directorate For Geosciences; Office of Polar Programs (OPP)(National Science Foundation (NSF)NSF - Directorate for Geosciences (GEO))</t>
  </si>
  <si>
    <t>The current manuscript benefitted from the thoughtful feedback of Dr. Elizabeth Webb, Dr. Mark Brandriss, associate editor Dr. Ruth Blake, and one anonymous reviewer. Funding for this research was provided by Northern Illinois University, American Chemical Society Petroleum Research Fund Grant# 53798-DNI2 (Dodd), National Science Foundation-Antarctic Earth Sciences Grant# 1443420 (Dodd), and a Geological Society of America Graduate Student Research Grant (Wiedenheft).</t>
  </si>
  <si>
    <t>10.1016/j.gca.2016.11.034</t>
  </si>
  <si>
    <t>EJ3QA</t>
  </si>
  <si>
    <t>WOS:000393125500012</t>
  </si>
  <si>
    <t>Hodson, A; Nowak, A; Sabacka, M; Jungblut, A; Navarro, F; Pearce, D; Avila-Jiménez, ML; Convey, P; Vieira, G</t>
  </si>
  <si>
    <t>Hodson, Andy; Nowak, Aga; Sabacka, Marie; Jungblut, Anne; Navarro, Francisco; Pearce, David; Avila-Jimenez, Maria Luisa; Convey, Peter; Vieira, Goncalo</t>
  </si>
  <si>
    <t>Climatically sensitive transfer of iron to maritime Antarctic ecosystems by surface runoff</t>
  </si>
  <si>
    <t>SOUTHERN-OCEAN; LIVINGSTON ISLAND; ICE-SHEET; PHYTOPLANKTON BLOOMS; MELTING CONDITIONS; COASTAL WATERS; GLACIAL IRON; MASS-BALANCE; PENINSULA; FLUXES</t>
  </si>
  <si>
    <t>Iron supplied by glacial weathering results in pronounced hotspots of biological production in an otherwise iron-limited Southern Ocean Ecosystem. However, glacial iron inputs are thought to be dominated by icebergs. Here we show that surface runoff from three island groups of the maritime Antarctic exports more filterable (&lt;0.45 mm) iron (6-81 kg km(-2) a(-1)) than icebergs (0.0-1.2 kg km(-2) a(-1)). Glacier-fed streams also export more acid-soluble iron (27.0-18,500 kg km (-2) a(-1)) associated with suspended sediment than icebergs (0-241 kg km (-2) a(-1)). Significant fluxes of filterable and sediment-derived iron (1-10 Gg a(-1) and 100-1,000 Gg a(-1), respectively) are therefore likely to be delivered by runoff from the Antarctic continent. Although estuarine removal processes will greatly reduce their availability to coastal ecosystems, our results clearly indicate that riverine iron fluxes need to be accounted for as the volume of Antarctic melt increases in response to 21st century climate change.</t>
  </si>
  <si>
    <t>[Hodson, Andy; Nowak, Aga] Univ Sheffield, Dept Geog, Sheffield S10 2TN, S Yorkshire, England; [Hodson, Andy] Univ Ctr Svalbard UNIS, Arct Geol, N-9171 Longyearbyen, Norway; [Sabacka, Marie] Univ Bristol, Sch Geog Sci, Bristol BS8 1SS, Avon, England; [Jungblut, Anne] Nat Hist Museum, Dept Life Sci, London SW7 5BD, England; [Navarro, Francisco] Univ Politecn Madrid, ETSI Telecomunicac, Dept Matemat Aplicada, ES-28040 Madrid, Spain; [Pearce, David] Northumbria Univ, Fac Hlth &amp; Life Sci, Newcastle Upon Tyne NE1 8ST, Tyne &amp; Wear, England; [Avila-Jimenez, Maria Luisa] Univ Ctr Svalbard UNIS, Arctic Biol, N-9171 Longyearbyen, Norway; [Convey, Peter] British Antarctic Survey, High Cross,Madingley Rd, Cambridge CB3 0ET, England; [Vieira, Goncalo] Univ Lisbon, Ctr Geog Studies IGOT, P-1649003 Lisbon, Portugal</t>
  </si>
  <si>
    <t>University of Sheffield; University Centre Svalbard (UNIS); University of Bristol; Natural History Museum London; Universidad Politecnica de Madrid; Northumbria University; University Centre Svalbard (UNIS); UK Research &amp; Innovation (UKRI); Natural Environment Research Council (NERC); NERC British Antarctic Survey; Universidade de Lisboa</t>
  </si>
  <si>
    <t>Hodson, A (corresponding author), Univ Sheffield, Dept Geog, Sheffield S10 2TN, S Yorkshire, England.;Hodson, A (corresponding author), Univ Ctr Svalbard UNIS, Arct Geol, N-9171 Longyearbyen, Norway.</t>
  </si>
  <si>
    <t>Convey, Peter/AAV-5728-2020; Vieira, Goncalo/G-5958-2010; Navarro, Francisco/L-2941-2014; Sabacka, Marie/I-6378-2012</t>
  </si>
  <si>
    <t>Convey, Peter/0000-0001-8497-9903; Vieira, Goncalo/0000-0001-7611-3464; Navarro, Francisco/0000-0002-5147-0067; Hodson, Andrew/0000-0002-1255-7987; Sabacka, Marie/0000-0002-0876-2718; Pearce, David/0000-0001-5292-4596; Avila, Maria/0000-0003-2123-2698</t>
  </si>
  <si>
    <t>Natural Environment Research Council [NE/H014446/1]; Plan Nacional de I+D+I grant [CTM2014-56473-R]; Fundacao para a Ciencia e a Tecnologia [PTDC/AAG-GLO/3908/2012]; Government of South Georgia; South Sandwich Islands Research Grant; Natural Environment Research Council [NE/H014802/2, bas0100036, NE/H014446/1, NE/H014802/1] Funding Source: researchfish; NERC [NE/H014446/1, bas0100036, NE/H014802/1, NE/H014802/2] Funding Source: UKRI; Fundação para a Ciência e a Tecnologia [PTDC/AAG-GLO/3908/2012] Funding Source: FCT</t>
  </si>
  <si>
    <t>Natural Environment Research Council(UK Research &amp; Innovation (UKRI)Natural Environment Research Council (NERC)); Plan Nacional de I+D+I grant; Fundacao para a Ciencia e a Tecnologia(Fundacao para a Ciencia e a Tecnologia (FCT)); Government of South Georgia; South Sandwich Islands Research Grant; Natural Environment Research Council(UK Research &amp; Innovation (UKRI)Natural Environment Research Council (NERC)); NERC(UK Research &amp; Innovation (UKRI)Natural Environment Research Council (NERC)); Fundação para a Ciência e a Tecnologia(Fundacao para a Ciencia e a Tecnologia (FCT))</t>
  </si>
  <si>
    <t>We acknowledge Natural Environment Research Council grant NE/H014446/1 (A.H., M.S., D.P. and P.C.), Plan Nacional de I+D+I grant CTM2014-56473-R (F.N.) and Fundacao para a Ciencia e a Tecnologia grant PTDC/AAG-GLO/3908/2012 (G.V.). The Portuguese Polar Program, Bulgarian Antarctic Institute and British Antarctic Survey provided logistical support for the fieldwork. In addition, work at South Georgia was supported by staff at King Edward Point and a Government of South Georgia and South Sandwich Islands Research Grant (A.J., A.H. and A.N.). We thank Steve Colwell and Roger Worland (British Antarctic Survey) for meteorological data from South Georgia and Signy Island.</t>
  </si>
  <si>
    <t>10.1038/ncomms14499</t>
  </si>
  <si>
    <t>EK9DN</t>
  </si>
  <si>
    <t>WOS:000394224300001</t>
  </si>
  <si>
    <t>Bentley, MJ; Hein, AS; Sugden, DE; Whitehouse, PL; Shanks, R; Xu, S; Freeman, SPHT</t>
  </si>
  <si>
    <t>Bentley, M. J.; Hein, A. S.; Sugden, D. E.; Whitehouse, P. L.; Shanks, R.; Xu, S.; Freeman, S. P. H. T.</t>
  </si>
  <si>
    <t>Deglacial history of the Pensacola Mountains, Antarctica from glacial geomorphology and cosmogenic nuclide surface exposure dating</t>
  </si>
  <si>
    <t>Antarctica; Cosmogenic isotopes; Glacial geomorphology; Ice sheet history</t>
  </si>
  <si>
    <t>WEDDELL SEA SECTOR; ICE MASS-LOSS; SHACKLETON RANGE; PRODUCTION-RATES; WEST ANTARCTICA; GROUNDING-LINE; AMS STANDARDS; SHEET; MAXIMUM; CONSTRAINTS</t>
  </si>
  <si>
    <t>The retreat history of the Antarctic Ice Sheet is important for understanding rapid deglaciation, as well as to constrain numerical ice sheet models and ice loading models required for glacial isostatic adjustment modelling. There is particular debate about the extent of grounded ice in the Weddell Sea embayment at the Last Glacial Maximum, and its subsequent deglacial history. Here we provide a new dataset of geomorphological observations and cosmogenic nuclide surface exposure ages of erratic samples that constrain the deglacial history of the Pensacola Mountains, adjacent to the present day Foundation Ice Stream and Academy Glacier in the southern Weddell Sea embayment. We show there is evidence of at least two glaciations, the first of which was relatively old and warm-based, and a more recent cold-based glaciation. During the most recent glaciation ice thickened by at least 450 m in the Williams Hills and at least 380 m on Mt Bragg. Progressive thinning from these sites was well underway by 10 ka BP and ice reached present levels by 2.5 ka BP, and is broadly similar to the relatively modest thinning histories in the southern Ellsworth Mountains. The thinning history is consistent with, but does not mandate, a Late Holocene retreat of the grounding line to a smaller-than-present configuration, as has been recently hypothesized based on ice sheet and glacial isostatic modelling. The data also show that clasts with complex exposure histories are pervasive and that clast recycling is highly site-dependent. These new data provide constraints on a reconstruction of the retreat history of the formerly-expanded Foundation Ice Stream, derived using a numerical flowband model. (C) 2016 The Author(s). Published by Elsevier Ltd.</t>
  </si>
  <si>
    <t>[Bentley, M. J.; Whitehouse, P. L.] Univ Durham, Dept Geog, South Rd, Durham DH1 3LE, England; [Hein, A. S.; Sugden, D. E.] Univ Edinburgh, Sch Geosci, Drummond St, Edinburgh EH8 9XP, Midlothian, Scotland; [Shanks, R.; Xu, S.; Freeman, S. P. H. T.] Scottish Univ Environm Res Ctr, AMS Lab, Scottish Enterprise Technol Pk, E Kilbride G75 OQF, Lanark, Scotland</t>
  </si>
  <si>
    <t>Durham University; University of Edinburgh</t>
  </si>
  <si>
    <t>Bentley, MJ (corresponding author), Univ Durham, Dept Geog, South Rd, Durham DH1 3LE, England.</t>
  </si>
  <si>
    <t>m.j.bentley@durham.ac.uk</t>
  </si>
  <si>
    <t>Freeman, Stewart/AAA-6544-2020; Bentley, Michael J/F-7386-2011; Hein, Andrew/JWO-3756-2024</t>
  </si>
  <si>
    <t>Freeman, Stewart/0000-0001-6148-3171; Bentley, Michael J/0000-0002-2048-0019; Whitehouse, Pippa/0000-0002-9092-3444</t>
  </si>
  <si>
    <t>NERC [NE/F014260/1, NE/F014252/1, NE/F014228/1]; Natural Environment Research Council [NER/G/S/2003/00141, NE/F014260/1, NE/J008176/1, NE/J005673/1, NE/F014252/1] Funding Source: researchfish; NERC [NE/F014252/1, NE/J008176/1, NE/J005673/1, NE/F014260/1, NE/F014228/1] Funding Source: UKRI</t>
  </si>
  <si>
    <t>NERC(UK Research &amp; Innovation (UKRI)Natural Environment Research Council (NERC)); Natural Environment Research Council(UK Research &amp; Innovation (UKRI)Natural Environment Research Council (NERC)); NERC(UK Research &amp; Innovation (UKRI)Natural Environment Research Council (NERC))</t>
  </si>
  <si>
    <t>We thank the British Antarctic Survey pilots and operations staff who facilitated the work in the Pensacola Mountains. Particular thanks to James Wake for his assistance in the field. The work reported here forms part of NERC grants NE/F014260/1, NE/F014252/1, and NE/F014228/1. We thank Greg Balco and a second, anonymous reviewer for their comments, which improved the paper.</t>
  </si>
  <si>
    <t>10.1016/j.quascirev.2016.09.028</t>
  </si>
  <si>
    <t>WOS:000394485500005</t>
  </si>
  <si>
    <t>Oliva, M; Navarro, F; Hrbácek, F; Hernández, A; Nyvlt, D; Pereira, P; Ruiz-Fernández, J; Trigo, R</t>
  </si>
  <si>
    <t>Oliva, M.; Navarro, F.; Hrbacek, F.; Hernandez, A.; Nyvlt, D.; Pereira, P.; Ruiz-Fernandez, J.; Trigo, R.</t>
  </si>
  <si>
    <t>Recent regional climate cooling on the Antarctic Peninsula and associated impacts on the cryosphere</t>
  </si>
  <si>
    <t>Antarctic Peninsula; Climate variability; Cooling; Cryosphere</t>
  </si>
  <si>
    <t>JAMES-ROSS-ISLAND; KING GEORGE ISLAND; ACTIVE-LAYER; SEA-ICE; LIVINGSTON ISLAND; RECONCILED ESTIMATE; SURFACE VELOCITY; BYERS PENINSULA; THERMAL REGIME; ULU PENINSULA</t>
  </si>
  <si>
    <t>The Antarctic Peninsula (AP) is often described as a region with one of the largest warming trends on Earth since the 1950s, based on the temperature trend of 0.54 degrees C/decade during 1951-2011 recorded at Faraday/Vernadslcy station. Accordingly, most works describing the evolution of the natural systems in the AP region cite this extreme trend as the underlying cause of their observed changes. However, a recent analysis (Turner et al., 2016) has shown that the regionally stacked temperature record for the last three decades has shifted from a warming trend of 032 degrees C/decade during 1979-1997 to a cooling trend of -0.47 degrees C/decade during 1999-2014. While that study focuses on the period 1979-2014, averaging the data over the entire AP region, we here update and reassess the spatially-distributed temperature trends and inter-decadal variability from 1950 to 2015, using data from ten stations distributed across the AP region. We show that Faraday/Vernadsky warming trend is an extreme case, circa twice those of the long-term records from other parts of the northern AP. Our results also indicate that the cooling initiated in 1998/1999 has been most significant in the N and NE of the AP and the South Shetland Islands (&gt;0.5 degrees C between the two last decadeS), modest in the Orkney Islands, and absent in the SW of the AP. This recent cooling has already impacted the cryosphere in the northern AP, including slow-down of glacier recession, a shift to surface mass gains of the peripheral glacier and a thinning of the active layer of permafrost in northern AP islands. (C) 2016 Elsevier B.V. All rights reserved.</t>
  </si>
  <si>
    <t>[Oliva, M.] Univ Lisbon, Ctr Geog Studies IGOT, Lisbon, Portugal; [Navarro, F.] Univ Politecn Madrid, Dept Matemat Aplicada, Madrid, Spain; [Hrbacek, F.; Nyvlt, D.] Masaryk Univ, Dept Geog, Brno, Czech Republic; [Hernandez, A.; Trigo, R.] Univ Lisbon, IDL, Fac Ciencias, Lisbon, Portugal; [Pereira, P.] Mykolas Romeris Univ, Ctr Environm Management, Vilnius, Lithuania; [Ruiz-Fernandez, J.] Univ Oviedo, Dept Geog, Oviedo, Spain</t>
  </si>
  <si>
    <t>Universidade de Lisboa; Universidad Politecnica de Madrid; Masaryk University Brno; Universidade de Lisboa; Mykolas Romeris University; University of Oviedo</t>
  </si>
  <si>
    <t>Oliva, M (corresponding author), Univ Lisbon, Ctr Geog Studies IGOT, Lisbon, Portugal.</t>
  </si>
  <si>
    <t>Nyvlt, Daniel/J-6504-2019; Navarro, Francisco/L-2941-2014; Pereira, Paulo/O-1845-2016; Hernandez, Armand/K-6606-2012; Pereira, Paulo/G-5363-2010; Hrbacek, Filip/ABG-4319-2020; Trigo, Ricardo/Q-8391-2019; Oliva, Marc/K-5423-2014</t>
  </si>
  <si>
    <t>Nyvlt, Daniel/0000-0002-6876-490X; Navarro, Francisco/0000-0002-5147-0067; Hernandez, Armand/0000-0001-7245-9863; Hrbacek, Filip/0000-0001-5032-9216; Trigo, Ricardo/0000-0002-4183-9852; Oliva, Marc/0000-0001-6521-6388</t>
  </si>
  <si>
    <t>Portuguese Polar Program (PROPOLAR) - Portuguese Science Foundation; AXA Research Fund; Spanish National Plan of RD [CTM2014-56473-R]; Czech Science Foundation project [GC16-14122J]; Masaryk University project [MUNI/A/1315/2015]; Portuguese Science Foundation (FCT) [SFRH/BPD/79923/2011]; Fundação para a Ciência e a Tecnologia [SFRH/BPD/79923/2011] Funding Source: FCT</t>
  </si>
  <si>
    <t>Portuguese Polar Program (PROPOLAR) - Portuguese Science Foundation; AXA Research Fund(AXA Research Fund); Spanish National Plan of RD(Spanish Government); Czech Science Foundation project(Grant Agency of the Czech Republic); Masaryk University project; Portuguese Science Foundation (FCT)(Fundacao para a Ciencia e a Tecnologia (FCT)); Fundação para a Ciência e a Tecnologia(Fundacao para a Ciencia e a Tecnologia (FCT))</t>
  </si>
  <si>
    <t>This research was financially supported by the Portuguese Polar Program (PROPOLAR), which is funded by the Portuguese Science Foundation. Marc Oliva acknowledges the AXA Research Fund for funding his research activities in Antarctica. Francisco Navarro work was supported by grant CTM2014-56473-R from the Spanish National Plan of R&amp;D. Filip Hrbacek's and Daniel Nyvlt's work was supported by the Czech Science Foundation project GC16-14122J; Masaryk University project MUNI/A/1315/2015 and it is a contribution to the CzechPolar2 project. Armand Hernandez was supported by the Portuguese Science Foundation (FCT) through a post-doctoral grant (SFRH/BPD/79923/2011).</t>
  </si>
  <si>
    <t>10.1016/j.scitotenv.2016.12.030</t>
  </si>
  <si>
    <t>EM5LS</t>
  </si>
  <si>
    <t>WOS:000395353600022</t>
  </si>
  <si>
    <t>Mackintosh, AN; Anderson, BM; Lorrey, AM; Renwick, JA; Frei, P; Dean, SM</t>
  </si>
  <si>
    <t>Mackintosh, Andrew N.; Anderson, Brian M.; Lorrey, Andrew M.; Renwick, James A.; Frei, Prisco; Dean, Sam M.</t>
  </si>
  <si>
    <t>Regional cooling caused recent New Zealand glacier advances in a period of global warming</t>
  </si>
  <si>
    <t>SOUTH AMERICAN MODES; FRANZ-JOSEF-GLACIER; TASMAN GLACIER; SURFACE-TEMPERATURE; MASS-BALANCE; CLIMATE SENSITIVITY; ENERGY-BALANCE; ABLATION ZONE; SEA-ICE; HEMISPHERE</t>
  </si>
  <si>
    <t>Glaciers experienced worldwide retreat during the twentieth and early twenty first centuries, and the negative trend in global glacier mass balance since the early 1990s is predominantly a response to anthropogenic climate warming. The exceptional terminus advance of some glaciers during recent global warming is thought to relate to locally specific climate conditions, such as increased precipitation. In New Zealand, at least 58 glaciers advanced between 1983 and 2008, and Franz Josef and Fox glaciers advanced nearly continuously during this time. Here we show that the glacier advance phase resulted predominantly from discrete periods of reduced air temperature, rather than increased precipitation. The lower temperatures were associated with anomalous southerly winds and low sea surface temperature in the Tasman Sea region. These conditions result from variability in the structure of the extratropical atmospheric circulation over the South Pacific. While this sequence of climate variability and its effect on New Zealand glaciers is unusual on a global scale, it remains consistent with a climate system that is being modified by humans.</t>
  </si>
  <si>
    <t>[Mackintosh, Andrew N.; Anderson, Brian M.; Frei, Prisco] Victoria Univ Wellington, Antarctic Res Ctr, Wellington 6140, New Zealand; [Mackintosh, Andrew N.; Renwick, James A.] Victoria Univ Wellington, Sch Geog Environm &amp; Earth Sci, Wellington 6140, New Zealand; [Lorrey, Andrew M.] Natl Inst Water &amp; Atmospher Res, Auckland 1010, New Zealand; [Dean, Sam M.] Natl Inst Water &amp; Atmospher Res, Wellington 6021, New Zealand</t>
  </si>
  <si>
    <t>Victoria University Wellington; Victoria University Wellington; National Institute of Water &amp; Atmospheric Research (NIWA) - New Zealand; National Institute of Water &amp; Atmospheric Research (NIWA) - New Zealand</t>
  </si>
  <si>
    <t>Mackintosh, AN (corresponding author), Victoria Univ Wellington, Antarctic Res Ctr, Wellington 6140, New Zealand.;Mackintosh, AN (corresponding author), Victoria Univ Wellington, Sch Geog Environm &amp; Earth Sci, Wellington 6140, New Zealand.</t>
  </si>
  <si>
    <t>Andrew.Mackintosh@vuw.ac.nz</t>
  </si>
  <si>
    <t>; Dean, Samuel/F-7711-2011</t>
  </si>
  <si>
    <t>Mackintosh, Andrew/0000-0002-6430-4711; Dean, Samuel/0000-0001-6338-4601</t>
  </si>
  <si>
    <t>NIWA via project 'Climate Present and Past'</t>
  </si>
  <si>
    <t>This work was supported by NIWA core funding via the project 'Climate Present and Past'. We thank Ben Marzeion for providing his glacier mass balance simulations for New Zealand.</t>
  </si>
  <si>
    <t>FEB 14</t>
  </si>
  <si>
    <t>10.1038/ncomms14202</t>
  </si>
  <si>
    <t>EK3VU</t>
  </si>
  <si>
    <t>WOS:000393857300001</t>
  </si>
  <si>
    <t>Morgenstern, O; Hegglin, MI; Rozanov, E; O'Connor, FM; Abraham, NL; Akiyoshi, H; Archibald, AT; Bekki, S; Butchart, N; Chipperfield, MP; Deushi, M; Dhomse, SS; Garcia, RR; Hardiman, SC; Horowitz, LW; Jöckel, P; Josse, B; Kinnison, D; Lin, MY; Mancini, E; Manyin, ME; Marchand, M; Marécal, V; Michou, M; Oman, LD; Pitari, G; Plummer, DA; Revell, LE; Saint-Martin, D; Schofield, R; Stenke, A; Stone, K; Sudo, K; Tanaka, TY; Tilmes, S; Yamashita, Y; Yoshida, K; Zeng, G</t>
  </si>
  <si>
    <t>Morgenstern, Olaf; Hegglin, Michaela I.; Rozanov, Eugene; O'Connor, Fiona M.; Abraham, N. Luke; Akiyoshi, Hideharu; Archibald, Alexander T.; Bekki, Slimane; Butchart, Neal; Chipperfield, Martyn P.; Deushi, Makoto; Dhomse, Sandip S.; Garcia, Rolando R.; Hardiman, Steven C.; Horowitz, Larry W.; Joeckel, Patrick; Josse, Beatrice; Kinnison, Douglas; Lin, Meiyun; Mancini, Eva; Manyin, Michael E.; Marchand, Marion; Marecal, Virginie; Michou, Martine; Oman, Luke D.; Pitari, Giovanni; Plummer, David A.; Revell, Laura E.; Saint-Martin, David; Schofield, Robyn; Stenke, Andrea; Stone, Kane; Sudo, Kengo; Tanaka, Taichu Y.; Tilmes, Simone; Yamashita, Yousuke; Yoshida, Kohei; Zeng, Guang</t>
  </si>
  <si>
    <t>Review of the global models used within phase 1 of the Chemistry-Climate Model Initiative (CCMI)</t>
  </si>
  <si>
    <t>GENERAL-CIRCULATION MODEL; CHEMICAL-TRANSPORT MODEL; GASEOUS DRY DEPOSITION; SUBMODEL SYSTEM MESSY; DOPPLER-SPREAD PARAMETERIZATION; POLAR STRATOSPHERIC CLOUDS; SEMI-LAGRANGIAN TRANSPORT; LAND-SURFACE PROCESSES; GRAVITY-WAVE DRAG; ATMOSPHERIC CHEMISTRY</t>
  </si>
  <si>
    <t>We present an overview of state-of-the-art chemistry-climate and chemistry transport models that are used within phase 1 of the Chemistry-Climate Model Initiative (CCMI-1). The CCMI aims to conduct a detailed evaluation of participating models using process-oriented diagnostics derived from observations in order to gain confidence in the models' projections of the stratospheric ozone layer, tropospheric composition, air quality, where applicable global climate change, and the interactions between them. Interpretation of these diagnostics requires detailed knowledge of the radiative, chemical, dynamical, and physical processes incorporated in the models. Also an understanding of the degree to which CCMI-1 recommendations for simulations have been followed is necessary to understand model responses to anthropogenic and natural forcing and also to explain intermodel differences. This becomes even more important given the ongoing development and the ever-growing complexity of these models. This paper also provides an overview of the available CCMI-1 simulations with the aim of informing CCMI data users.</t>
  </si>
  <si>
    <t>[Morgenstern, Olaf; Zeng, Guang] Natl Inst Water &amp; Atmospher Res NIWA, Wellington, New Zealand; [Hegglin, Michaela I.] Univ Reading, Dept Meteorol, Reading, Berks, England; [Mancini, Eva; Pitari, Giovanni] Univ Aquila, Dept Phys &amp; Chem Sci, Laquila, Italy; [Plummer, David A.] Environm &amp; Climate Change Canada, Montreal, PQ, Canada; [Rozanov, Eugene; Revell, Laura E.; Stenke, Andrea] ETHZ, Inst Atmospher &amp; Climate Sci, Zurich, Switzerland; [Revell, Laura E.] Bodeker Sci, Christchurch, New Zealand; [Garcia, Rolando R.; Kinnison, Douglas; Tilmes, Simone] NCAR, Boulder, CO USA; [Akiyoshi, Hideharu; Yamashita, Yousuke] NIES, Tsukuba, Ibaraki, Japan; [Josse, Beatrice; Marecal, Virginie; Michou, Martine; Saint-Martin, David; Sudo, Kengo] Meteo France CNRS, CNRM, UMR 3589, Toulouse, France; [Joeckel, Patrick] Deutsch Zentrum Luft &amp; Raumfahrt DLR, Inst Phys Atmosphare, Oberpfaffenhofen, Germany; [Schofield, Robyn; Stone, Kane] Univ Melbourne, Sch Earth Sci, Melbourne, Vic, Australia; [Manyin, Michael E.; Oman, Luke D.] NASA, GSFC, Greenbelt, MD USA; [Horowitz, Larry W.; Lin, Meiyun] NOAA, GFDL, Princeton, NJ USA; [O'Connor, Fiona M.; Butchart, Neal; Hardiman, Steven C.] MOHC, Exeter, Devon, England; [Deushi, Makoto; Tanaka, Taichu Y.; Yoshida, Kohei] Mission Res Inc, Tsukuba, Ibaraki, Japan; [Chipperfield, Martyn P.; Dhomse, Sandip S.] Univ Leeds, Sch Earth &amp; Environm, Leeds, W Yorkshire, England; [Abraham, N. Luke; Archibald, Alexander T.] Univ Cambridge, Dept Chem, Cambridge, England; [Rozanov, Eugene] WRC, PMOD, Davos, Switzerland; [Sudo, Kengo] Nagoya Univ, Grad Sch Environm Studies, Nagoya, Aichi, Japan; [Abraham, N. Luke; Archibald, Alexander T.] NCAS, Oxford, England; [Bekki, Slimane; Marchand, Marion] IPSL, LATMOS, Paris, France; [Manyin, Michael E.] Sci Syst &amp; Applicat Inc, Lanham, MD USA; [Lin, Meiyun] Princeton Univ, Program Atmospher &amp; Ocean Sci, Princeton, NJ 08544 USA; [Stone, Kane] MIT, Boston, MA USA; [Yamashita, Yousuke] Japan Agcy Marine Earth Sci &amp; Technol JAMSTEC, Yokohama, Kanagawa, Japan</t>
  </si>
  <si>
    <t>National Institute of Water &amp; Atmospheric Research (NIWA) - New Zealand; University of Reading; University of L'Aquila; Environment &amp; Climate Change Canada; Swiss Federal Institutes of Technology Domain; ETH Zurich; National Center Atmospheric Research (NCAR) - USA; National Institute for Environmental Studies - Japan; Centre National de la Recherche Scientifique (CNRS); CNRS - National Institute for Earth Sciences &amp; Astronomy (INSU); Meteo France; Helmholtz Association; German Aerospace Centre (DLR); University of Melbourne; Melbourne Bioinformatics; National Aeronautics &amp; Space Administration (NASA); NASA Goddard Space Flight Center; National Oceanic Atmospheric Admin (NOAA) - USA; Met Office - UK; Hadley Centre; University of Leeds; University of Cambridge; Nagoya University; Sorbonne Universite; Universite Paris Saclay; Universite Paris Cite; Science Systems and Applications Inc; National Oceanic Atmospheric Admin (NOAA) - USA; Princeton University; Massachusetts Institute of Technology (MIT); Japan Agency for Marine-Earth Science &amp; Technology (JAMSTEC)</t>
  </si>
  <si>
    <t>Morgenstern, O (corresponding author), Natl Inst Water &amp; Atmospher Res NIWA, Wellington, New Zealand.</t>
  </si>
  <si>
    <t>olaf.morgenstern@niwa.co.nz</t>
  </si>
  <si>
    <t>Tilmes, Simone/JUV-6618-2023; Hardiman, Steven/HDO-0165-2022; Horowitz, Larry W/D-8048-2014; Pitari, Giovanni/O-7458-2016; Sudo, Kengo/I-6394-2014; Stenke, Andrea/GYJ-6299-2022; Hegglin, Michaela/ABC-2799-2021; Garcia-Herrera, Ricardo/ABE-4731-2020; Dhomse, Sandip/C-8198-2011; Rozanov, Eugene/V-1881-2018; Akiyoshi, Hideharu/H-8170-2018; Yamashita, Yousuke/AAB-4754-2019; Saint-Martin, David/P-7006-2018; Schofield, Robyn/A-4062-2010; bekki, slimane/J-7221-2015; Jöckel, Patrick/C-3687-2009; Archibald, Alexander/GRR-5452-2022; Lin, Meiyun/AAL-3672-2020; Chipperfield, Martyn/H-6359-2013; Revell, Laura/ABG-7040-2020; Oman, Luke/C-2778-2009</t>
  </si>
  <si>
    <t>Tilmes, Simone/0000-0002-6557-3569; Horowitz, Larry W/0000-0002-5886-3314; Sudo, Kengo/0000-0002-5013-4168; Hegglin, Michaela/0000-0003-2820-9044; Dhomse, Sandip/0000-0003-3854-5383; Rozanov, Eugene/0000-0003-0479-4488; Yamashita, Yousuke/0000-0002-6813-4668; Schofield, Robyn/0000-0002-4230-717X; bekki, slimane/0000-0002-5538-0800; Jöckel, Patrick/0000-0002-8964-1394; Lin, Meiyun/0000-0003-3852-3491; Chipperfield, Martyn/0000-0002-6803-4149; Revell, Laura/0000-0002-8974-7703; Akiyoshi, Hideharu/0000-0001-6463-9004; Tanaka, Taichu Yasumichi/0000-0003-0600-2122; Oman, Luke/0000-0002-5487-2598; Deushi, Makoto/0000-0002-0373-3918; Zeng, Guang/0000-0002-9356-5021; O'Connor, Fiona/0000-0003-2893-4828; Stenke, Andrea/0000-0002-5916-4013; Marecal, Virginie/0000-0003-1077-909X; Yoshida, Kohei/0000-0002-2422-5584; Morgenstern, Olaf/0000-0002-9967-9740; Archibald, Alexander/0000-0001-9302-4180; Abraham, Nathan Luke/0000-0003-3750-3544; Saint-Martin, David/0000-0002-8478-6914</t>
  </si>
  <si>
    <t>NIWA; Royal Society Marsden Fund [12-NIW-006]; Deep South National Science Challenge; NeSI; Ministry of Business, Innovation &amp; Employment's Research Infrastructure programme; Swiss National Science Foundation [CRSII2_147659 (FUPSOL II)]; Environment Research and Technology Development Fund of the Ministry of the Environment, Japan [2-1303]; UK DECC/Defra Met Office Hadley Centre Climate Programme [GA01101]; European Project [603557-STRATOCLIM, FP7-ENV.2013.6.1-2]; Horizon European Union's Framework Programme for Research and Innovation CRESCENDO project [641816]; Centre National d'Etudes Spatiales (CNES, France) within the SOLSPEC project; Australian Government's Australian Antarctic science grant program [FoRCES 4012]; Australian Research Council's Centre of Excellence for Climate System Science [CE110001028]; Commonwealth Department of the Environment [2011/16853]; National computational infrastructure INCMAS project [q90]; Meteo-France; CNRS; CERFACS; Natural Environment Research Council [NE/J008621/1, nceo020005] Funding Source: researchfish; Grants-in-Aid for Scientific Research [16H01183, 16K16186, 16H02937] Funding Source: KAKEN; NERC [nceo020005, NE/J008621/1] Funding Source: UKRI</t>
  </si>
  <si>
    <t>NIWA; Royal Society Marsden Fund(Royal Society of New ZealandMarsden Fund (NZ)); Deep South National Science Challenge; NeSI; Ministry of Business, Innovation &amp; Employment's Research Infrastructure programme(New Zealand Ministry of Business, Innovation and Employment (MBIE)); Swiss National Science Foundation(Swiss National Science Foundation (SNSF)); Environment Research and Technology Development Fund of the Ministry of the Environment, Japan(Ministry of the Environment, Japan); UK DECC/Defra Met Office Hadley Centre Climate Programme; European Project; Horizon European Union's Framework Programme for Research and Innovation CRESCENDO project(European Union (EU)); Centre National d'Etudes Spatiales (CNES, France) within the SOLSPEC project; Australian Government's Australian Antarctic science grant program(Australian Government); Australian Research Council's Centre of Excellence for Climate System Science(Australian Research Council); Commonwealth Department of the Environment; National computational infrastructure INCMAS project; Meteo-France; CNRS(Centre National de la Recherche Scientifique (CNRS)); CERFACS;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 NERC(UK Research &amp; Innovation (UKRI)Natural Environment Research Council (NERC))</t>
  </si>
  <si>
    <t>We thank the Centre for Environmental Data Analysis (CEDA) for hosting the CCMI data archive. This work has been supported by NIWA as part of its government-funded, core research. Olaf Morgenstern acknowledges support from the Royal Society Marsden Fund, grant 12-NIW-006, and under the Deep South National Science Challenge.. The authors wish to acknowledge the contribution of NeSI high-performance computing facilities to the results of this research. New Zealand's national facilities are provided by the New Zealand eScience Infrastructure (NeSI) and funded jointly by NeSI's collaborator institutions and through the Ministry of Business, Innovation &amp; Employment's Research Infrastructure programme (https://www.nesi.org.nz). The SOCOL team acknowledges support from the Swiss National Science Foundation under grant agreement CRSII2_147659 (FUPSOL II). CCSRNIES's research was supported by the Environment Research and Technology Development Fund (2-1303) of the Ministry of the Environment, Japan, and computations were performed on NEC-SX9/A(ECO) computers at the CGER, NIES. Wuhu Feng (NCAS) provided support for the TOMCAT simulations. Neal Butchart, Steven C. Hardiman, and Fiona M. O'Connor and the development of HadGEM3-ES were supported by the Joint UK DECC/Defra Met Office Hadley Centre Climate Programme (GA01101). Neal Butchart and Steven C. Hardiman also acknowledge additional support from the European Project 603557-STRATOCLIM under the FP7-ENV.2013.6.1-2 programme. Fiona M. O'Connor acknowledges additional support from the Horizon 2020 European Union's Framework Programme for Research and Innovation CRESCENDO project under grant agreement no. 641816. Slimane Bekki acknowledges support from the European Project 603557-STRATOCLIM under the FP7-ENV. 2013.6.1-2 programme and from the Centre National d'Etudes Spatiales (CNES, France) within the SOLSPEC project. Kane Stone and Robyn Schofield acknowledge funding from the Australian Government's Australian Antarctic science grant program (FoRCES 4012), the Australian Research Council's Centre of Excellence for Climate System Science (CE110001028), the Commonwealth Department of the Environment (grant 2011/16853), and computational support from National computational infrastructure INCMAS project q90. The CNRM-CM chemistry-climate people acknowledge the support from Meteo-France, CNRS, and CERFACS, and in particular the work of the entire team in charge of the CNRM/CERFACS climate model.</t>
  </si>
  <si>
    <t>FEB 13</t>
  </si>
  <si>
    <t>10.5194/gmd-10-639-2017</t>
  </si>
  <si>
    <t>EM1YN</t>
  </si>
  <si>
    <t>WOS:000395113300001</t>
  </si>
  <si>
    <t>Weikusat, I; Jansen, D; Binder, T; Eichler, J; Faria, SH; Wilhelms, F; Kipfstuhl, S; Sheldon, S; Miller, H; Dahl-Jensen, D; Kleiner, T</t>
  </si>
  <si>
    <t>Weikusat, Ilka; Jansen, Daniela; Binder, Tobias; Eichler, Jan; Faria, Sergio H.; Wilhelms, Frank; Kipfstuhl, Sepp; Sheldon, Simon; Miller, Heinrich; Dahl-Jensen, Dorthe; Kleiner, Thomas</t>
  </si>
  <si>
    <t>Physical analysis of an Antarctic ice core-towards an integration of micro- and macrodynamics of polar ice</t>
  </si>
  <si>
    <t>PHILOSOPHICAL TRANSACTIONS OF THE ROYAL SOCIETY A-MATHEMATICAL PHYSICAL AND ENGINEERING SCIENCES</t>
  </si>
  <si>
    <t>polar ice core; microstructure; borehole deformation; fabric; texture; ice flow modelling</t>
  </si>
  <si>
    <t>DRONNING MAUD-LAND; SEISMIC-WAVE PROPAGATION; MODEL PISM-PIK; SHEET MODEL; MICROSTRUCTURAL FEATURES; ANISOTROPIC ICE; GRAIN-GROWTH; IN-SITU; SURFACE; FLOW</t>
  </si>
  <si>
    <t>Microstructures from deep ice cores reflect the dynamic conditions of the drill location as well as the thermodynamic history of the drill site and catchment area in great detail. Ice core parameters (crystal lattice-preferred orientation (LPO), grain size, grain shape), mesostructures (visual stratigraphy) as well as borehole deformation were measured in a deep ice core drilled at Kohnen Station, Dronning Maud Land (DML), Antarctica. These observations are used to characterize the local dynamic setting and its rheological as well as microstructural effects at the EDML ice core drilling site (European Project for Ice Coring in Antarctica in DML). The results suggest a division of the core into five distinct sections, interpreted as the effects of changing deformation boundary conditions from triaxial deformation with horizontal extension to bedrock-parallel shear. Region 1 (uppermost approx. 450m depth) with still small macroscopic strain is dominated by compression of bubbles and strong strain and recrystallization localization. Region 2 (approx. 450-1700m depth) shows a girdle-type LPO with the girdle plane being perpendicular to grain elongations, which indicates triaxial deformation with dominating horizontal extension. In this region (approx. 1000m depth), the first subtle traces of shear deformation are observed in the shape-preferred orientation (SPO) by inclination of the grain elongation. Region 3 (approx. 1700-2030m depth) represents a transitional regime between triaxial deformation and dominance of shear, which becomes apparent in the progression of the girdle to a single maximum LPO and increasing obliqueness of grain elongations. The fully developed single maximum LPO in region 4 (approx. 2030-2385m depth) is an indicator of shear dominance. Region 5 (below approx. 2385m depth) is marked by signs of strong shear, such as strong SPO values of grain elongation and strong kink folding of visual layers. The details of structural observations are compared with results from a numerical ice sheet model (PISM, isotropic) for comparison of strain rate trends predicted from the large-scale geometry of the ice sheet and borehole logging data. This comparison confirms the segmentation into these depth regions and in turn provides a wider view of the ice sheet. This article is part of the themed issue 'Microdynamics of ice'.</t>
  </si>
  <si>
    <t>[Weikusat, Ilka; Jansen, Daniela; Binder, Tobias; Eichler, Jan; Wilhelms, Frank; Kipfstuhl, Sepp; Miller, Heinrich; Kleiner, Thomas] Helmholtz Ctr Polar &amp; Marine Res, Alfred Wegener Inst, AWI Glaciol, Bremerhaven, Germany; [Weikusat, Ilka] Eberhard Karls Univ Tubingen, Dept Geosci, Tubingen, Germany; [Faria, Sergio H.] Ikerbasque, Basque Ctr Climate Change BC3, Bilbao, Spain; [Faria, Sergio H.] NUT Nagaoka Univ Technol Nagaoka, Niigata, Japan; [Wilhelms, Frank] Georg August Univ Gottingen, Gottingen, Germany; [Sheldon, Simon; Dahl-Jensen, Dorthe] Univ Copenhagen, Niels Bohr Inst, CIC, Copenhagen, Denmark</t>
  </si>
  <si>
    <t>Helmholtz Association; Alfred Wegener Institute, Helmholtz Centre for Polar &amp; Marine Research; Eberhard Karls University of Tubingen; Basque Centre for Climate Change (BC3); Basque Foundation for Science; University of Gottingen; University of Copenhagen; Niels Bohr Institute</t>
  </si>
  <si>
    <t>Weikusat, I (corresponding author), Helmholtz Ctr Polar &amp; Marine Res, Alfred Wegener Inst, AWI Glaciol, Bremerhaven, Germany.;Weikusat, I (corresponding author), Eberhard Karls Univ Tubingen, Dept Geosci, Tubingen, Germany.</t>
  </si>
  <si>
    <t>ilka.weikusat@awi.de</t>
  </si>
  <si>
    <t>Jansen, Daniela/AAG-2773-2019; Wilhelms, Frank/KEI-8426-2024; Kleiner, Thomas/F-6821-2015; Dahl-Jensen, Dorthe/AAO-6951-2020; Faria, Sergio Henrique/K-9454-2013; Weikusat, Ilka/E-8826-2015</t>
  </si>
  <si>
    <t>Wilhelms, Frank/0000-0001-7688-3135; Kleiner, Thomas/0000-0001-7825-5765; Dahl-Jensen, Dorthe/0000-0002-1474-1948; Miller, Heinrich/0000-0003-1015-2828; Faria, Sergio Henrique/0000-0002-8825-7518; Weikusat, Ilka/0000-0002-3023-6036; Jansen, Daniela/0000-0002-4412-5820</t>
  </si>
  <si>
    <t>HGF [VH-NG-802]; DFG [SPP 1158, BO 1776/12-1]; Ramon y Cajal Research Grant of the Ministry of Economy and Competitiveness of Spain [RYC-2012-12167]</t>
  </si>
  <si>
    <t>HGF; DFG(German Research Foundation (DFG)); Ramon y Cajal Research Grant of the Ministry of Economy and Competitiveness of Spain</t>
  </si>
  <si>
    <t>This research was funded by HGF grant no. VH-NG-802 to D.J. and I.W., as well as SPP 1158 DFG grant no. BO 1776/12-1 to I.W. S.H.F. acknowledges financial support from the Ramon y Cajal Research Grant RYC-2012-12167 of the Ministry of Economy and Competitiveness of Spain.</t>
  </si>
  <si>
    <t>1364-503X</t>
  </si>
  <si>
    <t>1471-2962</t>
  </si>
  <si>
    <t>PHILOS T R SOC A</t>
  </si>
  <si>
    <t>Philos. Trans. R. Soc. A-Math. Phys. Eng. Sci.</t>
  </si>
  <si>
    <t>10.1098/rsta.2015.0347</t>
  </si>
  <si>
    <t>EH5VC</t>
  </si>
  <si>
    <t>WOS:000391840100005</t>
  </si>
  <si>
    <t>McCarthy, C; Savage, H; Nettles, M</t>
  </si>
  <si>
    <t>McCarthy, C.; Savage, H.; Nettles, M.</t>
  </si>
  <si>
    <t>Temperature dependence of ice-on-rock friction at realistic glacier conditions</t>
  </si>
  <si>
    <t>frictional healing; glaciers; basal sliding; ice friction</t>
  </si>
  <si>
    <t>LOW SLIDING VELOCITIES; STICK-SLIP MOTION; REPEATING EARTHQUAKES; POLYCRYSTALLINE ICE; WEST ANTARCTICA; IMAGE-ANALYSIS; FAULT GOUGES; STREAM-C; TIME; INSTABILITY</t>
  </si>
  <si>
    <t>Using a new biaxial friction apparatus, we conducted experiments of ice-on-rock friction in order to better understand basal sliding of glaciers and ice streams. A series of velocity-stepping and slide-hold-slide tests were conducted to measure friction and healing at temperatures between -20 degrees C and melting. Experimental conditions in this study are comparable to subglacial temperatures, sliding rates and effective pressures of Antarctic ice streams and other glaciers, with load-point velocities ranging from 0.5 to 100 mu m s(-1) and normal stress sigma(n)=100 kPa. In this range of conditions, temperature dependences of both steady-state friction and frictional healing are considerable. The friction increases linearly with decreasing temperature (temperature weakening) from mu=0.52 at -20 degrees C to mu=0.02 at melting. Frictional healing increases and velocity dependence shifts from velocity-strengthening to velocity-weakening behaviour with decreasing temperature. Our results indicate that the strength and stability of glaciers and ice streams may change considerably over the range of temperatures typically found at the ice-bed interface. This article is part of the themed issue 'Microdynamics of ice'.</t>
  </si>
  <si>
    <t>[McCarthy, C.; Savage, H.; Nettles, M.] Columbia Univ, Lamont Doherty Earth Observ, New York, NY 10027 USA</t>
  </si>
  <si>
    <t>McCarthy, C (corresponding author), Columbia Univ, Lamont Doherty Earth Observ, New York, NY 10027 USA.</t>
  </si>
  <si>
    <t>mccarthy@ldeo.columbia.edu</t>
  </si>
  <si>
    <t>Nettles, Meredith/A-8638-2012</t>
  </si>
  <si>
    <t>McCarthy, Christine/0000-0002-5276-5246; Nettles, Meredith/0000-0003-4613-4162</t>
  </si>
  <si>
    <t>NSF [ANT 1245871]; Office of Polar Programs (OPP); Directorate For Geosciences [1245871] Funding Source: National Science Foundation</t>
  </si>
  <si>
    <t>This research was supported by NSF under award no. ANT 1245871. Lamont-Doherty contribution number 8075.</t>
  </si>
  <si>
    <t>10.1098/rsta.2015.0348</t>
  </si>
  <si>
    <t>WOS:000391840100008</t>
  </si>
  <si>
    <t>Sales, G; Deagle, BE; Calura, E; Martini, P; Biscontin, A; De Pittà, C; Kawaguchi, S; Romualdi, C; Meyer, B; Costa, R; Jarman, S</t>
  </si>
  <si>
    <t>Sales, Gabriele; Deagle, Bruce E.; Calura, Enrica; Martini, Paolo; Biscontin, Alberto; De Pitta, Cristiano; Kawaguchi, So; Romualdi, Chiara; Meyer, Bettina; Costa, Rodolfo; Jarman, Simon</t>
  </si>
  <si>
    <t>KriIIDB: A de novo transcriptome database for the Antarctic krill (Euphausia superba)</t>
  </si>
  <si>
    <t>RNA-SEQ DATA; EXPRESSION; DANA</t>
  </si>
  <si>
    <t>Antarctic krill (Euphausia superba) is a key species in the Southern Ocean with an estimated biomass between 100 and 500 million tonnes. Changes in krill population viability would have catastrophic effect on the Antarctic ecosystem. One looming threat due to elevated levels of anthropogenic atmospheric carbon dioxide (CO2) is ocean acidification (lowering of sea water pH by CO2 dissolving into the oceans). The genetics of Antarctic krill has long been of scientific interest for both for the analysis of population structure and analysis of functional genetics. However, the genetic resources available for the species are relatively modest. We have developed the most advanced genetic database on Euphausia superba, KriIIDB, which includes comprehensive data sets of former and present transcriptome projects. In particular, we have built a de novo transcriptome assembly using more than 360 million Illumina sequence reads generated from larval krill including individuals subjected to different CO2 levels. The database gives access to: 1) the full list of assembled genes and transcripts; 2) their level of similarity to transcripts and proteins from other species; 3) the predicted protein domains contained within each transcript; 4) their predicted GO terms; 5) the level of expression of each transcript in the different larval stages and CO2 treatments. All references to external entities (sequences, domains, GO terms) are equipped with a link to the appropriate source database. Moreover, the software implements a full-text search engine that makes it possible to submit free-form queries. KriIIDB represents the first largescale attempt at classifying and annotating the full krill transcriptome. For this reason, we believe it will constitute a cornerstone of future approaches devoted to physiological and molecular study of this key species in the Southern Ocean food web.</t>
  </si>
  <si>
    <t>[Sales, Gabriele; Calura, Enrica; Martini, Paolo; Biscontin, Alberto; De Pitta, Cristiano; Romualdi, Chiara; Costa, Rodolfo] Univ Padua, Dept Biol, Padua, Italy; [Deagle, Bruce E.; Kawaguchi, So; Jarman, Simon] Australian Antarctic Div, Kingston, Tas, Australia; [Meyer, Bettina] Helmholtz Ctr Polar &amp; Marine Res, Alfred Wegener Inst, Bremerhaven, Germany; [Meyer, Bettina] Carl von Ossietzky Univ Oldenburg, Inst Chem &amp; Biol Marine Environm, Oldenburg, Germany</t>
  </si>
  <si>
    <t>University of Padua; Australian Antarctic Division; Helmholtz Association; Alfred Wegener Institute, Helmholtz Centre for Polar &amp; Marine Research; Carl von Ossietzky Universitat Oldenburg</t>
  </si>
  <si>
    <t>Costa, R (corresponding author), Univ Padua, Dept Biol, Padua, Italy.;Jarman, S (corresponding author), Australian Antarctic Div, Kingston, Tas, Australia.;Meyer, B (corresponding author), Helmholtz Ctr Polar &amp; Marine Res, Alfred Wegener Inst, Bremerhaven, Germany.;Meyer, B (corresponding author), Carl von Ossietzky Univ Oldenburg, Inst Chem &amp; Biol Marine Environm, Oldenburg, Germany.</t>
  </si>
  <si>
    <t>bettina.meyer@awi.de; rodolfo.costa@unipd.it; simon.jarman@gmail.com</t>
  </si>
  <si>
    <t>Kawaguchi, So/N-1795-2017; Deagle, Bruce E/R-2999-2019; De Pitta, Cristiano/AAY-7302-2020; Meyer, Bettina/ABB-5311-2020; Martini, Paolo/AAG-7398-2020; Calura, Enrica/AAA-1847-2021; Sales, Gabriele/K-5065-2016; Romualdi, Chiara/K-1132-2016</t>
  </si>
  <si>
    <t>Deagle, Bruce E/0000-0001-7651-3687; De Pitta, Cristiano/0000-0001-8013-8162; Meyer, Bettina/0000-0001-6804-9896; Martini, Paolo/0000-0002-0146-1031; Calura, Enrica/0000-0001-8463-2432; Biscontin, Alberto/0000-0003-1492-7715; Sales, Gabriele/0000-0003-2078-5661; Kawaguchi, So/0000-0002-2042-5095; Romualdi, Chiara/0000-0003-4792-9047</t>
  </si>
  <si>
    <t>Helmholtz Virtual Institute PolarTime [VH-VI-500]; Italian Programma Nazionale di Ricerche in Antartide - PNRA [2013/C1.05]; Australian Antarctic Science Program (AAS Project) [4015]; Alfred Wegener Institute through the research programme PACES II</t>
  </si>
  <si>
    <t>Helmholtz Virtual Institute PolarTime; Italian Programma Nazionale di Ricerche in Antartide - PNRA; Australian Antarctic Science Program (AAS Project); Alfred Wegener Institute through the research programme PACES II</t>
  </si>
  <si>
    <t>This work was supported by the following: * the Helmholtz Virtual Institute PolarTime (VH-VI-500: Biological timing in a changing marine environment - clocks and rhythms in polar pelagic organisms, www.polartime.org), to BM; * the Italian Programma Nazionale di Ricerche in Antartide - PNRA (grant 2013/C1.05, http://www.pnra.it/) to RC; * the Australian Antarctic Science Program (AAS Project 4015, http://www.antarctica.gov.au/science/information-for-scientists/research-guidelines/AASP-guidelines) to SJ; * the Alfred Wegener Institute through the research programme PACES II (topic 1, workpackage 5, https://www.awi.de/en.html) to BM.</t>
  </si>
  <si>
    <t>FEB 10</t>
  </si>
  <si>
    <t>e0171908</t>
  </si>
  <si>
    <t>10.1371/journal.pone.0171908</t>
  </si>
  <si>
    <t>EK9KV</t>
  </si>
  <si>
    <t>WOS:000394244300059</t>
  </si>
  <si>
    <t>Mackay, SL; Marchant, DR</t>
  </si>
  <si>
    <t>Mackay, Sean L.; Marchant, David R.</t>
  </si>
  <si>
    <t>Obliquity-paced climate change recorded in Antarctic debris-covered glaciers</t>
  </si>
  <si>
    <t>MCMURDO DRY VALLEYS; GROUND-PENETRATING RADAR; SURFACE-ENERGY-BALANCE; ROCK GLACIERS; INTERNAL ACCUMULATION; MULLINS GLACIER; UTOPIA PLANITIA; VICTORIA LAND; MASS-BALANCE; ICE-RICH</t>
  </si>
  <si>
    <t>The degree to which debris-covered glaciers record past environmental conditions is debated. Here we describe a novel palaeoclimate archive derived from the surface morphology and internal debris within cold-based debris-covered glaciers in Antarctica. Results show that subtle changes in mass balance impart major changes in the concentration of englacial debris and corresponding surface topography, and that over the past similar to 220 ka, at least, the changes are related to obliquity-paced solar radiation, manifest as variations in total summer energy. Our findings emphasize solar radiation as a significant driver of mass balance changes in high-latitude mountain systems, and demonstrate that debris-covered glaciers are among the most sensitive recorders of obliquity-paced climate variability in interior Antarctica, in contrast to most other Antarctic archives that favour eccentricity-paced forcing over the same time period. Furthermore, our results open the possibility that similar-appearing debris-covered glaciers on Mars may likewise hold clues to environmental change.</t>
  </si>
  <si>
    <t>[Mackay, Sean L.; Marchant, David R.] Boston Univ, Dept Earth &amp; Environm, Boston, MA 02215 USA</t>
  </si>
  <si>
    <t>Boston University</t>
  </si>
  <si>
    <t>Mackay, SL (corresponding author), Boston Univ, Dept Earth &amp; Environm, Boston, MA 02215 USA.</t>
  </si>
  <si>
    <t>smackay@bu.edu</t>
  </si>
  <si>
    <t>NSF Graduate Research Fellowship; NSF Polar Programs [NSF ANT-0944702, NSF ANT-1043706]</t>
  </si>
  <si>
    <t>NSF Graduate Research Fellowship(National Science Foundation (NSF)); NSF Polar Programs(National Science Foundation (NSF))</t>
  </si>
  <si>
    <t>Funding for this research was provided by a NSF Graduate Research Fellowship awarded to S.L.M. and NSF Polar Programs grants NSF ANT-0944702 and NSF ANT-1043706 to D.R.M. Logistical support for this project in Antarctica was provided by the U.S. National Science Foundation through the U.S. Antarctic Programme.</t>
  </si>
  <si>
    <t>10.1038/ncomms14194</t>
  </si>
  <si>
    <t>EK0ZR</t>
  </si>
  <si>
    <t>WOS:000393656100001</t>
  </si>
  <si>
    <t>Garabato, ACN; Forryan, A; Dutrieux, P; Brannigan, L; Biddle, LC; Heywood, KJ; Jenkins, A; Firing, YL; Kimura, S</t>
  </si>
  <si>
    <t>Garabato, Alberto C. Naveira; Forryan, Alexander; Dutrieux, Pierre; Brannigan, Liam; Biddle, Louise C.; Heywood, Karen J.; Jenkins, Adrian; Firing, Yvonne L.; Kimura, Satoshi</t>
  </si>
  <si>
    <t>Vigorous lateral export of the meltwater outflow from beneath an Antarctic ice shelf</t>
  </si>
  <si>
    <t>GLACIAL MELTWATER; SEA-ICE; SHEET; INSTABILITY; AMUNDSEN; OCEAN; WATER; HELIUM; NEON; MELT</t>
  </si>
  <si>
    <t>The instability and accelerated melting of the Antarctic Ice Sheet are among the foremost elements of contemporary global climate change la. The increased freshwater output from Antarctica is important in determining sea level rise(1,3), the fate of Antarctic sea ice and its effect on the Earth's albedo(4,5), ongoing changes in global deep-ocean ventilation(3,6), and the evolution of Southern Ocean ecosystems and carbon cycling(7,8). A key uncertainty in assessing and predicting the impacts of Antarctic Ice Sheet melting concerns the vertical distribution of the exported meltwater. This is usually represented by climate-scale models(3-5,9) as a near-surface freshwater input to the ocean, yet measurements around Antarctica reveal the meltwater to be concentrated at deeper levels(10-14). Here we use observations of the turbulent properties of the meltwater outflows from beneath a rapidly melting Antarctic ice shelf to identify the mechanism responsible for the depth of the meltwater. We show that the initial ascent of the meltwater outflow from the ice shelf cavity triggers a centrifugal overturning instability that grows by extracting kinetic energy from the lateral shear of the background oceanic flow. The instability promotes vigorous lateral export, rapid dilution by turbulent mixing, and finally settling of meltwater at depth. We use an idealized ocean circulation model to show that this mechanism is relevant to a broad spectrum of Antarctic ice shelves. Our findings demonstrate that the mechanism producing meltwater at depth is a dynamically robust feature of Antarctic melting that should be incorporated into climate-scale models.</t>
  </si>
  <si>
    <t>[Garabato, Alberto C. Naveira; Forryan, Alexander] Univ Southampton, Ocean &amp; Earth Sci, Natl Oceanog Ctr, Southampton SO14 3ZH, Hants, England; [Dutrieux, Pierre; Jenkins, Adrian; Kimura, Satoshi] British Antarctic Survey, Cambridge CB3 0ET, England; [Dutrieux, Pierre] Columbia Univ, Lamont Doherty Earth Observ, Palisades, NY 10964 USA; [Brannigan, Liam] Stockholm Univ, Dept Meteorol, SE-10691 Stockholm, Sweden; [Biddle, Louise C.; Heywood, Karen J.] Univ East Anglia, Sch Environm Sci, Ctr Ocean &amp; Atmospher Sci, Norwich NR4 7TJ, Norfolk, England; [Firing, Yvonne L.] Natl Inst Oceanog, Southampton SO14 3ZH, Hants, England</t>
  </si>
  <si>
    <t>NERC National Oceanography Centre; University of Southampton; UK Research &amp; Innovation (UKRI); Natural Environment Research Council (NERC); NERC British Antarctic Survey; Columbia University; Stockholm University; University of East Anglia; NERC National Oceanography Centre</t>
  </si>
  <si>
    <t>Garabato, ACN (corresponding author), Univ Southampton, Ocean &amp; Earth Sci, Natl Oceanog Ctr, Southampton SO14 3ZH, Hants, England.</t>
  </si>
  <si>
    <t>acng@noc.soton.ac.uk</t>
  </si>
  <si>
    <t>Jenkins, Adrian/IUN-2406-2023; Dutrieux, Pierre/GVS-2890-2022; Kimura, Satoshi/AAT-3036-2021; Garabato, Alberto Naveira/AAQ-1114-2020; Heywood, Karen/L-1757-2016</t>
  </si>
  <si>
    <t>Dutrieux, Pierre/0000-0002-8066-934X; Kimura, Satoshi/0000-0003-1689-1605; Garabato, Alberto Naveira/0000-0001-6071-605X; Jenkins, Adrian/0000-0002-9117-0616; Firing, Yvonne/0000-0002-3640-3974; Heywood, Karen/0000-0001-9859-0026; Biddle, Louise/0000-0002-4785-1959</t>
  </si>
  <si>
    <t>Natural Environment Research Council of the UK [NE/J005703/1, NE/J005746/1, NE/J005770/1]; Philip Leverhulme Prize; Royal Society; Wolfson Foundation; NERC [bas0100033, NE/J005770/1, NE/J005703/1, NE/J005711/1, NE/J005746/1] Funding Source: UKRI; Natural Environment Research Council [NE/J005770/1, bas0100033, noc010012, NE/J005711/1, 1210192, NE/J005746/1, NE/J005703/1] Funding Source: researchfish</t>
  </si>
  <si>
    <t>Natural Environment Research Council of the UK(UK Research &amp; Innovation (UKRI)Natural Environment Research Council (NERC)); Philip Leverhulme Prize(Leverhulme Trust); Royal Society(Royal Society); Wolfson Foundation; NERC(UK Research &amp; Innovation (UKRI)Natural Environment Research Council (NERC)); Natural Environment Research Council(UK Research &amp; Innovation (UKRI)Natural Environment Research Council (NERC))</t>
  </si>
  <si>
    <t>The iSTAR programme is supported by the Natural Environment Research Council of the UK (grants NE/J005703/1, NE/J005746/1 and NE/J005770/1). A.C.N.G. acknowledges the support of a Philip Leverhulme Prize, the Royal Society and the Wolfson Foundation. We are grateful to the scientific party, crew and technicians on the RRS James Clark Ross for their hard work during data collection.</t>
  </si>
  <si>
    <t>FEB 9</t>
  </si>
  <si>
    <t>10.1038/nature20825</t>
  </si>
  <si>
    <t>EK2DJ</t>
  </si>
  <si>
    <t>WOS:000393737500038</t>
  </si>
  <si>
    <t>Miles, BWJ; Stokes, CR; Jamieson, SSR</t>
  </si>
  <si>
    <t>Miles, Bertie W. J.; Stokes, Chris R.; Jamieson, Stewart S. R.</t>
  </si>
  <si>
    <t>Simultaneous disintegration of outlet glaciers in Porpoise Bay (Wilkes Land), East Antarctica, driven by sea ice break-up</t>
  </si>
  <si>
    <t>TOTTEN GLACIER; SHELF; VARIABILITY; EVOLUTION; PENINSULA; DISCHARGE; DYNAMICS; COLLAPSE; DRAINAGE; MELANGE</t>
  </si>
  <si>
    <t>The floating ice shelves and glacier tongues which fringe the Antarctic continent are important because they help buttress ice flow from the ice sheet interior. Dynamic feedbacks associated with glacier calving have the potential to reduce buttressing and subsequently increase ice flow into the ocean. However, there are few high temporal resolution studies on glacier calving, especially in East Antarctica. Here we use ENVISAT ASAR wide swath mode imagery to investigate monthly glacier terminus change across six marine-terminating outlet glaciers in Porpoise Bay (76 degrees S, 128 degrees E), Wilkes Land (East Antarctica), between November 2002 and March 2012. This reveals a large near-simultaneous calving event in January 2007, resulting in a total of similar to 2900 km(2) of ice being removed from glacier tongues. We also observe the start of a similar large near-simultaneous calving event in March 2016. Our observations suggest that both of these large calving events are driven by the break-up of the multi-year sea ice which usually occupies Porpoise Bay. However, these break-up events appear to have been driven by contrasting mechanisms. We link the 2007 sea ice break-up to atmospheric circulation anomalies in December 2005 weakening the multi-year sea ice through a combination of surface melt and a change in wind direction prior to its eventual breakup in January 2007. In contrast, the 2016 break-up event is linked to the terminus of Holmes (West) Glacier pushing the multi-year sea ice further into the open ocean, making the sea ice more vulnerable to break-up. In the context of predicted future warming and the sensitivity of sea ice to changes in climate, our results highlight the importance of interactions between landfast sea ice and glacier tongue stability in East Antarctica.</t>
  </si>
  <si>
    <t>[Miles, Bertie W. J.; Stokes, Chris R.; Jamieson, Stewart S. R.] Univ Durham, Dept Geog, Sci Site,South Rd, Durham DH1 3LE, England</t>
  </si>
  <si>
    <t>Durham University</t>
  </si>
  <si>
    <t>Miles, BWJ (corresponding author), Univ Durham, Dept Geog, Sci Site,South Rd, Durham DH1 3LE, England.</t>
  </si>
  <si>
    <t>a.w.j.miles@durham.ac.uk</t>
  </si>
  <si>
    <t>Jamieson, Stewart S.R./B-8330-2013; Stokes, Chris/A-1957-2011</t>
  </si>
  <si>
    <t>Jamieson, Stewart S.R./0000-0002-9036-2317; Miles, Bertie/0000-0002-3388-4688; Stokes, Chris/0000-0003-3355-1573</t>
  </si>
  <si>
    <t>ESA [16713]; Durham University Doctoral Scholarship program; Natural Environment Research Council Fellowship [NE/J018333/1]; Natural Environment Research Council [NE/J018333/1] Funding Source: researchfish; NERC [NE/J018333/1] Funding Source: UKRI</t>
  </si>
  <si>
    <t>ESA(European Space Agency); Durham University Doctoral Scholarship program; Natural Environment Research Council Fellowship(UK Research &amp; Innovation (UKRI)Natural Environment Research Council (NERC)); Natural Environment Research Council(UK Research &amp; Innovation (UKRI)Natural Environment Research Council (NERC)); NERC(UK Research &amp; Innovation (UKRI)Natural Environment Research Council (NERC))</t>
  </si>
  <si>
    <t>We thank the ESA for providing Envisat ASAR WSM data (project ID: 16713) and Sentinel data. Landsat imagery was provided free of charge by the US Geological Survey Earth Resources Observation Science Centre. We thank M. van den Broeke for providing data and assisting with RACMO. B. W. J. Miles was funded by a Durham University Doctoral Scholarship program. S. S. R. Jamieson was supported by Natural Environment Research Council Fellowship NE/J018333/1. We would like to thank Allen Pope and Ted Scambos for reviewing the manuscript, along with the editor, Rob Bingham, for providing constructive comments which led to improvement of this manuscript.</t>
  </si>
  <si>
    <t>FEB 8</t>
  </si>
  <si>
    <t>10.5194/tc-11-427-2017</t>
  </si>
  <si>
    <t>EM1QB</t>
  </si>
  <si>
    <t>gold, Green Published, Green Submitted, Green Accepted</t>
  </si>
  <si>
    <t>WOS:000395091000001</t>
  </si>
  <si>
    <t>Brenneis, G; Bogomolova, EV; Arango, CP; Krapp, F</t>
  </si>
  <si>
    <t>Brenneis, Georg; Bogomolova, Ekaterina V.; Arango, Claudia P.; Krapp, Franz</t>
  </si>
  <si>
    <t>From egg to no-body: an overview and revision of developmental pathways in the ancient arthropod lineage Pycnogonida</t>
  </si>
  <si>
    <t>FRONTIERS IN ZOOLOGY</t>
  </si>
  <si>
    <t>Sea spider; Evolution; Arthropoda; Embryology; Gastrulation; Postembryonic development; Anamorphic development; Evo-devo; Protonymphon larva</t>
  </si>
  <si>
    <t>SEA SPIDERS PYCNOGONIDA; POSTEMBRYONIC DEVELOPMENT; EMBRYONIC-DEVELOPMENT; LITORALE ARTHROPODA; LARVAL DEVELOPMENT; MATING-BEHAVIOR; LIFE-HISTORY; GENUS; AMMOTHEIDAE; MORPHOLOGY</t>
  </si>
  <si>
    <t>Background: Arthropod diversity is unparalleled in the animal kingdom. The study of ontogeny is pivotal to understand which developmental processes underlie the incredible morphological disparity of arthropods and thus to eventually unravel evolutionary transformations leading to their success. Work on laboratory model organisms has yielded in-depth data on numerous developmental mechanisms in arthropods. Yet, although the range of studied taxa has increased noticeably since the advent of comparative evolutionary developmental biology (evo-devo), several smaller groups remain understudied. This includes the bizarre Pycnogonida (sea spiders) or no-bodies, a taxon occupying a crucial phylogenetic position for the interpretation of arthropod development and evolution. Results: Pycnogonid development is variable at familial and generic levels and sometimes even congeneric species exhibit different developmental modes. Here, we summarize the available data since the late 19th century. We clarify and resolve terminological issues persisting in the pycnogonid literature and distinguish five developmental pathways, based on (1) type of the hatching stage, (2) developmental-morphological features during postembryonic development and (3) selected life history characteristics. Based on phylogenetic analyses and the fossil record, we discuss plausible plesiomorphic features of pycnogonid development that allow comparison to other arthropods. These features include (1) a holoblastic, irregular cleavage with equal-sized blastomeres, (2) initiation of gastrulation by a single bottle-shaped cell, (3) the lack of a morphologically distinct germ band during embryogenesis, (4) a parasitic free-living protonymphon larva as hatching stage and (5) a hemianamorphic development during the postlarval and juvenile phases. Further, we propose evolutionary developmental trajectories within crown-group Pycnogonida. Conclusions: A resurgence of studies on pycnogonid postembryonic development has provided various new insights in the last decades. However, the scarcity of modern-day embryonic data - including the virtual lack of gene expression and functional studies - needs to be addressed in future investigations to strengthen comparisons to other arthropods and arthropod outgroups in the framework of evo-devo. Our review may serve as a basis for an informed choice of target species for such studies, which will not only shed light on chelicerate development and evolution but furthermore hold the potential to contribute important insights into the anamorphic development of the arthropod ancestor.</t>
  </si>
  <si>
    <t>[Brenneis, Georg] Wellesley Coll, Neurosci Program, 106 Cent St, Wellesley, MA 02481 USA; [Bogomolova, Ekaterina V.] Moscow MV Lomonosov State Univ, Moscow 119991, Russia; [Arango, Claudia P.] Queensland Museum, Biodivers Program, POB 3300, South Brisbane, Qld 4101, Australia; [Krapp, Franz] Zool Forsch Museum A Koenig, Adenauerallee 160, D-53113 Bonn, Germany</t>
  </si>
  <si>
    <t>Wellesley College; Lomonosov Moscow State University; Queensland Museum</t>
  </si>
  <si>
    <t>Brenneis, G (corresponding author), Wellesley Coll, Neurosci Program, 106 Cent St, Wellesley, MA 02481 USA.</t>
  </si>
  <si>
    <t>georg.brenneis@gmx.de</t>
  </si>
  <si>
    <t>Brenneis, Georg/AAQ-9561-2021; /A-5531-2008</t>
  </si>
  <si>
    <t>Brenneis, Georg/0000-0003-1202-1899; /0000-0003-1098-830X</t>
  </si>
  <si>
    <t>Deutsche Forschungsgemeinschaft [BR 5039/1-1]; Australian Biological Resources Study (ABRS) [204-61]; Australian Antarctic Science Grants [AA3010]</t>
  </si>
  <si>
    <t>Deutsche Forschungsgemeinschaft(German Research Foundation (DFG)); Australian Biological Resources Study (ABRS); Australian Antarctic Science Grants</t>
  </si>
  <si>
    <t>GB is funded by a postdoctoral fellowship of the Deutsche Forschungsgemeinschaft (BR 5039/1-1). CPA would like to thank the Australian Biological Resources Study (ABRS) (Grant No. 204-61) and the Australian Antarctic Science Grants (AA3010).</t>
  </si>
  <si>
    <t>1742-9994</t>
  </si>
  <si>
    <t>FRONT ZOOL</t>
  </si>
  <si>
    <t>Front. Zool.</t>
  </si>
  <si>
    <t>FEB 7</t>
  </si>
  <si>
    <t>10.1186/s12983-017-0192-2</t>
  </si>
  <si>
    <t>EK1VO</t>
  </si>
  <si>
    <t>WOS:000393714100001</t>
  </si>
  <si>
    <t>Zimmermann, HH; Raschke, E; Epp, LS; Stoof-Leichsenring, KR; Schwamborn, G; Schirrmeister, L; Overduin, PP; Herzschuh, U</t>
  </si>
  <si>
    <t>Zimmermann, Heike Hildegard; Raschke, Elena; Epp, Laura Saskia; Stoof-Leichsenring, Kathleen Rosmarie; Schwamborn, Georg; Schirrmeister, Lutz; Overduin, Pier Paul; Herzschuh, Ulrike</t>
  </si>
  <si>
    <t>Sedimentary ancient DNA and pollen reveal the composition of plant organic matter in Late Quaternary permafrost sediments of the Buor Khaya Peninsula (north-eastern Siberia)</t>
  </si>
  <si>
    <t>VEGETATION PATTERNS; NE SIBERIA; ENVIRONMENTAL DNA; ARCTIC VEGETATION; LAKE-SEDIMENTS; CARBON; POLYGON; ICE; CLIMATE; HOLOCENE</t>
  </si>
  <si>
    <t>Organic matter deposited in ancient, ice-rich permafrost sediments is vulnerable to climate change and may contribute to the future release of greenhouse gases; it is thus important to get a better characterization of the plant organic matter within such sediments. From a Late Quaternary permafrost sediment core from the Buor Khaya Peninsula, we analysed plant-derived sedimentary ancient DNA (sedaDNA) to identify the taxonomic composition of plant organic matter, and undertook palynological analysis to assess the environmental conditions during deposition. Using sedaDNA, we identified 154 taxa and from pollen and non-pollen palynomorphs we identified 83 taxa. In the deposits dated between 54 and 51 kyr BP, sedaDNA records a diverse low-centred polygon plant community including recurring aquatic pond vegetation while from the pollen record we infer terrestrial open-land vegetation with relatively dry environmental conditions at a regional scale. A fluctuating dominance of either terrestrial or swamp and aquatic taxa in both proxies allowed the local hydrological development of the polygon to be traced. In deposits dated between 11.4 and 9.7 kyr BP (13.4-11.1 cal kyr BP), sedaDNA shows a taxonomic turnover to moist shrub tundra and a lower taxonomic richness compared to the older samples. Pollen also records a shrub tundra community, mostly seen as changes in relative proportions of the most dominant taxa, while a decrease in taxonomic richness was less pronounced compared to sedaDNA. Our results show the advantages of using sedaDNA in combination with palynological analyses when macrofossils are rarely preserved. The high resolution of the sedaDNA record provides a detailed picture of the taxonomic composition of plant-derived organic matter throughout the core, and palynological analyses prove valuable by allowing for inferences of regional environmental conditions.</t>
  </si>
  <si>
    <t>[Zimmermann, Heike Hildegard; Raschke, Elena; Epp, Laura Saskia; Stoof-Leichsenring, Kathleen Rosmarie; Schwamborn, Georg; Schirrmeister, Lutz; Overduin, Pier Paul; Herzschuh, Ulrike] Alfred Wegener Inst Helmholtz Ctr Polar &amp; Marine, Periglacial Res Unit, Telegrafenberg A43, D-14473 Potsdam, Germany; [Zimmermann, Heike Hildegard; Herzschuh, Ulrike] Univ Potsdam, Inst Earth &amp; Environm Sci, Karl Liebknecht Str 24-25, D-14476 Potsdam, Germany; [Raschke, Elena] Arctic &amp; Antarctic Res Inst, Bering St 38, St Petersburg 199397, Russia</t>
  </si>
  <si>
    <t>Helmholtz Association; Alfred Wegener Institute, Helmholtz Centre for Polar &amp; Marine Research; University of Potsdam; Arctic &amp; Antarctic Research Institute</t>
  </si>
  <si>
    <t>Zimmermann, HH; Herzschuh, U (corresponding author), Alfred Wegener Inst Helmholtz Ctr Polar &amp; Marine, Periglacial Res Unit, Telegrafenberg A43, D-14473 Potsdam, Germany.;Zimmermann, HH; Herzschuh, U (corresponding author), Univ Potsdam, Inst Earth &amp; Environm Sci, Karl Liebknecht Str 24-25, D-14476 Potsdam, Germany.</t>
  </si>
  <si>
    <t>heike.zimmermann@awi.de; ulrike.herzschuh@awi.de</t>
  </si>
  <si>
    <t>Zimmermann, Heike/AAC-8404-2022; Schwamborn, Georg Johannes/ABC-9636-2020; Overduin, Paul P/B-3258-2017; Schirrmeister, Lutz/AGW-0545-2022; Stoof-Leichsenring, Kathleen Rosmarie/E-2806-2014; Zimmermann, Heike H/Y-2973-2018; Epp, Laura/AFS-1695-2022; Epp, Laura Saskia/JZD-7542-2024; Schirrmeister, Lutz/O-5584-2015; Epp, Laura Saskia/J-5301-2016; Raschke, Elena/M-9982-2016</t>
  </si>
  <si>
    <t>Schwamborn, Georg Johannes/0000-0001-9635-0539; Overduin, Paul P/0000-0001-9849-4712; Schirrmeister, Lutz/0000-0001-9455-0596; Zimmermann, Heike H/0000-0002-0225-5176; Schirrmeister, Lutz/0000-0001-9455-0596; Epp, Laura Saskia/0000-0002-2230-9477; Stoof-Leichsenring, Kathleen R./0000-0002-6609-3217; Raschke, Elena/0000-0001-5247-8186; Herzschuh, Ulrike/0000-0003-0999-1261</t>
  </si>
  <si>
    <t>German Federal Ministry of Education and Research (BMBF) [03G0836B, 03G0836F]; German Research Council (DFG) [EP98/2-1]</t>
  </si>
  <si>
    <t>German Federal Ministry of Education and Research (BMBF)(Federal Ministry of Education &amp; Research (BMBF)); German Research Council (DFG)(German Research Foundation (DFG))</t>
  </si>
  <si>
    <t>We are grateful to the German Federal Ministry of Education and Research (BMBF) for funding this study as part of the joint German-Russian research project CARBOPERM (03G0836B, 03G0836F). We thank our colleagues who helped during fieldwork in 2012 as part of the Russian-German Cooperation SYSTEM LAPTEV SEA. Laura Saskia Epp is supported by the German Research Council (DFG grant EP98/2-1 to Laura Saskia Epp). We gratefully acknowledge Jonas Grunwald, for assistance with the sub-sampling, Daronja Trense, for pollen sample preparation, Liv Heinecke for the age-depth model and Bennet Juhls for compiling the maps. Finally, the paper benefited from English language correction from Cathy Jenks.</t>
  </si>
  <si>
    <t>10.5194/bg-14-575-2017</t>
  </si>
  <si>
    <t>EM4XA</t>
  </si>
  <si>
    <t>WOS:000395315100002</t>
  </si>
  <si>
    <t>McMullin, RM; Wing, SR; Wing, LC; Shatova, OA</t>
  </si>
  <si>
    <t>McMullin, Rebecca M.; Wing, Stephen R.; Wing, Lucy C.; Shatova, Olya A.</t>
  </si>
  <si>
    <t>Trophic position of Antarctic ice fishes reflects food web structure along a gradient in sea ice persistence</t>
  </si>
  <si>
    <t>Ice fish; Stable isotopes; Trophic position; SIMCO; Sea ice; Antarctica</t>
  </si>
  <si>
    <t>HEMISPHERE CLIMATE-CHANGE; ROSS SEA; STABLE-ISOTOPES; MCMURDO SOUND; BENTHIC COMMUNITIES; TREMATOMUS-BERNACCHII; ECOLOGY; DIET; ENRICHMENT; ABUNDANCE</t>
  </si>
  <si>
    <t>Variation in sea ice conditions is closely linked to primary production in Antarctica, which, in turn, influences food web dynamics. To investigate how sea ice dynamics are reflected in food web structure, we measured the trophic level and composition of basal organic matter supporting the prey base of 2 benthic and 2 pelagic ice fish species collected from sites along a gradient in sea ice persistence in McMurdo Sound, Ross Sea, Antarctica. Stable isotope analysis (delta N-15 and delta C-13) was carried out on samples collected from multiple sites during 2008 and 2012 to 2014. General linear models revealed that 'trophic position' differed among species at a single site, and within benthic species among sites distributed along the gradient in sea ice persistence. Benthic species located at the southernmost sites in McMurdo Sound derived the highest proportion of diet from food webs supported by the sea ice microbial community (SIMCO), an important subsidy of organic matter to the sea-floor environment. Increased thickness and persistence of sea ice in McMurdo Sound due to the presence of icebergs resulted in a higher proportion of diet derived from SIMCO for the ice fish Trematomus bernacchii in 2008 compared to the 2012 to 2014 period. Analyses of dispersion for individual trophic positions revealed that individual level specialisation was lowest at sites with the highest variability in sea ice cover. These results provide evidence for linkages between sea ice dynamics and food web structure, and highlight the role of ice fishes as sentinels for environmental and ecological changes in Antarctica.</t>
  </si>
  <si>
    <t>[McMullin, Rebecca M.; Wing, Stephen R.; Wing, Lucy C.; Shatova, Olya A.] Univ Otago, Dept Marine Sci, POB 56, Dunedin 9054, New Zealand</t>
  </si>
  <si>
    <t>McMullin, RM (corresponding author), Univ Otago, Dept Marine Sci, POB 56, Dunedin 9054, New Zealand.</t>
  </si>
  <si>
    <t>mcmre958@student.otago.ac.nz</t>
  </si>
  <si>
    <t>Farquhar, Justin/F-6225-2010; Wing, Lucy/B-8833-2019</t>
  </si>
  <si>
    <t>Farquhar, Justin/0000-0002-5818-5082; Wing, Lucy/0000-0001-8681-6147; Wing, Stephen/0000-0003-3536-5627</t>
  </si>
  <si>
    <t>Antarctica New Zealand; Zealand Federation of Graduate Women the University of Otago Graduate Research School; Royal Society of New Zealand's Marsden Fund [UOO1008]</t>
  </si>
  <si>
    <t>Antarctica New Zealand; Zealand Federation of Graduate Women the University of Otago Graduate Research School; Royal Society of New Zealand's Marsden Fund(Royal Society of New ZealandMarsden Fund (NZ))</t>
  </si>
  <si>
    <t>We thank S. Genovese, D. Stokes, J. Leichter and M. Brunton for their assistance with field work. We are also grateful to the Isotrace research group, in the Department of Chemistry, who carried out stable isotope analysis on samples used in the research presented here. Logistic and monetary support was provided by Antarctica New Zealand, New Zealand Federation of Graduate Women the University of Otago Graduate Research School and the Royal Society of New Zealand's Marsden Fund (UOO1008).</t>
  </si>
  <si>
    <t>FEB 3</t>
  </si>
  <si>
    <t>10.3354/meps12031</t>
  </si>
  <si>
    <t>ET9WY</t>
  </si>
  <si>
    <t>WOS:000400661400008</t>
  </si>
  <si>
    <t>Mishra, RK; Jena, B; Anilkumar, NP; Sinha, RK</t>
  </si>
  <si>
    <t>Mishra, Rajani Kanta; Jena, Babula; Anilkumar, Narayana Pillai; Sinha, Rupesh Kumar</t>
  </si>
  <si>
    <t>Shifting of phytoplankton community in the frontal regions of Indian Ocean sector of the Southern Ocean using in situ and satellite data</t>
  </si>
  <si>
    <t>phytoplankton; chlorophyll a; flagellate; diatom; prokaryote</t>
  </si>
  <si>
    <t>AUSTRAL SUMMER; CHLOROPHYLL-A; WATER MASSES; DISTRIBUTIONS; TEMPERATURE; VARIABILITY; IRON; SEA; PCO(2); WINTER</t>
  </si>
  <si>
    <t>The phytoplankton pigment indices were used to characterize the spatial succession of the community composition in the frontal regions of the subtropical front (STF), sub-Antarctic front (SAF), and polar front (PF) in the Indian Ocean sector of the Southern Ocean during austral summer 2013. Diagnostic indices revealed that the flagellates were dominant in STF (51%) and progressively declined toward SAF (39%) and PF (11%). Similarly, the prokaryotes were highest in STF (43%) and decreased to SAF (32%) and PF (28%). In contrast, the diatoms were gradually increased from STF (6%) to SAF (29%) and PF (61%). The variability of flagellates and diatoms from the STF to PF is attributed to the variability of photosynthetically available radiation, sea surface temperature, and sea surface wind speed. The in-situ pigment indices were then compared to the NASA Ocean Biogeochemical model that shows the similar patterns of frontal community distribution except their magnitude. Similarly, the satellite retrieved phytoplankton biomass (chlorophyll a) was checked for its consistency after comparing with the in-situ observations and the result shows underestimation of satellite measured values. The result suggests that the conjunctive analysis of in-situ, satellite, and model archive is suitable to study the impact of climate variability on the structure of marine ecosystems. (C) 2017 Society of Photo-Optical Instrumentation Engineers (SPIE)</t>
  </si>
  <si>
    <t>[Mishra, Rajani Kanta; Jena, Babula; Anilkumar, Narayana Pillai; Sinha, Rupesh Kumar] Minist Earth Sci, ESSO Natl Ctr Antarctic &amp; Ocean Res, Vasco Da Gama, Goa, India</t>
  </si>
  <si>
    <t>Mishra, RK (corresponding author), Minist Earth Sci, ESSO Natl Ctr Antarctic &amp; Ocean Res, Vasco Da Gama, Goa, India.</t>
  </si>
  <si>
    <t>rajanimishra@yahoo.com</t>
  </si>
  <si>
    <t>Sinha, Rupesh/ABB-8319-2020</t>
  </si>
  <si>
    <t>National Centre for Antarctic and Ocean Research (NCAOR); ESSO-MoES Project, SO biogeochemical studies</t>
  </si>
  <si>
    <t>We greatly appreciate the National Centre for Antarctic and Ocean Research (NCAOR) for their support and encouragement. Financial support from ESSO-MoES Project, SO biogeochemical studies is gratefully acknowledged. We thank the NASA-MODIS Project and NASA Ocean Biogeochemical Model for providing the satellite, chlorophyll, PAR, nutrients, and phytoplankton community for computational support. We sincerely thank the officers and crew of the ORV Sagar Nidhi for their skilled cooperation and assistance during SOE-7 (2013) expedition. It is declared that the authors of this manuscript have no conflict of interest. NCAOR contribution No. 04/2017.</t>
  </si>
  <si>
    <t>10.1117/1.JRS.11.016019</t>
  </si>
  <si>
    <t>EP8VX</t>
  </si>
  <si>
    <t>WOS:000397654000001</t>
  </si>
  <si>
    <t>Fernandez, RP; Kinnison, DE; Lamarque, JF; Tilmes, S; Saiz-Lopez, A</t>
  </si>
  <si>
    <t>Fernandez, Rafael P.; Kinnison, Douglas E.; Lamarque, Jean-Francois; Tilmes, Simone; Saiz-Lopez, Alfonso</t>
  </si>
  <si>
    <t>Impact of biogenic very short-lived bromine on the Antarctic ozone hole during the 21st century</t>
  </si>
  <si>
    <t>EARTH SYSTEM MODEL; TROPICAL TROPOPAUSE LAYER; STRATOSPHERIC OZONE; CLIMATE MODEL; IODINE CHEMISTRY; SIMULATION; BROMOCARBONS; TROPOSPHERE; SUBSTANCES; EMISSIONS</t>
  </si>
  <si>
    <t>Active bromine released from the photochemical decomposition of biogenic very short-lived bromocarbons (VSLBr) enhances stratospheric ozone depletion. Based on a dual set of 1960-2100 coupled chemistry-climate simulations (i.e. with and without VSLBr), we show that the maximum Antarctic ozone hole depletion increases by up to 14% when natural VSLBr are considered, which is in better agreement with ozone observations. The impact of the additional 5 pptv VSLBr on Antarctic ozone is most evident in the periphery of the ozone hole, producing an expansion of the ozone hole area of similar to 5 million km(2), which is equivalent in magnitude to the recently estimated Antarctic ozone healing due to the implementation of the Montreal Protocol. We find that the inclusion of VSLBr in CAM-Chem (Community Atmosphere Model with Chemistry, version 4.0) does not introduce a significant delay of the modelled ozone return date to 1980 October levels, but instead affects the depth and duration of the simulated ozone hole. Our analysis further shows that total bromine-catalysed ozone destruction in the lower stratosphere surpasses that of chlorine by the year 2070 and indicates that natural VSLBr chemistry would dominate Antarctic ozone seasonality before the end of the 21st century. This work suggests a large influence of biogenic bromine on the future Antarctic ozone layer.</t>
  </si>
  <si>
    <t>[Fernandez, Rafael P.; Saiz-Lopez, Alfonso] CSIC, Inst Phys Chem Rocasolano, Dept Atmospher Chem &amp; Climate, E-28006 Madrid, Spain; [Fernandez, Rafael P.] Consejo Nacl Invest Cient &amp; Tecn, Natl Res Council, FCEN UNCuyo, UNT FRM, RA-5500 Mendoza, Argentina; [Kinnison, Douglas E.; Lamarque, Jean-Francois; Tilmes, Simone] Natl Ctr Atmospher Res, Atmospher Chem Observat &amp; Modelling Lab, Boulder, CO 80301 USA</t>
  </si>
  <si>
    <t>Consejo Superior de Investigaciones Cientificas (CSIC); CSIC - Instituto de Quimica Fisica Rocasolano (IQFR); Consejo Nacional de Investigaciones Cientificas y Tecnicas (CONICET); National Center Atmospheric Research (NCAR) - USA</t>
  </si>
  <si>
    <t>Saiz-Lopez, A (corresponding author), CSIC, Inst Phys Chem Rocasolano, Dept Atmospher Chem &amp; Climate, E-28006 Madrid, Spain.</t>
  </si>
  <si>
    <t>a.saiz@csic.es</t>
  </si>
  <si>
    <t>Tilmes, Simone/JUV-6618-2023; Saiz-Lopez, Alfonso/B-3759-2015; Fernandez, Rafael Pedro/ABF-2323-2020; Lamarque, Jean-Francois/L-2313-2014</t>
  </si>
  <si>
    <t>Tilmes, Simone/0000-0002-6557-3569; Saiz-Lopez, Alfonso/0000-0002-0060-1581; Fernandez, Rafael Pedro/0000-0002-4114-5500; Lamarque, Jean-Francois/0000-0002-4225-5074</t>
  </si>
  <si>
    <t>New Zealand Deep South National Science Challenge; Consejo Superior de Investigaciones Cientificas (CSIC), Spain; National Science Foundation (NSF); NSF; Office of Science (BER) of the US Department of Energy; CONICET; FCEN-UNCuyo; UTN-FRMendoza</t>
  </si>
  <si>
    <t>New Zealand Deep South National Science Challenge; Consejo Superior de Investigaciones Cientificas (CSIC), Spain; National Science Foundation (NSF)(National Science Foundation (NSF)); NSF(National Science Foundation (NSF)); Office of Science (BER) of the US Department of Energy(United States Department of Energy (DOE)); CONICET(Consejo Nacional de Investigaciones Cientificas y Tecnicas (CONICET)); FCEN-UNCuyo; UTN-FRMendoza</t>
  </si>
  <si>
    <t>We would like to thank Greg Bodeker of Bodeker Scientific, funded by the New Zealand Deep South National Science Challenge, for providing the combined total column ozone database. This work was supported by the Consejo Superior de Investigaciones Cientificas (CSIC), Spain. The National Center for Atmospheric Research (NCAR) is funded by the National Science Foundation (NSF). Computing resources (ark:/85065/d7wd3xhc) were provided by the Climate Simulation Laboratory at NCAR's Computational and Information Systems Laboratory (CISL), sponsored by the NSF. The CESM project (which includes CAM-Chem) is supported by the NSF and the Office of Science (BER) of the US Department of Energy. Rafael P. Fernandez would like to thank Pablo Cremades for his technical help with post-processing the output data, and to CONICET, FCEN-UNCuyo and UTN-FRMendoza for financial support.</t>
  </si>
  <si>
    <t>10.5194/acp-17-1673-2017</t>
  </si>
  <si>
    <t>EM1SK</t>
  </si>
  <si>
    <t>WOS:000395097100001</t>
  </si>
  <si>
    <t>Grytsai, A; Klekociuk, A; Milinevsky, G; Evtushevsky, O; Stone, K</t>
  </si>
  <si>
    <t>Grytsai, Asen; Klekociuk, Andrew; Milinevsky, Gennadi; Evtushevsky, Oleksandr; Stone, Kane</t>
  </si>
  <si>
    <t>Evolution of the eastward shift in the quasi-stationary minimum of the Antarctic total ozone column</t>
  </si>
  <si>
    <t>SOUTHERN-HEMISPHERE STRATOSPHERE; PLANETARY-WAVES; POLAR VORTEX; INTERANNUAL VARIABILITY; ZONAL ASYMMETRIES; SEPTEMBER 2002; ANNULAR MODE; HOLE; TEMPERATURE; REANALYSIS</t>
  </si>
  <si>
    <t>The quasi-stationary pattern of the Antarctic total ozone has changed during the last 4 decades, showing an eastward shift in the zonal ozone minimum. In this work, the association between the longitudinal shift of the zonal ozone minimum and changes in meteorological fields in austral spring (September-November) for 1979-2014 is analyzed using ERA-Interim and NCEP-NCAR reanalyses. Regressive, correlative and anomaly composite analyses are applied to reanalysis data. Patterns of the Southern Annular Mode and quasi-stationary zonal waves 1 and 3 in the meteorological fields show relationships with interannual variability in the longitude of the zonal ozone minimum. On decadal timescales, consistent longitudinal shifts of the zonal ozone minimum and zonal wave 3 pattern in the middle-troposphere temperature at the southern midlatitudes are shown. Attribution runs of the chemistry-climate version of the Australian Community Climate and Earth System Simulator (ACCESS-CCM) model suggest that long-term shifts of the zonal ozone minimum are separately contributed by changes in ozone-depleting substances and greenhouse gases. As is known, Antarctic ozone depletion in spring is strongly projected on the Southern Annular Mode in summer and impacts summertime surface climate across the Southern Hemisphere. The results of this study suggest that changes in zonal ozone asymmetry accompanying ozone depletion could be associated with regional climate changes in the Southern Hemisphere in spring.</t>
  </si>
  <si>
    <t>[Grytsai, Asen; Milinevsky, Gennadi; Evtushevsky, Oleksandr] Taras Shevchenko Natl Univ Kyiv, UA-01601 Kiev, Ukraine; [Klekociuk, Andrew] Australian Antarctic Div, Antarctica &amp; Global Syst Program, Kingston, Tas 7050, Australia; [Klekociuk, Andrew] Antarctic Climate &amp; Ecosyst Cooperat Res Ctr, Hobart, Tas 7000, Australia; [Milinevsky, Gennadi] Natl Acad Sci Ukraine, Main Astron Observ, UA-03143 Kiev, Ukraine; [Stone, Kane] Univ Melbourne, Sch Earth Sci, Melbourne, Vic 3010, Australia; [Stone, Kane] Univ New South Wales, ARC Ctr Excellence Climate Syst Sci, Sydney, NSW 2052, Australia; [Stone, Kane] MIT, Dept Earth Atmospher &amp; Planetary Sci, Cambridge, MA 02139 USA</t>
  </si>
  <si>
    <t>Ministry of Education &amp; Science of Ukraine; Taras Shevchenko National University of Kyiv; Australian Antarctic Division; Antarctic Climate &amp; Ecosystems Cooperative Research Centre (ACE CRC); National Academy of Sciences Ukraine; Main Astronomical Observatory of NASU; University of Melbourne; Melbourne Bioinformatics; University of New South Wales Sydney; ARC Centre of Excellence for Climate System Science; Massachusetts Institute of Technology (MIT)</t>
  </si>
  <si>
    <t>Milinevsky, G (corresponding author), Taras Shevchenko Natl Univ Kyiv, UA-01601 Kiev, Ukraine.;Milinevsky, G (corresponding author), Natl Acad Sci Ukraine, Main Astron Observ, UA-03143 Kiev, Ukraine.</t>
  </si>
  <si>
    <t>genmilinevsky@gmail.com</t>
  </si>
  <si>
    <t>Milinevsky, Gennadi/AAD-8801-2019; Grytsai, Asen/AAS-7114-2020; Evtushevsky, Oleksandr O.M./F-2065-2017; Klekociuk, Andrew/A-4498-2015</t>
  </si>
  <si>
    <t>Milinevsky, Gennadi/0000-0002-2342-2615; Evtushevsky, Oleksandr O.M./0000-0003-0582-559X; Grytsai, Asen/0000-0002-2545-9833; Klekociuk, Andrew/0000-0003-3335-0034</t>
  </si>
  <si>
    <t>Taras Shevchenko National University of Kyiv [16BF051-02]; Special Complex Program for Space Research 2012-2016 of the National Academy of Sciences of Ukraine; State Fund For Fundamental Research [F73/115-2016]; Australian Antarctic Science Program [4012]; Australian Research Council's Centre of Excellence for Climate System Science [CE110001028]; Commonwealth Department of the Environment [2011/16853]; National Institute of Water and Atmospheric Research; Marsden Fund Council; Royal Society of New Zealand [12-NIW-006]; Australian Government</t>
  </si>
  <si>
    <t>Taras Shevchenko National University of Kyiv; Special Complex Program for Space Research 2012-2016 of the National Academy of Sciences of Ukraine; State Fund For Fundamental Research; Australian Antarctic Science Program; Australian Research Council's Centre of Excellence for Climate System Science(Australian Research Council); Commonwealth Department of the Environment; National Institute of Water and Atmospheric Research; Marsden Fund Council(Royal Society of New ZealandMarsden Fund (NZ)); Royal Society of New Zealand(Royal Society of New Zealand); Australian Government(Australian Government)</t>
  </si>
  <si>
    <t>Authors thank the two anonymous referees for their comments and helpful suggestions. TOMS and OMI daily total ozone data were provided by the Ozone Processing Team, NASA Goddard Space Flight Center, USA, from their Web site at http://ozoneaq.gsfc.nasa.gov. Multi-Sensor Reanalysis data from http://www.temis.nl were used. Data on ozone mass deficit at the southern high latitudes are from http://ozonewatch.gsfc.nasa.gov. NCEP Reanalysis data were provided by the NOAA/OAR/ESRL PSD, Boulder, Colorado, USA, from their Web site at http://www.esrl.noaa.gov/psd/. The ERA-Interim data from the European Centre for Medium-Range Weather Forecasts reanalysis at http://www.ecmwf.int/en/research/climate-reanalysis/era-interim were used. This work was partly supported by Taras Shevchenko National University of Kyiv (project 16BF051-02), the Special Complex Program for Space Research 2012-2016 of the National Academy of Sciences of Ukraine, and the grant F73/115-2016 of the State Fund For Fundamental Research; by the Polar FORCeS project no. 4012 of the Australian Antarctic Science Program, the Australian Research Council's Centre of Excellence for Climate System Science (CE110001028), the Commonwealth Department of the Environment (grant 2011/16853), and the National Institute of Water and Atmospheric Research as part of its New Zealand government-funded core research; and by the Marsden Fund Council from government funding, administered by the Royal Society of New Zealand (grant 12-NIW-006). This research was undertaken with the assistance of resources provided at the National Computational Infrastructure National Facility systems at the Australian National University through the National Computational Merit Allocation Scheme supported by the Australian Government.</t>
  </si>
  <si>
    <t>10.5194/acp-17-1741-2017</t>
  </si>
  <si>
    <t>GM2OB</t>
  </si>
  <si>
    <t>gold, Green Submitted, Green Accepted</t>
  </si>
  <si>
    <t>WOS:000437926100001</t>
  </si>
  <si>
    <t>Carter, SP; Fricker, HA; Siegfried, MR</t>
  </si>
  <si>
    <t>Carter, Sasha P.; Fricker, Helen A.; Siegfried, Matthew R.</t>
  </si>
  <si>
    <t>Antarctic subglacial lakes drain through sediment-floored canals: theory and model testing on real and idealized domains</t>
  </si>
  <si>
    <t>GREENLAND ICE SHEETS; WEST ANTARCTICA; EAST ANTARCTICA; WATER-SYSTEM; STREAM-B; BENEATH; FLOW; GLACIER; HYDROLOGY; DYNAMICS</t>
  </si>
  <si>
    <t>Over the past decade, satellite observations of ice surface height have revealed that active subglacial lake systems are widespread under the Antarctic Ice Sheet, including the ice streams. For some of these systems, additional observations of ice-stream motion have shown that lake activity can affect ice-stream dynamics. Despite all this new information, we still have insufficient understanding of the lake-drainage process to incorporate it into ice-sheet models. Process models for drainage of ice-dammed lakes based on conventional R-channels incised into the base of the ice through melting are unable to reproduce the timing and magnitude of drainage from Antarctic subglacial lakes estimated from satellite altimetry given the low hydraulic gradients along which such lakes drain. We have developed an alternative process model, in which channels are mechanically eroded into the underlying deformable subglacial sediment. When applied to the known active lakes of the Whillans-Mercer ice-stream system, the model successfully reproduced both the inferred magnitudes and recurrence intervals of lake-volume changes, derived from Ice, Cloud and land Elevation Satellite (ICESat) laser altimeter data for the period 2003-2009. Water pressures in our model changed as the flood evolved: during drainage, water pressures initially increased as water flowed out of the lake primarily via a distributed system, then decreased as the channelized system grew, establishing a pressure gradient that drew water away from the distributed system. This evolution of the drainage system can result in the observed internal variability of ice flow over time. If we are correct that active subglacial lakes drain through canals in the sediment, this mechanism also implies that active lakes are typically located in regions underlain by thick subglacial sediment, which may explain why they are not readily observed using radio-echo-sounding techniques.</t>
  </si>
  <si>
    <t>[Carter, Sasha P.; Fricker, Helen A.; Siegfried, Matthew R.] Univ Calif San Diego, Inst Geophys &amp; Planetary Phys, Scripps Inst Oceanog, San Diego, CA 92103 USA</t>
  </si>
  <si>
    <t>Carter, SP (corresponding author), Univ Calif San Diego, Inst Geophys &amp; Planetary Phys, Scripps Inst Oceanog, San Diego, CA 92103 USA.</t>
  </si>
  <si>
    <t>sasha.ase.carter@gmail.com</t>
  </si>
  <si>
    <t>Fricker, Helen Amanda/0000-0002-0921-1432</t>
  </si>
  <si>
    <t>Antarctic Integrated Systems Science (AISS) program of the National Science Foundation, through the WISSARD project [ANT-0838885]; NASA Cryospheric Sciences program; Directorate For Geosciences; Office of Polar Programs (OPP) [1439774] Funding Source: National Science Foundation</t>
  </si>
  <si>
    <t>Antarctic Integrated Systems Science (AISS) program of the National Science Foundation, through the WISSARD project; NASA Cryospheric Sciences program(National Aeronautics &amp; Space Administration (NASA)); Directorate For Geosciences; Office of Polar Programs (OPP)(National Science Foundation (NSF)NSF - Directorate for Geosciences (GEO))</t>
  </si>
  <si>
    <t>Funding for this research was provided by the Antarctic Integrated Systems Science (AISS) program of the National Science Foundation, through the WISSARD project (grant ANT-0838885) and by the NASA Cryospheric Sciences program.</t>
  </si>
  <si>
    <t>FEB 2</t>
  </si>
  <si>
    <t>10.5194/tc-11-381-2017</t>
  </si>
  <si>
    <t>EM1PM</t>
  </si>
  <si>
    <t>WOS:000395089500001</t>
  </si>
  <si>
    <t>Franco, DC; Signori, CN; Duarte, RTD; Nakayama, CR; Campos, LS; Pellizari, VH</t>
  </si>
  <si>
    <t>Franco, Diego C.; Signori, Camila N.; Duarte, Rubens T. D.; Nakayama, Cristina R.; Campos, Lucia S.; Pellizari, Vivian H.</t>
  </si>
  <si>
    <t>High Prevalence of Gammaproteobacteria in the Sediments of Admiralty Bay and North Bransfield Basin, Northwestern Antarctic Peninsula</t>
  </si>
  <si>
    <t>marine sediments; microbial diversity; bacterial community structure; Antarctica; polar microbiology</t>
  </si>
  <si>
    <t>KING-GEORGE-ISLAND; DEEP-SEA SEDIMENTS; SP-NOV.; GEN.-NOV.; MARINE-SEDIMENTS; CLIMATE-CHANGE; ROSS SEA; COMMUNITIES; DIVERSITY; PSYCHROBACTER</t>
  </si>
  <si>
    <t>Microorganisms dominate most Antarctic marine ecosystems, in terms of biomass and taxonomic diversity, and play crucial role in ecosystem functioning due to their high metabolic plasticity. Admiralty Bay is the largest bay on King George Island (South Shetland Islands, Antarctic Peninsula) and a combination of hydro-oceanographic characteristics (bathymetry, sea ice and glacier melting, seasonal entrance of water masses, turbidity, vertical fluxes) create conditions favoring organic carbon deposition on the seafloor and microbial activities. We sampled surface sediments from 15 sites across Admiralty Bay (100502 m total depth) and the adjacent North Bransfield Basin (6931147 m), and used the amplicon 454-sequencing of 16S rRNA gene tags to compare the bacterial composition, diversity, and microbial community structure across environmental parameters (sediment grain size, pigments and organic nutrients) between the two areas. Marine sediments had a high abundance of heterotrophic Gammaproteobacteria (92.4% and 83.8% inside and outside the bay, respectively), followed by Alphaproteobacteria (2.5 and 5.5%), Firmicutes (1.5 and 1.6%), Bacteroidetes (1.1 and 1.7%), Deltaproteobacteria (0.8 and 2.5%) and Actinobacteria (0.7 and 1.3%). Differences in alpha-diversity and bacterial community structure were found between the two areas, reflecting the physical and chemical differences in the sediments, and the organic matter input.</t>
  </si>
  <si>
    <t>[Franco, Diego C.; Signori, Camila N.; Pellizari, Vivian H.] Univ Sao Paulo, Inst Oceanog, Dept Oceanog Biol, Sao Paulo, Brazil; [Duarte, Rubens T. D.] Univ Fed Santa Catarina, Ctr Ciencias Biol, Florianopolis, SC, Brazil; [Nakayama, Cristina R.] Univ Fed Sao Paulo, Inst Ciencias Ambientais Quim &amp; Farmaceut, Dept Ciencias Ambientais, Diadema, Brazil; [Campos, Lucia S.] Univ Fed Rio de Janeiro, Inst Biol, Dept Zool, Rio De Janeiro, Brazil</t>
  </si>
  <si>
    <t>Universidade de Sao Paulo; Universidade Federal de Santa Catarina (UFSC); Universidade Federal de Sao Paulo (UNIFESP); Universidade Federal do Rio de Janeiro</t>
  </si>
  <si>
    <t>Pellizari, VH (corresponding author), Univ Sao Paulo, Inst Oceanog, Dept Oceanog Biol, Sao Paulo, Brazil.</t>
  </si>
  <si>
    <t>vivianp@usp.br</t>
  </si>
  <si>
    <t>Signori, Camila Negrão/AAQ-4156-2020; Nakayama, Cristina R/R-4318-2017; Duarte, Rubens/AAH-1692-2019; Franco, Diego Castillo/J-6987-2015; Signori, Camila/E-9377-2015; Campos, Lucia/L-9539-2013; Pellizari, Vivian/J-9153-2012</t>
  </si>
  <si>
    <t>Signori, Camila Negrão/0000-0001-5259-9332; Nakayama, Cristina R/0000-0001-9428-585X; Franco, Diego Castillo/0000-0002-0731-9511; Signori, Camila/0000-0001-5259-9332; Campos, Lucia/0000-0002-3648-7450; Duarte, Rubens/0000-0002-9939-3400; Pellizari, Vivian/0000-0003-2757-6352</t>
  </si>
  <si>
    <t>Brazilian National Council for Scientific and Technological Development - CNPq (MABIREH/IPY/CAML) [520293/2006-1]; CAPES-Master's fellowship</t>
  </si>
  <si>
    <t>Brazilian National Council for Scientific and Technological Development - CNPq (MABIREH/IPY/CAML)(Conselho Nacional de Desenvolvimento Cientifico e Tecnologico (CNPQ)); CAPES-Master's fellowship</t>
  </si>
  <si>
    <t>We thank the Brazilian Antarctic Program (PROANTAR). We also thank Dr. Paula F. Gheller and Dr. Thais Corbisier for sharing the environmental data. This work was supported by the Brazilian National Council for Scientific and Technological Development - CNPq (MABIREH/IPY/CAML Project n. 520293/2006-1). DF was supported by the CAPES-Master's fellowship.</t>
  </si>
  <si>
    <t>10.3389/fmicb.2017.00153</t>
  </si>
  <si>
    <t>EJ3UR</t>
  </si>
  <si>
    <t>WOS:000393138100001</t>
  </si>
  <si>
    <t>Czechowski, P; Clarke, LJ; Cooper, A; Stevens, MI</t>
  </si>
  <si>
    <t>Czechowski, Paul; Clarke, Laurence J.; Cooper, Alan; Stevens, Mark I.</t>
  </si>
  <si>
    <t>Synthesis A primer to metabarcoding surveys of Antarctic terrestrial biodiversity</t>
  </si>
  <si>
    <t>biomonitoring; conservation; cryptic taxa; high-throughput sequencing; invasive taxa</t>
  </si>
  <si>
    <t>PCR CYCLE NUMBER; CLIMATE-CHANGE; PYROSEQUENCING ANALYSIS; BIOLOGICAL INVASIONS; EUKARYOTIC DIVERSITY; BIOTIC INTERACTIONS; COMMUNITY ANALYSIS; DNA-POLYMERASE; MIERS VALLEY; DRY VALLEYS</t>
  </si>
  <si>
    <t>Ice-free regions of Antarctica are concentrated along the coastal margins but are scarce throughout the continental interior. Environmental changes, including the introduction of non-indigenous species, increasingly threaten these unique habitats. At the same time, the unique biotic communities subsisting in isolation across the continent are difficult to survey due to logistical constraints, sampling challenges and problems related to the identification of small and cryptic taxa. Baseline biodiversity data from remote Antarctic habitats are still missing for many parts of the continent but are critical to the detection of community changes over time, including newly introduced species. Here we review the potential of standardized (non-specialist) sampling in the field (e.g. from soil, vegetation or water) combined with high-throughput sequencing (HTS) of bulk DNA as a possible solution to overcome some of these problems. In particular, HTS metabarcoding approaches benefit from being able to process many samples in parallel, while workflow and data structure can stay highly uniform. Such approaches have quickly gained recognition and we show that HTS metabarcoding surveys are likely to play an important role in continent-wide biomonitoring of all Antarctic terrestrial habitats.</t>
  </si>
  <si>
    <t>[Czechowski, Paul; Clarke, Laurence J.; Cooper, Alan] Univ Adelaide, Australian Ctr Ancient DNA, Adelaide, SA 5000, Australia; [Czechowski, Paul] Antarctic Biol Res Initiat, 31 Jobson Rd, Bolivar, SA 5110, Australia; [Clarke, Laurence J.] Australian Antarct Div, Channel Highway, Kingston, Tas 7050, Australia; [Clarke, Laurence J.] Univ Tasmania, Antarctic Climate &amp; Ecosyst Cooperat Res Ctr, Private Bag 80, Hobart, Tas 7001, Australia; [Stevens, Mark I.] South Australian Museum, GPO Box 234, Adelaide, SA 5000, Australia; [Stevens, Mark I.] Univ South Australia, Sch Pharm &amp; Med Sci, Adelaide, SA 5000, Australia</t>
  </si>
  <si>
    <t>University of Adelaide; Australian Antarctic Division; University of Tasmania; Antarctic Climate &amp; Ecosystems Cooperative Research Centre (ACE CRC); South Australian Museum; University of South Australia</t>
  </si>
  <si>
    <t>Czechowski, P (corresponding author), Univ Adelaide, Australian Ctr Ancient DNA, Adelaide, SA 5000, Australia.;Czechowski, P (corresponding author), Antarctic Biol Res Initiat, 31 Jobson Rd, Bolivar, SA 5110, Australia.</t>
  </si>
  <si>
    <t>paul.czechowski@abiori.org</t>
  </si>
  <si>
    <t>Cooper, Alan/E-8171-2012; Czechowski, Paul/M-4749-2019; Clarke, Laurence/N-3579-2017</t>
  </si>
  <si>
    <t>Czechowski, Paul/0000-0001-7894-4042; Clarke, Laurence/0000-0002-0844-4453; Cooper, Alan/0000-0002-7738-7851</t>
  </si>
  <si>
    <t>Australian Antarctic Division [2355]; Australian Research Council [LP0991985]; International Post-Graduate Research Scholarship; Australian Research Council [LP0991985] Funding Source: Australian Research Council</t>
  </si>
  <si>
    <t>Australian Antarctic Division; Australian Research Council(Australian Research Council); International Post-Graduate Research Scholarship(Australian Government); Australian Research Council(Australian Research Council)</t>
  </si>
  <si>
    <t>The authors declare no competing interests. The Australian Antarctic Division provided funding under science project 2355 to M.S. The Australian Research Council supported this work through funds from linkage grant LP0991985 to A.C. and M.S. The University of Adelaide supported this project through an International Post-Graduate Research Scholarship to P.C. We thank two anonymous reviewers for helpful comments that improved the manuscript.</t>
  </si>
  <si>
    <t>FEB</t>
  </si>
  <si>
    <t>10.1017/S0954102016000389</t>
  </si>
  <si>
    <t>EN9VA</t>
  </si>
  <si>
    <t>WOS:000396346500002</t>
  </si>
  <si>
    <t>Gavey, R; Carter, L; Liu, JT; Tailing, PJ; Hsu, R; Pope, E; Evans, G</t>
  </si>
  <si>
    <t>Gavey, Rachel; Carter, Lionel; Liu, James T.; Tailing, Peter J.; Hsu, Ray; Pope, Edward; Evans, Graham</t>
  </si>
  <si>
    <t>Frequent sediment density flows during 2006 to 2015, triggered by competing seismic and weather events: Observations from subsea cable breaks off southern Taiwan</t>
  </si>
  <si>
    <t>Cable breaks; Turbidity currents; Hyperpycnal plumes; Earthquakes; Typhoons; Taiwan</t>
  </si>
  <si>
    <t>KAOPING SUBMARINE-CANYON; TURBIDITY CURRENTS; FLUVIAL SEDIMENT; INTERNAL WAVES; EARTHQUAKE; TYPHOON; DISCHARGE; CASCADIA; DELIVERY; RAINFALL</t>
  </si>
  <si>
    <t>At least 17 subsea telecommunications cables cross the Gaoping Canyon and Manila Trench system in the Strait of Luzon between Taiwan and the Philippines. There, cable breaks record rapid (5-16 ms(-1)), long run-out (&gt;300 km) sediment density flows triggered by earthquakes and typhoons. Four major cable-breaking events have occurred in the last decade. In 2006, the Pingtung M-L = 7.0 earthquakes formed up to 3 individual flows, some of which ran-out for up to 460 km. In 2009, Typhoon Morakot generated two sediment flows; the first was triggered by hyperpycnal river discharge, whereas a second flow formed 3 days later, possibly due to failure of recently deposited flood sediment in upper Gaoping Canyon. A flow in 2010 formed during a swarm of ML = 3-5 earthquakes that followed the ML = 6.4 jiashian earthquake. Finally, Typhoon Soudelor of 2015 caused the Gaoping River to form a hyperpycnal plume that failed to break cables at &lt;2600 m depth, but broke at least 6 cables in deeper water. The 2006 Pingtung earthquakes produced the largest sediment flow(s) that produced 22 cable breaks. The other events were less destructive with each causing 6-9 breaks. Sources of the sediment flows varied with the triggering mechanism: those associated with hyperpycnal discharges probably began near the mouth of the Gaoping River. In contrast, earthquake-triggered landslides and subsequent sediment density flows formed anywhere on the adjacent continental margin. Flow speeds generally declined with increased run-out, lower seabed slope and increased channel width. Most variability (7-20 ms(-1)) was observed over the 0.4 degrees-1.0 degrees slopes of Gaoping Canyon but speeds were mainly restricted to 5-8 ms(-1) in the 03 sloping Manila Trench. The 20062015 period of frequent cable-damaging flows is the first for the past two decades or longer. In the absence of evidence for increased seismic or anthropogenic activity, this disruptive period may reflect increased typhoon intensity and fluvial sediment discharge. Such typhoon-related flows may complicate interpretation of palaeo-seismic records derived from turbidites in such settings. (C) 2016 Elsevier B.V. All rights reserved.</t>
  </si>
  <si>
    <t>[Gavey, Rachel; Carter, Lionel] Victoria Univ Wellington, Antarctic Res Ctr, Wellington 6012, New Zealand; [Liu, James T.; Hsu, Ray] Natl Sun Yat Sen Univ, Dept Oceanog, Kaohsiung 80424, Taiwan; [Tailing, Peter J.; Pope, Edward] Natl Oceanog Ctr, European Way, Southampton SO14 37H, Hants, England; [Evans, Graham] EGS Asia Ltd, 1067 Kings Rd, Quarry Bay, Hong Kong, Peoples R China</t>
  </si>
  <si>
    <t>Victoria University Wellington; National Sun Yat Sen University; NERC National Oceanography Centre</t>
  </si>
  <si>
    <t>Carter, L (corresponding author), Victoria Univ Wellington, Antarctic Res Ctr, Wellington 6012, New Zealand.</t>
  </si>
  <si>
    <t>lionel.carter@vuw.ac.nz</t>
  </si>
  <si>
    <t>Liu, James/L-6974-2019; Liu, James/G-7718-2017; Pope, Ed/H-9409-2017</t>
  </si>
  <si>
    <t>Liu, James/0000-0001-7930-1911; Talling, Peter/0000-0001-5234-0398; Gavey, Rachel/0000-0002-1610-1274; Pope, Ed/0000-0002-2090-2971</t>
  </si>
  <si>
    <t>NERC Arctic Research Programme under the project on whether climate change increases the landslide-tsunami risk to the UK [NE/K00008X/1]; NERC [NE/M017540/1, noc010011, NE/N012798/1, NE/K011480/1, NE/M017540/2] Funding Source: UKRI; Natural Environment Research Council [NE/K011480/1, NE/M017540/1, NE/M017540/2, NE/N012798/1, noc010011] Funding Source: researchfish</t>
  </si>
  <si>
    <t>NERC Arctic Research Programme under the project on whether climate change increases the landslide-tsunami risk to the UK; NERC(UK Research &amp; Innovation (UKRI)Natural Environment Research Council (NERC)); Natural Environment Research Council(UK Research &amp; Innovation (UKRI)Natural Environment Research Council (NERC))</t>
  </si>
  <si>
    <t>We express our appreciation to Global Marine Services Ltd., in particular Brian Perrat and Steve Holden, for access to the GMSL cable fault database, which was made under a non-disclosure agreement. The International Cable Protection Committee also assisted through advice on submarine telecommunications cables and the provision of a scholarship for the senior author during the final year of her PhD degree. E. Pope was supported by the NERC Arctic Research Programme under the project on whether climate change increases the landslide-tsunami risk to the UK (NE/K00008X/1). The authors are indebted to the journal reviewers, D.J.W. Piper, A. Bernhardt and an unnamed referee for their insightful and positive comments.</t>
  </si>
  <si>
    <t>FEB 1</t>
  </si>
  <si>
    <t>10.1016/j.margeo.2016.06.001</t>
  </si>
  <si>
    <t>FA0WR</t>
  </si>
  <si>
    <t>WOS:000405157900009</t>
  </si>
  <si>
    <t>Dagleish, MP; Ryan, PG; Girling, S; Bond, AL</t>
  </si>
  <si>
    <t>Dagleish, M. P.; Ryan, P. G.; Girling, S.; Bond, A. L.</t>
  </si>
  <si>
    <t>Clinical Pathology of the Critically Endangered Gough Bunting (Rowettia goughensis)</t>
  </si>
  <si>
    <t>JOURNAL OF COMPARATIVE PATHOLOGY</t>
  </si>
  <si>
    <t>Gough bunting; haematology; parasitology; plasma biochemistry</t>
  </si>
  <si>
    <t>ENTEROCOCCUS-HIRAE; RODENT ERADICATION; MOUSE PREDATION; WILD BIRDS; HOUSE MICE; ISLAND; BACTERIA; RISKS; BRODIFACOUM; INFECTION</t>
  </si>
  <si>
    <t>The Gough bunting (Rowettia goughensis) is indigenous to Gough Island and critically endangered due to predation by invasive house mice (Mus musculus). A planned ecosystem restoration by eradication of house mice via aerially delivered rodenticide requires a reproductively balanced population of Gough buntings being held in captivity to avoid primary and secondary poisoning. To aid disease detection during the period of captivity, Gough buntings (n = 25; five adult females, 15 adult males and five juveniles) were captured, measured and sampled to determine reference ranges for routine haematological and biochemical parameters and to identify any faecal bacterial species and intestinal and haemoparasites. Adult females had significantly higher blood glucose (P = 0.02 and 0.05 for different analyzers) and globulins (P = 0.02) than adult males or juveniles, and juveniles had consistently higher, although not significant, concentrations of creatine kinase. Juveniles had significantly (P = 0.007) more heterophils than adults; eosinophils were rare in adults and absent in juveniles and azurophils were absent from all individuals sampled. No parasite eggs were found in the faeces and no haemoparasites were found in blood smears. Several faecal bacterial species were recorded including Enterococcus spp. (n= 12), Klebsiella spp. (n = 7), Staplylococcus aureus (n = 6), Staplylococcus intermedius (n = 1), Escherichia coli (n = 1) and Pseudomonas spp. (n = 1). No overt clinical or subclinical disease was found in any of the birds examined, which suggests they are suitable for short-term captivity during ecosystem restoration and the data will provide key haematological and biochemical reference ranges for monitoring their health. However, the capture of a reproductively balanced population may require significant effort due to the relative difficulty with which females were caught. (C) 2017 Elsevier Ltd. All rights reserved.</t>
  </si>
  <si>
    <t>[Dagleish, M. P.] Moredun Res Inst, Pentlands Sci Pk, Penicuik, Midlothian, Scotland; [Ryan, P. G.] Univ Cape Town, Percy Fitzpatrick Inst African Ornithol, DST NRF Ctr Excellence, Rondebosch, South Africa; [Girling, S.] Royal Zool Soc Scotland, Edinburgh Zoo, 134 Corstorphine Rd, Edinburgh, Midlothian, Scotland; [Bond, A. L.] Royal Soc Protect Birds, RSPB Ctr Conservat Sci, Sandy, Beds, England</t>
  </si>
  <si>
    <t>Moredun Research Institute; National Research Foundation - South Africa; University of Cape Town; Royal Society for Protection of Birds</t>
  </si>
  <si>
    <t>Dagleish, MP (corresponding author), Moredun Res Inst, Pentlands Sci Pk, Penicuik, Midlothian, Scotland.</t>
  </si>
  <si>
    <t>mark.dagleish@moredun.ac.uk</t>
  </si>
  <si>
    <t>Bond, Alexander L/A-3786-2010</t>
  </si>
  <si>
    <t>Girling, Simon/0000-0001-9927-9491</t>
  </si>
  <si>
    <t>Royal Society for the Protection of Birds; Royal Zoological Society of Scotland; Scottish Government Rural and Environment Science and Analytical Services Division (RESAS)</t>
  </si>
  <si>
    <t>We thank J. Bradley, D. Fox, C. Jones, R. Phillips, M. Risi and C. Taylor for assistance in the field, P. J. N. de Bruyn for providing the fur seal faecal samples, D. Bartley (Moredun Research Institute) for instruction and advice in faecal parasite evaluation techniques and loan of equipment, J. Finlayson (Moredun Research Institute) for staining of blood smears and preparation of equipment, P. Boso and colleagues (Greendale Veterinary Diagnostics Limited, UK) for interpreting the blood smears, C. Underwood (Moredun Research Institute) for histochemical advice, D. Brown (Royal Zoological Society of Scotland) for preparation of equipment and Abaxis UK Ltd. for the generous loan of both blood analyzers. Additional invaluable logistic support was provided by J. Kelly, A. Schofield and C. Stringer (RSPB), and the South African National Antarctic Programme. Finally, we thank the Administrator, Island Council, and Conservation Department of Tristan da Cunha for permission to work on Gough Island. This work was funded by the Royal Society for the Protection of Birds, Royal Zoological Society of Scotland and the Scottish Government Rural and Environment Science and Analytical Services Division (RESAS).</t>
  </si>
  <si>
    <t>0021-9975</t>
  </si>
  <si>
    <t>1532-3129</t>
  </si>
  <si>
    <t>J COMP PATHOL</t>
  </si>
  <si>
    <t>J. Comp. Pathol.</t>
  </si>
  <si>
    <t>FEB-APR</t>
  </si>
  <si>
    <t>2-3</t>
  </si>
  <si>
    <t>10.1016/j.jcpa.2017.01.002</t>
  </si>
  <si>
    <t>Pathology; Veterinary Sciences</t>
  </si>
  <si>
    <t>ES1CV</t>
  </si>
  <si>
    <t>WOS:000399266400016</t>
  </si>
  <si>
    <t>Marinho, RDS; Ramos, CJB; Leite, JPG; Teixeira, VL; Paixo, ICND; Dal Belo, CA; Pereira, AB; Pinto, AMV</t>
  </si>
  <si>
    <t>Souza Marinho, Robson dos Santos; Brito Ramos, Carlos Jose; Gagliard Leite, Jose Paulo; Teixeira, Valeria Laneuville; Nunes de Palmer Paixo, Izabel Christina; Dal Belo, Chariston Andre; Pereira, Antonio Batista; Viana Pinto, Ana Maria</t>
  </si>
  <si>
    <t>Antiviral activity of 7-keto-stigmasterol obtained from green Antarctic algae Prasiola crispa against equine herpesvirus 1</t>
  </si>
  <si>
    <t>Prasiola crispa; Green Antarctic algae; Antiviral activity; Equine herpesvirus 1</t>
  </si>
  <si>
    <t>HERPES-SIMPLEX-VIRUS; ENTRY; REPLICATION; PRODUCTS; SYSTEM; ASSAY</t>
  </si>
  <si>
    <t>The aim of this investigation was to evaluate the in vitro cytotoxic effect and antiviral properties of 7-keto-stigmasterol from the crude extract of the green Antarctic alga Prasiola crispa in dichloromethane against the replication of equine herpesvirus 1 (EHV-1), a worldwide enzootic etiological agent of clinical signs such as abortion, as well as neurological and respiratory diseases. Extract samples were fractionated in silica gel of 70-230 and 230-400 mesh and identified with H-1 and C-13 nuclear magnetic resonance spectroscopy. The cytotoxic effect was assayed with 3-(4,5-dimethylthiazol-2yl)-2,5diphenyl tetrazolium bromide (MTT), neutral red, and violet crystal in rabbit kidney (RK-13) cells treated with 12.5, 25, 50, 100, and 200 mu M of 7-keto-stigmasterol. The CC50 of MTT, neutral red, and violet crystal were 1884 +/- 7.5, 799 +/- 6.7, and 1002 +/- 6.3 mu M, respectively. To characterize the antiviral action of 7-keto-stigmasterol and acyclovir, RK-13 cells were inoculated with 200 plaque-forming units of EHV-1 and treated with 12.5, 25, and 50 mu M of both compounds and the EC50 value (39 +/- 6 mu M) of 7-keto-stigmasterol protected 50 % of RK-13 cells, with a selectivity index of 47, 20, and 26 for MTT, neutral red, and violet crystal, respectively. However, acyclovir showed no antiviral activity on the EHV-1 variant studied. EHV-1 was inactivated by mixing a viral suspension with 1 x 10(4) plaque-forming units with different concentrations of 7-keto-stigmasterol and incubated at room temperature (24 A degrees C) for 1 h; a control of untreated infected cells was performed under the same conditions. The samples were then diluted, and the residual infectivity was determined by a plaque assay. The percentages of EHV-1 inactivation with 7-keto-stigmasterol were 12.5 (51 %), 25 (67 %), 50 (91 %), and 100 mu M (100 %). The inactivation of EHV-1 by direct interaction with 7-keto-stigmasterol probably interferes with EHV-1 attachment to cells with irreversible inactivation of virus infectivity.</t>
  </si>
  <si>
    <t>[Souza Marinho, Robson dos Santos; Viana Pinto, Ana Maria] Univ Fed Fluminense, Inst Biomed, Rua Hernani Melo 101, BR-24210130 Niteroi, RJ, Brazil; [Brito Ramos, Carlos Jose; Teixeira, Valeria Laneuville; Nunes de Palmer Paixo, Izabel Christina] Univ Fed Fluminense, Programa Posgrad Ciencias &amp; Biotecnol, BR-24020141 Niteroi, RJ, Brazil; [Brito Ramos, Carlos Jose; Teixeira, Valeria Laneuville; Nunes de Palmer Paixo, Izabel Christina] Inst Biol, Dept Biol Marinha, Lab Algamar, POB 100-644, BR-24010970 Niteroi, RJ, Brazil; [Brito Ramos, Carlos Jose; Teixeira, Valeria Laneuville; Nunes de Palmer Paixo, Izabel Christina] Univ Fed Fluminense, Lab Virol Mol &amp; Biotecnol Marinha, Programa Posgrad Ciencias &amp; Biotecnol, Dept Biol Celular &amp; Mol,Inst Biol, BR-24020141 Niteroi, RJ, Brazil; [Gagliard Leite, Jose Paulo] Fundacao Oswaldo Cruz, Lab Virol Comparada &amp; Ambiental, Ave Brasil 4365, BR-21040360 Rio De Janeiro, RJ, Brazil; [Dal Belo, Chariston Andre; Pereira, Antonio Batista] Univ Fed Pampa, Ctr Interdisciplinar Pesquisa Biotecnol, Unipampa, BR-97300000 Campus Sao Gabriel, RS, Brazil</t>
  </si>
  <si>
    <t>Universidade Federal Fluminense; Universidade Federal Fluminense; Universidade Federal Fluminense; Fundacao Oswaldo Cruz; Universidade Federal do Pampa</t>
  </si>
  <si>
    <t>Pinto, AMV (corresponding author), Univ Fed Fluminense, Inst Biomed, Rua Hernani Melo 101, BR-24210130 Niteroi, RJ, Brazil.</t>
  </si>
  <si>
    <t>anapintoj26@gmail.com</t>
  </si>
  <si>
    <t>Pinto, Ana Maria Viana/AAH-2080-2019; Paixão, Izabel/S-7490-2019; Pereira, Antonio B/I-8201-2014; LEITE, JOSE PAULO GAGLIARDI/AAY-1230-2020; Marinho, Robson/ABF-9392-2020; Teixeira, Valeria Laneuville/ABI-4837-2020; Teixeira, Valéria L/E-8241-2018; Paixão, Izabel/AAM-1668-2020; Pereira, Antonio/AAD-5703-2019</t>
  </si>
  <si>
    <t>Pereira, Antonio B/0000-0003-0368-4594; Teixeira, Valeria Laneuville/0000-0003-4962-6912; Dos Santos Souza Marinho, Robson/0000-0001-5272-9651</t>
  </si>
  <si>
    <t>Brazil's Conselho Nacional de Desenvolvimento Cientifico e Tecnologico (CNPq); Coordenacao de Aperfeicoamento de Pessoal de Nivel Superior (CAPES); Fundacao de Amparo a Pesquisa do Estado do Rio de Janeiro (FAPERJ); Edital do Programa de Fomento a Pesquisa at the Universidade Federal Fluminense (FOPESQ-UFF); Fundacao Oswaldo Cruz (FIOCRUZ); Pronex-FAPERJ [E-26/110.574/2010]; VLT [301420/2010-6]; ICNPP [303368/2013-6]; CNPq; Cientista do Nosso Estado Fellowship [E-26/103.176/2011, E-26/103.024/2011]; FAPERJ for the Digital Scholarship Center Fellowship [E-26/100.770/2012]; FIOCRUZ; FOPESQ-UFF</t>
  </si>
  <si>
    <t>Brazil's Conselho Nacional de Desenvolvimento Cientifico e Tecnologico (CNPq)(Conselho Nacional de Desenvolvimento Cientifico e Tecnologico (CNPQ)); Coordenacao de Aperfeicoamento de Pessoal de Nivel Superior (CAPES)(Coordenacao de Aperfeicoamento de Pessoal de Nivel Superior (CAPES)); Fundacao de Amparo a Pesquisa do Estado do Rio de Janeiro (FAPERJ)(Fundacao Carlos Chagas Filho de Amparo a Pesquisa do Estado do Rio De Janeiro (FAPERJ)); Edital do Programa de Fomento a Pesquisa at the Universidade Federal Fluminense (FOPESQ-UFF); Fundacao Oswaldo Cruz (FIOCRUZ); Pronex-FAPERJ(Fundacao Carlos Chagas Filho de Amparo a Pesquisa do Estado do Rio De Janeiro (FAPERJ)); VLT; ICNPP; CNPq(Conselho Nacional de Desenvolvimento Cientifico e Tecnologico (CNPQ)); Cientista do Nosso Estado Fellowship; FAPERJ for the Digital Scholarship Center Fellowship(Fundacao Carlos Chagas Filho de Amparo a Pesquisa do Estado do Rio De Janeiro (FAPERJ)); FIOCRUZ; FOPESQ-UFF</t>
  </si>
  <si>
    <t>The authors thank Brazil's Conselho Nacional de Desenvolvimento Cientifico e Tecnologico (CNPq), Coordenacao de Aperfeicoamento de Pessoal de Nivel Superior (CAPES), Fundacao de Amparo a Pesquisa do Estado do Rio de Janeiro (FAPERJ), Edital do Programa de Fomento a Pesquisa at the Universidade Federal Fluminense (FOPESQ-UFF), and Fundacao Oswaldo Cruz (FIOCRUZ) for financial support. All authors would like to express their appreciation to Pronex-FAPERJ (grant no. E-26/110.574/2010). VLT (301420/2010-6) and ICNPP (303368/2013-6) are grateful to CNPq for Productivity Fellowships and to FAPERJ for the Cientista do Nosso Estado Fellowship (E-26/103.176/2011 and E-26/103.024/2011). CSB thanks FAPERJ for the Digital Scholarship Center Fellowship (E-26/100.770/2012), and JPGL, AMVP, and ICNPP are all grateful to FIOCRUZ and FOPESQ-UFF for financial support.</t>
  </si>
  <si>
    <t>10.1007/s10811-016-0946-9</t>
  </si>
  <si>
    <t>EN9UJ</t>
  </si>
  <si>
    <t>WOS:000396344800049</t>
  </si>
  <si>
    <t>Jha, N; Prakash, N; JoshiBirbal, H</t>
  </si>
  <si>
    <t>Jha, Neerja; Prakash, Neeru; JoshiBirbal, Harinam</t>
  </si>
  <si>
    <t>Integrated palaeobotanical and palynological analysis of subsurface Gondwana sedimentary succession (Jurassic-Cretaceous) in Jangareddygudem area, Chintalapudi Sub-basin, South India: Stratigraphical and phytogeographical implications</t>
  </si>
  <si>
    <t>PALAEOWORLD</t>
  </si>
  <si>
    <t>Megafossils; Upper Gondwana; Jurassic Cretaceous; Stratigraphy; Phytogeography</t>
  </si>
  <si>
    <t>GODAVARI VALLEY; EAST ANTARCTICA; EROMANGA BASIN; BREAKUP; SHELF; PALYNOMORPHS; AUSTRALIA; STRATA; QUEENSLAND; PATTERNS</t>
  </si>
  <si>
    <t>Here we present an integrated palaeobotanical and palynological analysis of sub-surface terrestrial deposits of Jangareddygudem area, Chintalapudi Sub-basin, Godavari Graben, India. Plant megafossil impressions and palynomorphs were recovered in the bore core MJR-11 from Jangareddygudem area. Plant megafossils impressions: Equisetites sp., Ptilophyllum acutifolium, Pachypteris indica, Elatocladus jabalpurensis, Pagiophyllum gollapallensis, and Ptilophyllum cutchense are recorded at different depths in the bore core MJR-11. Palynological investigations carried out in these megafossil bearing beds reveal the presence of Coptospora sp., Ceratosporites equalis, Appendicisporites erdtmanii, Biretisporites spectabilis, Cicatricosisporites hughesii, Cicatricosisporites sp., Concavissimisporites sp., Contignisporites cooksoniae, C. fornicatus, C. glebulentus, C. multimuratus, C. psilatus, Converrucosisporites sp., Gleicheniidites sp., Klukisporites scaberis, Plicifera delicata, Balmeiopsis limbatus, Araucariacites australis, A. cooksonii, Callialasporites dampieri, C. monoalasporus, C. segmentatus, C. turbatus, Dacrycarpites australiensis, Podocarpidites ellipticus, Podosporites variabilis, Ciybelosporites stylosus, and Foraminisporis wonthaggiensis. Very rare occurrence of monocolpate, tetracolpate and tricolpate pollen is also recorded. Both plant mega- and microfloral evidences indicate Late Jurrassic Early Cretaceous (Tithonian Valanginian) age for these sediments. A comparative study of present mega and microfossil assemblages with known megafloral and microfloral assemblage from the Upper Gondwana sediments of Godavari and other Indian basins has also been attempted. The floral assemblage clearly indicates the presence of Gangapur sediments in Jangareddygudem area. Similarity of the Antarctic palynofloras with those known from Godavari and other basins on the east coast of India confirms continental reconstructions that show Lambert Graben of East Antarctica to have been contiguous with eastern India prior to Gondwana break-up. The non marine character of the palynomorphs suggests that marine conditions in this region of the Godavari Graben did not develop until at least early Early Cretaceous time. (C) 2016 Elsevier B.V. and Nanjing Institute of Geology and Palaeontology, CAS. All rights reserved.</t>
  </si>
  <si>
    <t>[Jha, Neerja; Prakash, Neeru; JoshiBirbal, Harinam] Birbal Sahni Inst Paleobot, 53 Univ Rd, Lucknow 226007, Uttar Pradesh, India</t>
  </si>
  <si>
    <t>Department of Science &amp; Technology (India); Birbal Sahni Institute of Palaeobotany (BSIP)</t>
  </si>
  <si>
    <t>Jha, N (corresponding author), Birbal Sahni Inst Paleobot, 53 Univ Rd, Lucknow 226007, Uttar Pradesh, India.</t>
  </si>
  <si>
    <t>neerjajha@yahoo.co.uk; neeru_prakash@bsip.res.in; harinamjoshi@yahoo.com</t>
  </si>
  <si>
    <t>1871-174X</t>
  </si>
  <si>
    <t>1875-5887</t>
  </si>
  <si>
    <t>Palaeoworld</t>
  </si>
  <si>
    <t>10.1016/j.palwor.2016.03.002</t>
  </si>
  <si>
    <t>EP3WE</t>
  </si>
  <si>
    <t>WOS:000397311600013</t>
  </si>
  <si>
    <t>Wu, XQ; Tian, QG; Jin, XM; Jiang, P; Qing, C; Cai, J; Zhou, HY</t>
  </si>
  <si>
    <t>Wu Xiao-Qing; Tian Qi-Guo; Jin Xin-Miao; Jiang Peng; Qing Chun; Cai Jun; Zhou Hong-Yan</t>
  </si>
  <si>
    <t>Estimating optical turbulence of atmospheric surface layer at Antarctic Taishan station from meteorological data</t>
  </si>
  <si>
    <t>ACTA PHYSICA SINICA</t>
  </si>
  <si>
    <t>Antarctic astronomy; optical turbulence; estimating method; sensitivity analysis</t>
  </si>
  <si>
    <t>Turbulence intensity in the near-surface layer and its decrease rate with height are closely related to the quality of potential sites. Astronomers have been pursuing a perfect astronomical site to place the large-aperture telescopes. Compared with the best mid-latitude sites, Antarctic plateau inevitably becomes an ideal site for building the nextgeneration large optical and infrared telescopes, which is because of its low infrared sky emission, low atmospheric precipitable water vapour content, low aerosol and dust content of the atmosphere, and light pollution. In this paper, we establish a model of the atmospheric optical turbulence in surface layer, and use it to estimate C-n(2) at Antarctic Taishan station for the first time. The meteorological parameters of the model input are the data measured by a mobile atmospheric parameter measurement system at Antarctic Taishan station from 30 December 2013 to 10 February 2014. The values of C-n(2), estimated by the model and measured by a micro-thermometer, are compared. Sensitivity analysis of the estimation method is also carried out. The measurement results and analyses show that C2n obtained at Taishan station has obvious diurnal variation characteristics, with well-behaved peaks in the daytime and nighttime, and minima near sunrise and sunset. C-n(2) obtained in the nighttime is stronger than that in daytime, more specifically, it is on the order of 2 *10(14)m(2/3). The comparison between model predictions and experimental data demonstrates that it is feasible to estimate C-n(2) in Antarctic by using this model. The biggest differences between C-n(2) values obtained from the model and measurement usually emerge at sunrise and sunset, respectively. Considering the fact that Antarctic atmosphere is in a stable state most of the time, the values of C-n(2) estimated by different nondimensional structure parameter functions are nearly the same. Thus, the measurement accuracy of air temperature difference from one height to another is the main factor that affects the estimated value of C-n(2).</t>
  </si>
  <si>
    <t>[Wu Xiao-Qing; Qing Chun; Cai Jun] Chinese Acad Sci, Anhui Inst Opt &amp; Fine Mech, Key Lab Atmospher Composit &amp; Opt Radiat, Hefei 230031, Peoples R China; [Tian Qi-Guo; Jin Xin-Miao; Jiang Peng; Zhou Hong-Yan] Polar Res Inst China, Shanghai 200136, Peoples R China; [Zhou Hong-Yan] Univ Sci &amp; Technol China, Hefei 230026, Peoples R China; [Qing Chun; Cai Jun] Univ Sci &amp; Technol China, Sci Isl Branch Grad Sch, Hefei 230031, Peoples R China</t>
  </si>
  <si>
    <t>Chinese Academy of Sciences; Hefei Institutes of Physical Science, CAS; Anhui Institute of Optics &amp; Fine Mechanics (AIOFM), CAS; Polar Research Institute of China; Chinese Academy of Sciences; University of Science &amp; Technology of China, CAS; Chinese Academy of Sciences; University of Science &amp; Technology of China, CAS</t>
  </si>
  <si>
    <t>Wu, XQ (corresponding author), Chinese Acad Sci, Anhui Inst Opt &amp; Fine Mech, Key Lab Atmospher Composit &amp; Opt Radiat, Hefei 230031, Peoples R China.</t>
  </si>
  <si>
    <t>xqwu@aiofm.ac.cn</t>
  </si>
  <si>
    <t>qing, chun/0000-0003-2456-1366</t>
  </si>
  <si>
    <t>National Natural Science Foundation of China [41275020, 41576185, 11503023]; Polar Science Innovation Fund for Young Scientists of Polar Research Institute of China [CX20130201]; Shanghai Natural Science Foundation, China [14ZR1444100]; Chinese Polar Environment Comprehensive Investigation and Assessment Programs [CHINARE-2013-02-02, CHINARE-2014-02-03]</t>
  </si>
  <si>
    <t>National Natural Science Foundation of China(National Natural Science Foundation of China (NSFC)); Polar Science Innovation Fund for Young Scientists of Polar Research Institute of China; Shanghai Natural Science Foundation, China(Natural Science Foundation of Shanghai); Chinese Polar Environment Comprehensive Investigation and Assessment Programs</t>
  </si>
  <si>
    <t>Project supported by the National Natural Science Foundation of China (Grant Nos. 41275020, 41576185, 11503023), the Polar Science Innovation Fund for Young Scientists of Polar Research Institute of China (Grant No. CX20130201), the Shanghai Natural Science Foundation, China (Grant No. 14ZR1444100), and the Chinese Polar Environment Comprehensive Investigation and Assessment Programs (Grant Nos. CHINARE-2013-02-02, CHINARE-2014-02-03).</t>
  </si>
  <si>
    <t>CHINESE PHYSICAL SOC</t>
  </si>
  <si>
    <t>P O BOX 603, BEIJING 100080, PEOPLES R CHINA</t>
  </si>
  <si>
    <t>1000-3290</t>
  </si>
  <si>
    <t>ACTA PHYS SIN-CH ED</t>
  </si>
  <si>
    <t>Acta Phys. Sin.</t>
  </si>
  <si>
    <t>10.7498/aps.66.039201</t>
  </si>
  <si>
    <t>Physics, Multidisciplinary</t>
  </si>
  <si>
    <t>Physics</t>
  </si>
  <si>
    <t>EP3RY</t>
  </si>
  <si>
    <t>WOS:000397300600034</t>
  </si>
  <si>
    <t>Li, YM; Tian, LD; Yi, Y; Moore, JC; Sun, SN; Zhao, LY</t>
  </si>
  <si>
    <t>Li, Yemeng; Tian, Lide; Yi, Yang; Moore, John C.; Sun, Sainan; Zhao, Liyun</t>
  </si>
  <si>
    <t>Simulating the evolution of Qiangtang No. 1 Glacier in the central Tibetan Plateau to 2050</t>
  </si>
  <si>
    <t>FULL-STOKES MODEL; SEA-LEVEL RISE; CLIMATE-CHANGE; REGIONAL CLIMATE; HIGH ASIA; MASS; ICE; ENERGY; CHINA; AREA</t>
  </si>
  <si>
    <t>Few simulations of typical Tibetan Plateau glacier response to climate warming have been made, despite the glaciers' importance as water supplies in an arid region. Here we apply a three-dimensional thermomechanically coupled full-Stokes ice dynamics model to simulate the evolution of Qingtang No.1 Glacier, a representative glacier in the central Tibetan Plateau. A degree-day model along with snow temperature and precipitation estimates based on nearby observations are used to estimate surface mass balance (SMB) over the past three decades. The resulting SMB gradients and equilibrium-line altitude (ELA) sensitivity to air temperature are used to parameterize the SMB in the future. We use the ice-flow model to simulate glacier evolution from 2013 to 2050. Simulated within-glacier temperatures and present-day glacier terminus retreat rates are in reasonable agreement with previous observations. Forcing the glacier model with the historical warming trend of 0.035 degrees Ca-1 and a warming projection from the high resolution regional climate model (RegCM3) under the A1B scenario for the period 2013-2050 leads to substantial retreat and ice loss, and large increases (110%-155%) in annual water runoff. Losses of 11%-18% in area and 19%-30% in volume are predicted over the next four decades, with the warmer RegCM3 scenario giving larger rates of loss. Sensitivity of glacier change to the parameters in SMB profiles are also assessed.</t>
  </si>
  <si>
    <t>[Li, Yemeng; Yi, Yang; Moore, John C.; Sun, Sainan; Zhao, Liyun] Beijing Normal Univ, Coll Global Change &amp; Earth Syst Sci, 19 Xinjiekou Wai St, Beijing 100875, Peoples R China; [Tian, Lide] Chinese Acad Sci, Inst Tibetan Plateau Res, Key Lab Tibetan Environm Changes &amp; Land Surface P, 16 Lincui Rd, Beijing 100085, Peoples R China; [Tian, Lide; Moore, John C.] Chinese Acad Sci, CAS Ctr Excellence Tibetan Plateau Earth Sci, 16 Lincui Rd, Beijing 100101, Peoples R China; [Moore, John C.; Zhao, Liyun] Joint Ctr Global Change Studies, 19 Xinjiekou Wai St, Beijing 100875, Peoples R China; [Moore, John C.] Univ Lapland, Arctic Ctr, POB 122, Rovaniemi 96101, Finland</t>
  </si>
  <si>
    <t>Beijing Normal University; Chinese Academy of Sciences; Institute of Tibetan Plateau Research, CAS; Chinese Academy of Sciences; University of Lapland</t>
  </si>
  <si>
    <t>Zhao, LY (corresponding author), Beijing Normal Univ, Coll Global Change &amp; Earth Syst Sci, 19 Xinjiekou Wai St, Beijing 100875, Peoples R China.;Zhao, LY (corresponding author), Joint Ctr Global Change Studies, 19 Xinjiekou Wai St, Beijing 100875, Peoples R China.</t>
  </si>
  <si>
    <t>zhaoliyun@bnu.edu.cn</t>
  </si>
  <si>
    <t>Moore, John C/B-2868-2013</t>
  </si>
  <si>
    <t>Moore, John C/0000-0001-8271-5787</t>
  </si>
  <si>
    <t>National Natural Science Foundation of China [41530748, 41506212]; National Key Science Program for Global Change Research [2015CB953601, 2012CB957702]; China Postdoctoral Science Foundation [212400240]</t>
  </si>
  <si>
    <t>National Natural Science Foundation of China(National Natural Science Foundation of China (NSFC)); National Key Science Program for Global Change Research; China Postdoctoral Science Foundation(China Postdoctoral Science Foundation)</t>
  </si>
  <si>
    <t>This study is supported by National Natural Science Foundation of China (No. 41530748, 41506212), National Key Science Program for Global Change Research (2015CB953601, 2012CB957702), and China Postdoctoral Science Foundation (No. 212400240).</t>
  </si>
  <si>
    <t>10.1657/AAAR0016-008</t>
  </si>
  <si>
    <t>EL9CW</t>
  </si>
  <si>
    <t>Green Published, Bronze, Green Accepted</t>
  </si>
  <si>
    <t>WOS:000394918000001</t>
  </si>
  <si>
    <t>Pérez, CA; Silva, WA; Aravena, JC; Armesto, JJ</t>
  </si>
  <si>
    <t>Perez, Cecilia A.; Silva, Wladimir A.; Aravena, Juan C.; Armesto, Juan J.</t>
  </si>
  <si>
    <t>Limitations and relevance of biological nitrogen fixation during postglacial succession in Cordillera Darwin, Tierra del Fuego, Chile</t>
  </si>
  <si>
    <t>SANTA INES ISLAND; ARCTIC TUNDRA; PHOSPHORUS LIMITATION; ECOSYSTEM DEVELOPMENT; ABIOTIC FACTORS; GLACIER BAY; CYANOBACTERIA; VEGETATION; MOSS; CHRONOSEQUENCES</t>
  </si>
  <si>
    <t>We tested the main hypothesis that nutrient accumulation during late stages of postglacial succession would decrease nutrient limitation of diazotrophic activity. We tested this hypothesis by adding carbon (C), phosphorus (P), and molybdenum (Mo) independently or in combination, and nitrogen (N) only to symbiotic, epiphylls on bryophytes, and free-living diazotrophs in three stages of glacier foreland succession in Cordillera Darwin (55 degrees S), southern South America. Experiments were run in spring 2013 and 2014 and in autumn 2015. Diazotrophic activity (DA) was assessed by the acetylene reduction assay. Results showed no effect of C, P, or Mo added either singly or in combination in the spring incubations. During autumn, DA was enhanced by adding a mix of C, P, and Mo to the symbiotic N-2-fixing Gunnera magellanica from young successional sites, while in the late successional sites, adding C and Mo alone to the diverse bryophyte carpet on the forest floor enhanced DA. Nitrogen added as ammonium sulfate had a strong negative effect on N-2 fixation by free-living diazotrophs in the spring and autumn samples from the late successional site, in the bryophyte carpet from the early successional site (autumn), and in Pseudocyphellaria freycinetii of the midsuccessional site (spring). As in other high-latitude biomes, symbiotic and epiphyllous associations and free-living diazotrophs play a crucial role in the incorporation of new N to postglacial subantarctic forest ecosystems, especially in recently exposed substrates that are strongly limited by nutrient availability in soils. The increasing rates of glacier melting in southern South America is exposing new substrates to microbial colonization, including diazotrophic bacteria. In this environment, largely free of reactive N from atmospheric sources, new ecosystems are rapidly developing on deglaciated surfaces, provided that key elements such as Mo and P and C are present in the substrates.</t>
  </si>
  <si>
    <t>[Perez, Cecilia A.; Silva, Wladimir A.; Armesto, Juan J.] Univ Chile, Fac Ciencias, Inst Ecol &amp; Biodiversidad, Las Palmeras 3425, Santiago, Chile; [Aravena, Juan C.] Univ Magallanes, Inst Patagonia, Ave Bulnes 01890, Punta Arenas, Chile; [Armesto, Juan J.] Pontificia Univ Catolica Chile, Dept Ecol, Alameda 340, Santiago, Chile</t>
  </si>
  <si>
    <t>Universidad de Chile; Universidad de Magallanes; Pontificia Universidad Catolica de Chile</t>
  </si>
  <si>
    <t>Pérez, CA (corresponding author), Univ Chile, Fac Ciencias, Inst Ecol &amp; Biodiversidad, Las Palmeras 3425, Santiago, Chile.</t>
  </si>
  <si>
    <t>cperez@bio.puc.cl</t>
  </si>
  <si>
    <t>Aravena, Juan-Carlos/D-5687-2013; Armesto, Juan J/G-6467-2016</t>
  </si>
  <si>
    <t>Fondecyt [1130353, 1030381]; ICM-MINECON [P05-002]; CONICYT [PFB-23]</t>
  </si>
  <si>
    <t>Fondecyt(Comision Nacional de Investigacion Cientifica y Tecnologica (CONICYT)CONICYT FONDECYT); ICM-MINECON; CONICYT(Comision Nacional de Investigacion Cientifica y Tecnologica (CONICYT))</t>
  </si>
  <si>
    <t>Work supported by the following grants: Fondecyt 1130353 (Perez), Fondecyt 1030381 (Aravena), and ICM-MINECON P05-002 and CONICYT PFB-23 to the Institute of Ecology and Biodiversity, Chile. We are also grateful to the Laboratory of Geobotany at the University of Trier, Germany, for molybdenum analysis. Two anonymous reviewers greatly helped to improve the manuscript.</t>
  </si>
  <si>
    <t>10.1657/AAAR0016-014</t>
  </si>
  <si>
    <t>WOS:000394918000003</t>
  </si>
  <si>
    <t>Cogos, S; Roué, M; Roturier, S</t>
  </si>
  <si>
    <t>Cogos, Sarah; Roue, Marie; Roturier, Samuel</t>
  </si>
  <si>
    <t>Sami place names and, maps: transmitting knowledge of a cultural landscape in contemporary contexts</t>
  </si>
  <si>
    <t>TOPONYMY; SYSTEMS</t>
  </si>
  <si>
    <t>For the Sami people, place names provide the basis for the transmission of a cultural landscape, through an oral way of mapping built around narratives and the designation of specific landmarks. Based on interviews with members of a mountain-based reindeer herding community in Sweden, we found that their transmission is today ensured through continued oral tradition but also by the increasing use of maps. However, because they follow the western cartographic tradition, official maps are unable to express the continual renewal of Sami place names and the land features that are meaningful to the Sami, and thus fail to convey toponymic knowledge. Inscribing place names on maps transforms them into mere labels: toponymic knowledge has to be transmitted along with its context of emergence, situated at the crossroads of cognitive, perceptive, emotional, and social dimensions. There is an urgent need to conceive new forms of cartography that can guarantee the transmission of toponymic knowledge to future generations, maintaining the relationship that binds the Sami to their environment.</t>
  </si>
  <si>
    <t>[Cogos, Sarah; Roturier, Samuel] Univ Paris Saclay, Univ Paris Sud, CNRS, AgroParisTech,Ecol Systemat Evolut, F-91400 Orsay, France; [Roue, Marie] CNRS, Museum Natl Hist Nat, Lab Ecoanthropol &amp; Ethnobiol, MNHN Site Musee Homme,17 Pl Trocadero, F-75016 Paris, France</t>
  </si>
  <si>
    <t>Centre National de la Recherche Scientifique (CNRS); Universite Paris Saclay; AgroParisTech; Universite Paris Cite; Museum National d'Histoire Naturelle (MNHN); Universite Paris Cite; Centre National de la Recherche Scientifique (CNRS)</t>
  </si>
  <si>
    <t>Cogos, S (corresponding author), Univ Paris Saclay, Univ Paris Sud, CNRS, AgroParisTech,Ecol Systemat Evolut, F-91400 Orsay, France.</t>
  </si>
  <si>
    <t>sarah.cogos@u-psud.fr</t>
  </si>
  <si>
    <t>Agence Nationale de la Recherche [ANR-12_SENV-0005]; Agence Nationale de la Recherche (ANR) [ANR-12-SENV-0005] Funding Source: Agence Nationale de la Recherche (ANR)</t>
  </si>
  <si>
    <t>Agence Nationale de la Recherche(Agence Nationale de la Recherche (ANR)); Agence Nationale de la Recherche (ANR)(Agence Nationale de la Recherche (ANR))</t>
  </si>
  <si>
    <t>We are grateful to the members of the Sami reindeer herding communities of Jokkmokk for their patience and their willingness to share their knowledge, and to Sees Editing for correcting the written English. Three anonymous reviewers gave constructive comments that contributed to improving the manuscript. Financial support was provided by the Agence Nationale de la Recherche funded program BRISK (Bridging Indigenous and Scientific Knowledge in the Arctic) (ANR-12_SENV-0005).</t>
  </si>
  <si>
    <t>10.1657/AAAR0016-042</t>
  </si>
  <si>
    <t>WOS:000394918000004</t>
  </si>
  <si>
    <t>Andino, N; Borghi, CE</t>
  </si>
  <si>
    <t>Andino, Natalia; Borghi, Carlos E.</t>
  </si>
  <si>
    <t>Occurrence of Ctenomys mendocinus in a high-altitude cold desert: effect on density, biomass, and fitness of sagebrush plants</t>
  </si>
  <si>
    <t>ECOSYSTEM ENGINEERS; MONTE DESERT; TUCO-TUCOS; FOOD AVAILABILITY; PRAIRIE DOGS; VEGETATION; HERBIVORY; COMMUNITIES; ORGANISMS; RODENTS</t>
  </si>
  <si>
    <t>In arid and semiarid ecosystems, subterranean herbivorous rodents play an important role in determining the composition, function, and structure of plant communities. We hypothesized that in a high-altitude cold desert in the southern Puna region of Argentina, Ctenomys mendocinus (mendocino tuco-tuco), a subterranean herbivorous rodent, may increase dominance of the shrub Artemisia mendozana (sagebrush). We performed an observational study to assess factors affecting the abundance and fitness of A. mendozana in southern Puna, on sites co-inhabited and undisturbed by C. mendocinus. Density, biomass, plant height, number of fruits per plant, number of seeds, and seed size of A. mendozana were higher in mendocino tuco-tuco-disturbed areas. Because the abundance and reproductive ability of sagebrush increase in areas inhabited by mendocino tuco-tucos, C. mendocinus may function as an ecosystem engineer in southern Puna. We suggest further manipulative experimental studies be conducted to clarify the role of this subterranean rodent in this ecosystem.</t>
  </si>
  <si>
    <t>[Andino, Natalia; Borghi, Carlos E.] UNSJ, Fac Ciencias Exactas Fis &amp; Nat, Dept Biol, Interacc Biol Desierto,INTERBIODES, Ave Ignacio de la Roza 590 Oeste,J5402DCS, San Juan, Argentina; [Borghi, Carlos E.] UNSJ, CONICET, CIGEOBIO, Ctr Invest Geosfera &amp; Biosfera, Ave Ignacio de la Roza 590 Oeste,J5402DCS, San Juan, Argentina</t>
  </si>
  <si>
    <t>Andino, N (corresponding author), UNSJ, Fac Ciencias Exactas Fis &amp; Nat, Dept Biol, Interacc Biol Desierto,INTERBIODES, Ave Ignacio de la Roza 590 Oeste,J5402DCS, San Juan, Argentina.</t>
  </si>
  <si>
    <t>nandino@unsj-cuim.edu.ar</t>
  </si>
  <si>
    <t>Andino, Natalia/AAU-3763-2020</t>
  </si>
  <si>
    <t>Borghi, Carlos Eduardo/0000-0002-3726-6000</t>
  </si>
  <si>
    <t>Universidad Nacional de San Juan, Argentina (through CICITCA) [E/339]</t>
  </si>
  <si>
    <t>Universidad Nacional de San Juan, Argentina (through CICITCA)</t>
  </si>
  <si>
    <t>We are indebted to the Reserva Privada Don Carmelo, particularly to Arturo Curatola, for allowing us to use the facilities during fieldwork. We want to sincerely thank Veronica Lahoz and Silvina Bongiovanni for their comments and suggestions on a first draft of our manuscript. The authors would also like to thank the anonymous reviewers for their helpful comments. Nelly Horak assisted us with English editing. This research was partially funded by Universidad Nacional de San Juan, Argentina (through CICITCA grants E/339 to C. E. Borghi).</t>
  </si>
  <si>
    <t>10.1657/AAAR0015-061</t>
  </si>
  <si>
    <t>WOS:000394918000005</t>
  </si>
  <si>
    <t>Emerman, SH</t>
  </si>
  <si>
    <t>Emerman, Steven H.</t>
  </si>
  <si>
    <t>The use of lichenometry for assessment of the destruction and reconstruction of Buddhist sacred walls in LangtangValley, Nepal Himalaya, following the 2015 Gorkha earthquake</t>
  </si>
  <si>
    <t>TSERGO RI LANDSLIDE; SLOPE FAILURE; GROWTH-RATES; GLACIER; VALLEY; FLUCTUATIONS; GLACIATION</t>
  </si>
  <si>
    <t>Mani walls, Buddhist sacred walls constructed of carved blocks, are common in Langtang Valley, Nepal Himalaya. Fieldwork in 2009-2015 documented all 80 mani walls, including all occurrences of the lichen Rhizocarpon geographicum. According to local informants, the mani walls were constructed 400-600 years ago, and the original mani wall was in the village of Ghoratabela. Based on the indirect method, the oldest lichen on a mani wall dated only to 1942, which, within modeling error, was concurrent with the 1934 earthquake, the last major earthquake in Nepal prior to the Gorkha earthquake of 25 April 2015. In November 2015 it was found that 15% of mani walls could not be located and 20% were severely damaged. The original mani wall had apparently been reconstructed 170 m from its previous location. In two severely damaged and three fully intact mani walls, large lichens (12-49 mm) with unhealthy appearance were found that were not previously present. The most likely explanation was that the three intact mani walls had already been reconstructed using previously interior blocks as exterior blocks. This research raises the possibility that many Himalayan religious structures are not the original structures, but are replicates that are reconstructed after natural disasters.</t>
  </si>
  <si>
    <t>[Emerman, Steven H.] Utah Valley Univ, Dept Earth Sci, Orem, UT 84058 USA</t>
  </si>
  <si>
    <t>Utah System of Higher Education; Utah Valley University</t>
  </si>
  <si>
    <t>Emerman, SH (corresponding author), Utah Valley Univ, Dept Earth Sci, Orem, UT 84058 USA.</t>
  </si>
  <si>
    <t>StevenE@uvu.edu</t>
  </si>
  <si>
    <t>Department of Earth Science at Utah Valley University</t>
  </si>
  <si>
    <t>This research was partially supported through the faculty travel funds of the Department of Earth Science at Utah Valley University. The author is grateful to Lhakpa Tsering Sherpa and Ngima Sherpa for translation and other assistance in the field.</t>
  </si>
  <si>
    <t>10.1657/AAAR0016-046</t>
  </si>
  <si>
    <t>WOS:000394918000006</t>
  </si>
  <si>
    <t>Carlson, KM; Coulthard, B; Starzomski, BM</t>
  </si>
  <si>
    <t>Carlson, Kimberly M.; Coulthard, Bethany; Starzomski, Brian M.</t>
  </si>
  <si>
    <t>Autumn snowfall controls the annual radial growth of centenarian whitebark pine (Pinus albicaulis) in the southern Coast Mountains, British Columbia, Canada</t>
  </si>
  <si>
    <t>PACIFIC DECADAL OSCILLATION; NORTHERN ROCKY-MOUNTAINS; WESTERN UNITED-STATES; SUB-ALPINE FIR; TREE-RINGS; CLIMATIC VARIABILITY; CLARK NUTCRACKER; ABIES-LASIOCARPA; BLISTER RUST; TIME-SERIES</t>
  </si>
  <si>
    <t>Whitebark pine (Pinus albicaulis), an endangered keystone alpine tree species, faces multiple threats across its western North American range. Little is known of whitebark pine in the southern Coast Mountains of British Columbia relative to well-studied Rocky Mountain populations, especially with regard to the effects of climate on annual radial growth. Our results indicate centenarian whitebark pine annual radial growth is negatively influenced by the onset of snowfall in the prior autumn. This unusual growth limitation likely stems from the truncation of the prior year growing season and reduced physiological preparedness for growth in the following year. Autumn snowfall is moderated by temperature and the Pacific Decadal Oscillation (PDO), which controls large-scale weather patterns in the study region. Our results are distinct from studies of mature whitebark pine trees in continental populations where growth is typically limited by summer temperature, or occasionally by winter snowfall due to a reliance on snow meltwater during spring/summer. We suggest that predicted warmer and wetter climate and reduced snowpacks in the southern Coast Mountains may benefit the growth of the young population of maritime whitebark pine over the next few decades.</t>
  </si>
  <si>
    <t>[Carlson, Kimberly M.; Starzomski, Brian M.] Univ Victoria, Sch Environm Studies, David Turpin Bldg,3800 Finnerty Rd, Victoria, BC V8P 5C2, Canada; [Coulthard, Bethany] Univ Arizona, Tree Ring Res Lab, 1215 East Lowell St,Box 210045, Tucson, AZ 85721 USA</t>
  </si>
  <si>
    <t>University of Victoria; University of Arizona</t>
  </si>
  <si>
    <t>Carlson, KM (corresponding author), Univ Victoria, Sch Environm Studies, David Turpin Bldg,3800 Finnerty Rd, Victoria, BC V8P 5C2, Canada.</t>
  </si>
  <si>
    <t>carlsonkim@hotmail.com</t>
  </si>
  <si>
    <t>Canada Foundation for Innovation; Natural Sciences and Engineering Research Council of Canada</t>
  </si>
  <si>
    <t>Canada Foundation for Innovation(Canada Foundation for InnovationCGIARSpanish Government); Natural Sciences and Engineering Research Council of Canada(Natural Sciences and Engineering Research Council of Canada (NSERC)CGIAR)</t>
  </si>
  <si>
    <t>This work could not have been completed without the help of many people. We thank two anonymous reviewers for helpful comments on an earlier version of this manuscript. We also thank Katharine Baldwin-Corriveau, Andrew Sheriff, Owen Fitzpatrick, and Guthrie Gloag for help in the field, and Dan Smith for use of laboratory equipment at the University of Victoria Tree Ring Laboratory (UVTRL). Thank you to Kelly Fretwell for her help with the final versions of the figures. We thank the Canada Foundation for Innovation and the Natural Sciences and Engineering Research Council of Canada for funding to Starzomski. We thank BC Parks for access to campsites on the Duffey Lake Road, British Columbia.</t>
  </si>
  <si>
    <t>10.1657/AAAR0016-033</t>
  </si>
  <si>
    <t>WOS:000394918000008</t>
  </si>
  <si>
    <t>Pendleton, SL; Briner, JP; Kaufman, DS; Zimmerman, SR</t>
  </si>
  <si>
    <t>Pendleton, Simon L.; Briner, Jason P.; Kaufman, Darrell S.; Zimmerman, Susan R.</t>
  </si>
  <si>
    <t>Using cosmogenic 10Be exposure dating and lichenometry to constrain Holocene glaciation in the central Brooks Range, Alaska</t>
  </si>
  <si>
    <t>PRODUCTION-RATE CALIBRATION; GLACIER FLUCTUATIONS; MCCALL GLACIER; ARCTIC ALASKA; ICE-AGE; MAXIMUM; USA; DEGLACIATION; PRECIPITATION; NEOGLACIATION</t>
  </si>
  <si>
    <t>We compile new and previously published lichenometric and cosmogenic Be-10 moraine ages to summarize the timing of Holocene glacier expansions in the Brooks Range, Arctic Alaska. Foundational lichenometric studies suggested that glaciers likely grew to their Holocene maxima as early as the middle Holocene, followed by several episodes of moraine building prior to, and throughout, the last millennium. Previously published Be-10 ages on Holocene moraine boulders from the north-central Brooks Range constrain the culmination of maximum Holocene glacier advances between 4.6 ka and 2.6 ka. New Be-10 ages of moraine boulders from two different valleys in the central Brooks Range published here show that maximum Holocene glacial extents in these valleys were reached by 3.5 ka and ca. 2.6 ka, supporting previous studies showing that Holocene maximum, or near-maximum, glacial extents in the Brooks Range occurred prior to the Little Ice Age. However, in-depth reconciliations between glacier extent and local and regional climate are hampered by uncertainties associated with both lichenometry and Be-10 dating.</t>
  </si>
  <si>
    <t>[Pendleton, Simon L.; Briner, Jason P.] Univ Buffalo, Dept Geol, 126 Cooke Hall, Buffalo, NY 14260 USA; [Kaufman, Darrell S.] No Arizona Univ, Sch Earth Sci &amp; Environm Sustainabil, POB 5694, Flagstaff, AZ 86011 USA; [Zimmerman, Susan R.] Lawrence Livermore Natl Lab, Ctr Accelerator Mass Spectrometry, 7000 East Ave, Livermore, CA 94550 USA</t>
  </si>
  <si>
    <t>State University of New York (SUNY) System; State University of New York (SUNY) Buffalo; Northern Arizona University; United States Department of Energy (DOE); Lawrence Livermore National Laboratory</t>
  </si>
  <si>
    <t>Pendleton, SL (corresponding author), Univ Colorado, INSTAAR, UCB 450, Boulder, CO 80309 USA.</t>
  </si>
  <si>
    <t>simon.pendleton@colorado.edu</t>
  </si>
  <si>
    <t>Kaufman, Darrell S/A-2471-2008; Zimmerman, Susan R.H./A-3351-2013; briner, jason/JDM-4641-2023</t>
  </si>
  <si>
    <t>Pendleton, Simon/0000-0002-4491-7764; Zimmerman, Susan/0000-0002-1320-1878</t>
  </si>
  <si>
    <t>National Science Foundation [ARC-1107854, ARC-1107662]; Murie Science and Learning Center Fellowship; SUNY Buffalo grant; Office of Polar Programs (OPP); Directorate For Geosciences [1107662] Funding Source: National Science Foundation</t>
  </si>
  <si>
    <t>National Science Foundation(National Science Foundation (NSF)); Murie Science and Learning Center Fellowship; SUNY Buffalo grant; Office of Polar Programs (OPP); Directorate For Geosciences(National Science Foundation (NSF)NSF - Directorate for Geosciences (GEO))</t>
  </si>
  <si>
    <t>We thank Kathryn Ladig for field assistance; Samuel Kelley, Nicolas Young, Sylvia Choi, and Mathew McClellan for laboratory assistance; Fred Luiszer for ICP measurements; and three reviewers for their helpful suggestions. This work was supported by National Science Foundation grants ARC-1107854 and ARC-1107662 to Briner and Kaufman, respectively, a Murie Science and Learning Center Fellowship and SUNY Buffalo grant to Pendleton. This is Lawrence Livermore National Laboratory contribution LLNL-JRNL-698449.</t>
  </si>
  <si>
    <t>10.1657/AAAR0016-045</t>
  </si>
  <si>
    <t>WOS:000394918000009</t>
  </si>
  <si>
    <t>Baumann, S</t>
  </si>
  <si>
    <t>Baumann, Sabine</t>
  </si>
  <si>
    <t>Comparison of glacier mass balance data in the Tien Shan and Pamir, Central Asia</t>
  </si>
  <si>
    <t>GLOBAL HYDROLOGICAL MODEL; WATER; VARIABILITY; SCALE; GROUNDWATER; CATCHMENT; ACCURACY; BASIN; EARTH</t>
  </si>
  <si>
    <t>Glacier coverage and behavior are heterogeneous across Tien Shan and Pamir due to a climate gradient from west to east. Regional glacier mass balance data have previously been calculated using GRACE and hydrological models with differing results. In this study, in situ mass balance data of glaciers in the Tien Shan and Pamir, measured by the glaciological method between 2004 and 2012, are spatially extrapolated to the total glacier area by arithmetic averaging using (1) unfiltered balance data, and (2) a smoothing filter to the data in a way similar to that done for GRACE data. GRACE and the in situ data are the only methods that measure mass variations directly. A comparison of the extrapolated unfiltered and filtered in situ data is made with the difference between GRACE and the total water storage of the hydrological model Water Global Assessment and Prognosis Global Hydrology Model that represents glacier mass balance. The annual comparison between the extrapolated in situ and GRACE-related data does not fit very well, but the comparison of mass change rates shows quite good agreement. In comparison with GRACE-related results from the literature, the extrapolation of the unfiltered in situ glacier mass data performs best, especially in the Tien Shan.</t>
  </si>
  <si>
    <t>[Baumann, Sabine] Tech Univ Munich, Inst Astron &amp; Phys Geodesy, Arcisstr 21, D-80333 Munich, Germany</t>
  </si>
  <si>
    <t>Technical University of Munich</t>
  </si>
  <si>
    <t>Baumann, S (corresponding author), Tech Univ Munich, Inst Astron &amp; Phys Geodesy, Arcisstr 21, D-80333 Munich, Germany.</t>
  </si>
  <si>
    <t>sabine.baumann@bv.tum.de</t>
  </si>
  <si>
    <t>I want to thank Sarah Abelen and Nadja Petersheim for providing parts of the processing code, Andreas Guntner for providing the WGHM data, and the Technical University of Munich for financial support of the program Chancengleichheit fur Frauen in Forschung and Lehre: Stipendium fur Postdoktorandinnen. Martina Barandun gave valuable comments on the manuscript. Language editing by Sarah Thompson improved the manuscript. I also want to thank the anonymous reviewers and the associated editor for their helpful comments. GLDAS data were received from http://grace.jpl.nasa.gov, which used the Goddard Earth Sciences Data and Information Services Center.</t>
  </si>
  <si>
    <t>10.1657/AAAR0015-076</t>
  </si>
  <si>
    <t>WOS:000394918000010</t>
  </si>
  <si>
    <t>Mukherjee, K; Bolch, T; Goerlich, F; Kutuzov, S; Osmonov, A; Pieczonka, T; Shesterova, I</t>
  </si>
  <si>
    <t>Mukherjee, K.; Bolch, T.; Goerlich, F.; Kutuzov, S.; Osmonov, A.; Pieczonka, T.; Shesterova, I.</t>
  </si>
  <si>
    <t>Surge-type glaciers in the Tien Shan (Central Asia)</t>
  </si>
  <si>
    <t>REMOTE-SENSING DATA; KARAKORAM-HIMALAYA; CIRCULATION PATTERNS; CLIMATE-CHANGE; HEXAGON KH-9; MASS-LOSS; SVALBARD; RUNOFF; HETEROGENEITY; PRECIPITATION</t>
  </si>
  <si>
    <t>Surge-type glaciers have been observed in several mountain ranges of the world. Though Karakoram and Pamir are the hot spots for the occurrence of surge-type glaciers in High Mountain Asia, few surge-type glaciers also exist in Tien Shan. These have not been studied or reported in detail in the recent literature. We have identified 39 surge-type glaciers and five tributary surges in Tien Shan either from available literature or by visual interpretation using available images from the period 1960 until 2014. Out of the 39 glaciers, 9 are confirmed as surge-type, 13 are very probably surge-type, and the remaining are possibly of surge-type. Most of the surge-type glaciers are located in Ak-Shiirak and Central Tien Shan. Compared with the normal glaciers of Tien Shan, the surge-type glaciers are larger, cover higher ranges of elevations, and have shallower slopes. There is no significant difference in aspect. The largest surge events were observed in Central Tien Shan: North Inylchek Glacier (years 1996/1997) and Samoilowich Glacier (years 1992 until 2006) advanced several kilometers. The surge cycle was around 50 years for both of these glaciers. The advance was less pronounced for all other surge-type glaciers during the period ca. 1960-2014. Some of the tributary glaciers behaved differently than the main glaciers in the sense that they continuously advanced during the entire period of our study, whereas the main glaciers have remained stable or retreated.</t>
  </si>
  <si>
    <t>[Mukherjee, K.; Bolch, T.; Goerlich, F.; Pieczonka, T.] Tech Univ Dresden, Inst Cartog, Helmholtzstr 10, D-01069 Dresden, Germany; [Bolch, T.; Goerlich, F.] Univ Zurich, Dept Geog, Winterthurer Str 190, CH-8057 Zurich, Switzerland; [Kutuzov, S.] Russian Acad Sci, Inst Geog, Staromonetniy Pereulok 29, Moscow 119017, Russia; [Osmonov, A.] CAIAG, Timur Frunze Rd 73-2, Bishkek 720027, Kyrgyzstan; [Shesterova, I.] Inst Geog Republ Kazakhstan, Kabanbai Batyr Pushkin Str 67-99, Alma Ata 050010, Kazakhstan</t>
  </si>
  <si>
    <t>Technische Universitat Dresden; University of Zurich; Institute of Geography, Russian Academy of Sciences; Russian Academy of Sciences; Central-Asian Institute for Applied Geosciences (CAIAG); Institute of Geography of the Republic of Kazakhstan</t>
  </si>
  <si>
    <t>Mukherjee, K; Bolch, T (corresponding author), Tech Univ Dresden, Inst Cartog, Helmholtzstr 10, D-01069 Dresden, Germany.;Bolch, T (corresponding author), Univ Zurich, Dept Geog, Winterthurer Str 190, CH-8057 Zurich, Switzerland.</t>
  </si>
  <si>
    <t>mukherjee.kriti@gmail.com; tobias.bolch@geo.uzh.ch; franz.georlich@geo.uzh.ch; s.kutuzov@gmail.com; a.osmonov@caiag.kg; tino.pieczonka@tu-dresden.de; irina_shesterova@mail.ru</t>
  </si>
  <si>
    <t>Bolch, Tobias/ABE-6635-2020; Mukherjee, Kriti/ABB-9229-2020; Kutuzov, Stanislav/A-2775-2013</t>
  </si>
  <si>
    <t>Bolch, Tobias/0000-0002-8201-5059; Mukherjee, Kriti/0000-0002-2290-2676; Kutuzov, Stanislav/0000-0003-2007-0922</t>
  </si>
  <si>
    <t>Deutsche Forschungsgemeinschaft (DFG) [BO 3199/2-1]; project Sustainable Management of River Oases along the Tarim River/China (SuMaRiO) - BMBF [01 LL 0918 B]</t>
  </si>
  <si>
    <t>Deutsche Forschungsgemeinschaft (DFG)(German Research Foundation (DFG)); project Sustainable Management of River Oases along the Tarim River/China (SuMaRiO) - BMBF</t>
  </si>
  <si>
    <t>This work was conducted within the framework of the projects Water Resources in the Aksu-Tarim-River Catchment of Western China and the Effects of Climate Change (AKSU-TARIM) supported by the Deutsche Forschungsgemeinschaft (DFG, Code BO 3199/2-1) and the project Sustainable Management of River Oases along the Tarim River/China (SuMaRiO) funded by BMBF (Code 01 LL 0918 B). We thank V. Kotlyakov (Russian Academy of Sciences) and I. Severskiy (Institut of Geography, Almaty) for the comments and the general support. We are also thankful to the anonymous reviewers whose comments have significantly improved the overall structure and contents of the manuscript.</t>
  </si>
  <si>
    <t>10.1657/AAAR0016-021</t>
  </si>
  <si>
    <t>WOS:000394918000011</t>
  </si>
  <si>
    <t>Smith, SL; Bonnaventure, PP</t>
  </si>
  <si>
    <t>Smith, Sharon L.; Bonnaventure, Philip P.</t>
  </si>
  <si>
    <t>Quantifying surface temperature inversions and their impact on the ground thermal regime at a High Arctic site</t>
  </si>
  <si>
    <t>PERMAFROST PROBABILITY MODEL; NORTHERN BRITISH-COLUMBIA; AIR-TEMPERATURE; SOUTHERN YUKON; CANADA; CLIMATE; WINTER</t>
  </si>
  <si>
    <t>Air and ground temperature data collected at Canadian Forces Station Alert, Nunavut, Canada, have been analyzed to investigate the potential role that air temperature inversions play in influencing the spatial variation of permafrost thermal conditions in coastal areas of the High Arctic. Frequent, persistent air temperature inversions have been documented using a series of weather stations deployed along an elevation gradient inland from the coast. During inversion periods, which may last several days, air temperatures in valley bottoms can be up to 10 degrees C lower than adjacent stations located at elevations 47 to 130 m higher. The occurrence of air temperature inversions during the winter combined with thin snow cover suggest a mechanism explaining the observation of lower winter ground-surface temperatures and colder permafrost conditions in valley bottoms compared to higher elevations.</t>
  </si>
  <si>
    <t>[Smith, Sharon L.] Nat Resources Canada, Geol Survey Canada, 601 Booth St, Ottawa, ON K1A 0E8, Canada; [Bonnaventure, Philip P.] Univ Lethbridge, Dept Geog, 4401 Univ Dr W, Lethbridge, AB T1K 3M4, Canada</t>
  </si>
  <si>
    <t>Natural Resources Canada; Lands &amp; Minerals Sector - Natural Resources Canada; Geological Survey of Canada; University of Lethbridge</t>
  </si>
  <si>
    <t>Smith, SL (corresponding author), Nat Resources Canada, Geol Survey Canada, 601 Booth St, Ottawa, ON K1A 0E8, Canada.</t>
  </si>
  <si>
    <t>Sharon.Smith@canada.ca</t>
  </si>
  <si>
    <t>Natural Resources Canada; Government of Canada's Climate Change Action fund; International PolarYear Program</t>
  </si>
  <si>
    <t>Natural Resources Canada(Natural Resources CanadaCanadian Forest Service); Government of Canada's Climate Change Action fund; International PolarYear Program</t>
  </si>
  <si>
    <t>Support for this research has been provided by Natural Resources Canada and various other sources over the years including the Government of Canada's Climate Change Action fund, Action Plan 2000, and the International PolarYear Program. The continuing support of Department of National Defence and Environment Canada and their staff at CFS Alert is greatly appreciated. Upgrading of instrumentation would not have been possible without the efforts of M. Burgess, A. Taylor,V. Allen, and the late D. Riseborough. Assistance with data processing and analysis was provided by J. Chartrand. Comments by three anonymous reviewers were also helpful in improving the manuscript. ESS Contribution No. 20100445.</t>
  </si>
  <si>
    <t>10.1657/AAAR0016-039</t>
  </si>
  <si>
    <t>WOS:000394918000012</t>
  </si>
  <si>
    <t>Koh, HY; Park, H; Lee, JH; Han, SJ; Sohn, YC; Lee, SG</t>
  </si>
  <si>
    <t>Koh, Hye Yeon; Park, Hyun; Lee, Jun Hyuck; Han, Se Jong; Sohn, Young Chang; Lee, Sung Gu</t>
  </si>
  <si>
    <t>Proteomic and transcriptomic investigations on cold-responsive properties of the psychrophilic Antarctic bacterium Psychrobacter sp PAMC 21119 at subzero temperatures</t>
  </si>
  <si>
    <t>PSEUDOALTEROMONAS-HALOPLANKTIS TAC125; ESCHERICHIA-COLI; GENOME SEQUENCE; SHOCK PROTEINS; COLWELLIA-PSYCHRERYTHRAEA; PERMAFROST BACTERIUM; SIBERIAN PERMAFROST; STRESS-RESPONSE; ARCTICUS 273-4; CSPA-FAMILY</t>
  </si>
  <si>
    <t>Psychrobacter sp. PAMC 21119, isolated from Antarctic permafrost soil, grows and proliferates at subzero temperatures. However, its major mechanism of cold adaptation regulation remains poorly understood. We investigated the transcriptomic and proteomic responses of this species to cold temperatures by comparing profiles at -5 degrees C and 20 degrees C to understand how extreme microorganisms survive under subzero conditions. We found a total of 2,906 transcripts and 584 differentially expressed genes ( twofold, P &lt;0.005) by RNA-seq. Genes for translation, ribosomal structure and biogenesis were upregulated, and lipid transport and metabolism was downregulated at low temperatures. A total of 60 protein spots ( 1.8 fold, P&lt;0.005) showed differential expression on two-dimensional gel electrophoresis and the proteins were identified by mass spectrometry. The most prominent upregulated proteins in response to cold were involved in metabolite transport, protein folding and membrane fluidity. Proteins involved in energy production and conversion, and heme protein synthesis were downregulated. Moreover, isoform exchange of cold-shock proteins was detected at both temperatures. Interestingly, pathways for acetyl-CoA metabolism, putrescine synthesis and amino acid metabolism were upregulated. This study highlights some of the strategies and different physiological states that Psychrobacter sp. PAMC 21119 has developed to adapt to the cold environment in Antarctica.</t>
  </si>
  <si>
    <t>[Koh, Hye Yeon; Park, Hyun; Lee, Jun Hyuck; Han, Se Jong; Lee, Sung Gu] Korea Polar Res Inst, Unit Polar Genom, Incheon, South Korea; [Park, Hyun; Lee, Jun Hyuck; Han, Se Jong; Lee, Sung Gu] Univ Sci &amp; Technol, Dept Polar Sci, Incheon, South Korea; [Koh, Hye Yeon; Sohn, Young Chang] Gangneung Wonju Natl Univ, Dept Marine Mol Biotechnol, Kangnung, South Korea</t>
  </si>
  <si>
    <t>Korea Polar Research Institute (KOPRI); Kangnung Wonju National University</t>
  </si>
  <si>
    <t>Lee, SG (corresponding author), Korea Polar Res Inst, Unit Polar Genom, Incheon, South Korea.;Lee, SG (corresponding author), Univ Sci &amp; Technol, Dept Polar Sci, Incheon, South Korea.</t>
  </si>
  <si>
    <t>holynine@kopri.re.kr</t>
  </si>
  <si>
    <t>Korea Polar Research Institute [PE16070]</t>
  </si>
  <si>
    <t>We thank Dr. Jung-Mo Ahn for his technical assistance in mass spectrometry. This work was supported by a grant from the Korea Polar Research Institute (PE16070). The authors declare no conflict of interest.</t>
  </si>
  <si>
    <t>10.1111/1462-2920.13578</t>
  </si>
  <si>
    <t>EL9XI</t>
  </si>
  <si>
    <t>WOS:000394973000022</t>
  </si>
  <si>
    <t>Graw, JH; Hansen, SE</t>
  </si>
  <si>
    <t>Graw, Jordan H.; Hansen, Samantha E.</t>
  </si>
  <si>
    <t>Upper mantle seismic anisotropy beneath the Northern Transantarctic Mountains, Antarctica from PKS, SKS, and SKKS splitting analysis</t>
  </si>
  <si>
    <t>VICTORIA LAND; ROSS SEA; UPLIFT; DEFORMATION; LITHOSPHERE; PLATE; TRANSITION; ANOMALIES; EVOLUTION; EXTENSION</t>
  </si>
  <si>
    <t>Using data from the new Transantarctic Mountains Northern Network, this study aims to constrain azimuthal anisotropy beneath a previously unexplored portion of the Transantarctic Mountains (TAMs) to assess both past and present deformational processes occurring in this region. Shear-wave splitting parameters have been measured for PKS, SKS, and SKKS phases using the eigenvalue method within the SplitLab software package. Results show two distinct geographic regions of anisotropy within our study area: one behind the TAMs front, with an average fast axis direction of 42638 and an average delay time of 0.960.04 s, and the other within the TAMs near the Ross Sea coastline, with an average fast axis oriented at 51658 and an average delay time of 1.560.08 s. Behind the TAMs front, our results are best explained by a single anisotropic layer that is estimated to be 81-135 km thick, thereby constraining the anisotropic signature within the East Antarctic lithosphere. We interpret the anisotropy behind the TAMs front as relict fabric associated with tectonic episodes occurring early in Antarctica's geologic history. For the coastal stations, our results are best explained by a single anisotropic layer estimated to be 135-225 km thick. This places the anisotropic source within the viscous asthenosphere, which correlates with low seismic velocities along the edge of the West Antarctic Rift System. We interpret the coastal anisotropic signature as resulting from active mantle flow associated with rift-related decompression melting and Cenozoic extension.</t>
  </si>
  <si>
    <t>[Graw, Jordan H.; Hansen, Samantha E.] Univ Alabama, Dept Geol Sci, Tuscaloosa, AL 35487 USA</t>
  </si>
  <si>
    <t>University of Alabama System; University of Alabama Tuscaloosa</t>
  </si>
  <si>
    <t>Graw, JH (corresponding author), Univ Alabama, Dept Geol Sci, Tuscaloosa, AL 35487 USA.</t>
  </si>
  <si>
    <t>jhgraw@crimson.ua.edu</t>
  </si>
  <si>
    <t>National Science Foundation (NSF) [EAR-1063471]; NSF Office of Polar Programs; Department of Energy National Nuclear Security Administration; NSF [ANT-1148982]; Directorate For Geosciences; Office of Polar Programs (OPP) [1148982] Funding Source: National Science Foundation</t>
  </si>
  <si>
    <t>National Science Foundation (NSF)(National Science Foundation (NSF)); NSF Office of Polar Programs(National Science Foundation (NSF)); Department of Energy National Nuclear Security Administration(National Nuclear Security AdministrationUnited States Department of Energy (DOE)); NSF(National Science Foundation (NSF)); Directorate For Geosciences; Office of Polar Programs (OPP)(National Science Foundation (NSF)NSF - Directorate for Geosciences (GEO))</t>
  </si>
  <si>
    <t>We thank the TAMNNET field team responsible for maintaining the instrumentation and for collecting the data used in this study as well as the staff at IRIS-PASSCAL, Ken Borek Air, and McMurdo Station for their logistical and technical support. We also thank Lucia Margheriti and Mickael Bonnin for their constructive comments and critiques that greatly improved this manuscript. Data management handling and archival were provided by the IRIS-DMC. Data are currently under embargo but will become publicly available at the end of 2017. The project's DOI is http://www.fdsn.org/networks/detail/ZJ_2012/. The facilities of the IRIS Consortium are supported by the National Science Foundation (NSF) under cooperative agreement EAR-1063471, the NSF Office of Polar Programs, and the Department of Energy National Nuclear Security Administration. Funding for this research was provided by the NSF (grant ANT-1148982).</t>
  </si>
  <si>
    <t>10.1002/2016GC006729</t>
  </si>
  <si>
    <t>EO5UA</t>
  </si>
  <si>
    <t>WOS:000396757200006</t>
  </si>
  <si>
    <t>Koivurova, T</t>
  </si>
  <si>
    <t>Koivurova, Timo</t>
  </si>
  <si>
    <t>Diplomacy on Ice: Energy and the Environment in the Arctic and the Antarctic.</t>
  </si>
  <si>
    <t>GLOBAL ENVIRONMENTAL POLITICS</t>
  </si>
  <si>
    <t>[Koivurova, Timo] Univ Lapland, Arctic Ctr, Rovaniemi, Finland</t>
  </si>
  <si>
    <t>University of Lapland</t>
  </si>
  <si>
    <t>Koivurova, T (corresponding author), Univ Lapland, Arctic Ctr, Rovaniemi, Finland.</t>
  </si>
  <si>
    <t>Koivurova, Timo/L-4458-2013</t>
  </si>
  <si>
    <t>MIT PRESS</t>
  </si>
  <si>
    <t>ONE ROGERS ST, CAMBRIDGE, MA 02142-1209 USA</t>
  </si>
  <si>
    <t>1526-3800</t>
  </si>
  <si>
    <t>1536-0091</t>
  </si>
  <si>
    <t>GLOBAL ENVIRON POLIT</t>
  </si>
  <si>
    <t>Glob. Environ. Polit.</t>
  </si>
  <si>
    <t>Environmental Studies; International Relations; Political Science</t>
  </si>
  <si>
    <t>Environmental Sciences &amp; Ecology; International Relations; Government &amp; Law</t>
  </si>
  <si>
    <t>EM8GE</t>
  </si>
  <si>
    <t>WOS:000395548700008</t>
  </si>
  <si>
    <t>Schlenczek, O; Fugal, JP; Lloyd, G; Bower, KN; Choularton, TW; Flynn, M; Crosier, J; Borrmann, S</t>
  </si>
  <si>
    <t>Schlenczek, Oliver; Fugal, Jacob P.; Lloyd, Gary; Bower, Keith N.; Choularton, Thomas W.; Flynn, Michael; Crosier, Jonathan; Borrmann, Stephan</t>
  </si>
  <si>
    <t>Microphysical Properties of Ice Crystal Precipitation and Surface-Generated Ice Crystals in a High Alpine Environment in Switzerland</t>
  </si>
  <si>
    <t>MIXED-PHASE CLOUDS; 2-DIMENSIONAL PARTICLE IMAGERY; SOUTH-POLE; WATER-CONTENT; CAP CLOUDS; IMPROVEMENT; INSTRUMENT; EVOLUTION; AIRBORNE; SUMMER</t>
  </si>
  <si>
    <t>During the Cloud and Aerosol Characterization Experiment (CLACE) 2013 field campaign at the High Altitude Research Station Jungfraujoch, Switzerland, optically thin pure ice clouds and ice crystal precipitation were measured using holographic and other in situ particle instruments. For cloud particles, particle images, positions in space, concentrations, and size distributions were obtained, allowing one to extract size distributions classified by ice crystal habit. Small ice crystals occurring under conditions with a vertically thin cloud layer above and a stratocumulus layer approximately 1 km below exhibit similar properties in size and crystal habits as Antarctic/Arctic diamond dust. Also, ice crystal precipitation stemming from midlevel clouds subsequent to the diamond dust event was observed with a larger fraction of ice crystal aggregates when compared with the diamond dust. In another event, particle size distributions could be derived from mostly irregular ice crystals and aggregates, which likely originated from surface processes. These particles show a high spatial and temporal variability, and it is noted that size and habit distributions have only a weak dependence on the particle number concentration. Larger ice crystal aggregates and rosette shapes of some hundred microns in maximum dimension could be sampled as a precipitating cirrostratus cloud passed the site. The individual size distributions for each habit agree well with lognormal distributions. Fitted parameters to the size distributions are presented along with the area-derived ice water content, and the size distributions are compared with other measurements of pure ice clouds made in the Arctic and Antarctic.</t>
  </si>
  <si>
    <t>[Schlenczek, Oliver; Fugal, Jacob P.; Borrmann, Stephan] Johannes Gutenberg Univ Mainz, Max Planck Inst Chem, Particle Chem Dept, Mainz, Germany; [Schlenczek, Oliver; Fugal, Jacob P.; Borrmann, Stephan] Johannes Gutenberg Univ Mainz, Inst Atmospher Phys, Mainz, Germany; [Lloyd, Gary; Bower, Keith N.; Choularton, Thomas W.; Flynn, Michael] Univ Manchester, Ctr Atmospher Sci, Manchester, Lancs, England; [Crosier, Jonathan] Univ Manchester, Natl Ctr Atmospher Sci, Manchester, Lancs, England; [Crosier, Jonathan] Univ Manchester, United Kingdom Ctr Atmospher Sci, Manchester, Lancs, England</t>
  </si>
  <si>
    <t>Johannes Gutenberg University of Mainz; Max Planck Society; Johannes Gutenberg University of Mainz; University of Manchester; University of Manchester; UK Research &amp; Innovation (UKRI); Natural Environment Research Council (NERC); NERC National Centre for Atmospheric Science; University of Manchester</t>
  </si>
  <si>
    <t>Schlenczek, O (corresponding author), Johannes Gutenberg Univ Mainz, Max Planck Inst Chem, Particle Chem Dept, Mainz, Germany.;Schlenczek, O (corresponding author), Johannes Gutenberg Univ Mainz, Inst Atmospher Phys, Mainz, Germany.</t>
  </si>
  <si>
    <t>oliver.schlenczek@mpic.de</t>
  </si>
  <si>
    <t>Crosier, Jonathan/G-8952-2011; Borrmann, Stephan/E-3868-2010</t>
  </si>
  <si>
    <t>Borrmann, Stephan/0000-0002-4774-9380; Choularton, Thomas/0000-0002-0409-4329; Lloyd, Gary/0000-0003-2353-0891; Bower, Keith/0000-0002-9802-3264; Schlenczek, Oliver/0000-0001-7247-465X; Crosier, Jonathan/0000-0002-3086-4729</t>
  </si>
  <si>
    <t>German Research Foundation (DFG) [SPP 1294]; Advanced Grant of the European Research Council (ERC) [321040]</t>
  </si>
  <si>
    <t>German Research Foundation (DFG)(German Research Foundation (DFG)); Advanced Grant of the European Research Council (ERC)(European Research Council (ERC))</t>
  </si>
  <si>
    <t>This work is funded in part by the German Research Foundation (DFG) under SPP 1294 (AMOSIL) and also by an Advanced Grant of the European Research Council (ERC), project 321040 (EXCATRO). Thanks go to Ulrich K. Krieger from ETH Zurich for providing the ceilometer data plus analysis software and also to Matthias Voigt from IPA Mainz for calculating the ECMWF trajectories. We thank the Swiss Meteorological Service (MeteoSwiss) for their permission to use the meteorological data from Jungfraujoch and from the Payerne sounding. We also thank the National Oceanic and Atmospheric Administration (NOAA) for providing the model data used in the vertical profiles. Thanks go also to the International Foundation High Altitude Research Stations Jungfraujoch and Gornergrat (HFSJG) for providing the support for experiments like CLACE 2013. Also, we thank Maria and Urs Otz as well as Joan and Martin Fischer for their assistance during the field experiment. Thanks are given to the three anonymous reviewers for their helpful comments to improve this paper.</t>
  </si>
  <si>
    <t>10.1175/JAMC-D-16-0060.1</t>
  </si>
  <si>
    <t>EL3DT</t>
  </si>
  <si>
    <t>WOS:000394500500011</t>
  </si>
  <si>
    <t>He, J; Winton, M; Vecchi, G; Jia, LW; Rugenstein, M</t>
  </si>
  <si>
    <t>He, Jie; Winton, Michael; Vecchi, Gabriel; Jia, Liwei; Rugenstein, Maria</t>
  </si>
  <si>
    <t>Transient Climate Sensitivity Depends on Base Climate Ocean Circulation</t>
  </si>
  <si>
    <t>MERIDIONAL OVERTURNING CIRCULATION; SEA-LEVEL RISE; SOUTHERN-OCEAN; HEAT UPTAKE; RADIATIVE FEEDBACKS; GLOBAL HEAT; IMPACT; SIMULATIONS; TEMPERATURE; PATTERNS</t>
  </si>
  <si>
    <t>There is large uncertainty in the simulation of transient climate sensitivity. This study aims to understand how such uncertainty is related to the simulation of the base climate by comparing two simulations with the samemodel but in which CO2 is increased from either a preindustrial (1860) or a present-day (1990) control simulation. This allows different base climate ocean circulations that are representative of those in current climate models to be imposed upon a single model. As a result, the model projects different transient climate sensitivities that are comparable to themultimodel spread. The greater warming in the 1990-start run occurs primarily at high latitudes and particularly over regions of oceanic convection. In the 1990-start run, ocean overturning circulations are initially weaker and weaken less from CO2 forcing. As a consequence, there are smaller reductions in the poleward ocean heat transport, leading to less tropical ocean heat storage and less moderated high-latitude surface warming. This process is evident in both hemispheres, with changes in the Atlantic meridional overturning circulation and the Antarctic Bottom Water formation dominating the warming differences in each hemisphere. The high-latitude warming in the 1990-start run is enhanced through albedo and cloud feedbacks, resulting in a smaller ocean heat uptake efficacy. The results highlight the importance of improving the base climate ocean circulation in order to provide a reasonable starting point for assessments of past climate change and the projection of future climate change.</t>
  </si>
  <si>
    <t>[He, Jie; Jia, Liwei] Princeton Univ, Program Atmospher &amp; Ocean Sci, Princeton, NJ 08544 USA; [He, Jie; Winton, Michael; Vecchi, Gabriel; Jia, Liwei] NOAA, Geophys Fluid Dynam Lab, Princeton, NJ USA; [Rugenstein, Maria] ETH, Inst Atmospher &amp; Climate Sci, Zurich, Switzerland</t>
  </si>
  <si>
    <t>National Oceanic Atmospheric Admin (NOAA) - USA; Princeton University; National Oceanic Atmospheric Admin (NOAA) - USA; Swiss Federal Institutes of Technology Domain; ETH Zurich</t>
  </si>
  <si>
    <t>He, J (corresponding author), Princeton Univ, Program Atmospher &amp; Ocean Sci, Princeton, NJ 08544 USA.</t>
  </si>
  <si>
    <t>jie.he@noaa.gov</t>
  </si>
  <si>
    <t>li, jia/GVT-7587-2022; Vecchi, Gabriel/A-2413-2008; He, Jie/Z-1185-2018</t>
  </si>
  <si>
    <t>Vecchi, Gabriel/0000-0002-5085-224X; Rugenstein, Maria/0000-0002-4541-3277; He, Jie/0000-0001-8595-3852</t>
  </si>
  <si>
    <t>visiting research scientist program at the Program in Atmospheric and Oceanic Sciences, Princeton University</t>
  </si>
  <si>
    <t>We thank Jonathan Gregory and Isaac Held for useful discussions and Thomas Delworth for the internal review at Geophysical Fluid Dynamics Laboratory. Thanks also go to Brian Soden and Eui-Seok Chung for providing radiative kernels. Jie He is supported by the visiting research scientist program at the Program in Atmospheric and Oceanic Sciences, Princeton University.</t>
  </si>
  <si>
    <t>10.1175/JCLI-D-16-0581.1</t>
  </si>
  <si>
    <t>EM7WG</t>
  </si>
  <si>
    <t>WOS:000395522400019</t>
  </si>
  <si>
    <t>Chan, WS; Mah, ML; Bay, RC; Talghader, JJ</t>
  </si>
  <si>
    <t>Chan, Wing S.; Mah, Merlin L.; Bay, Ryan C.; Talghader, Joseph J.</t>
  </si>
  <si>
    <t>Long-wavelength optical logging for high-resolution detection of ash layers in glacier ice</t>
  </si>
  <si>
    <t>Antarctica; ash; borehole logging; instrumentation; optics</t>
  </si>
  <si>
    <t>DEEP ICE; DYE 3; STRATIGRAPHY; SCATTERING; SHEET</t>
  </si>
  <si>
    <t>A new instrument for high-resolution optical logging has been built and tested in Antarctica. Its purpose is to obtain records of volcanic products and other scattering features, such as bubbles and impurities, preserved in polar ice sheets, and it achieves this by using long wavelength near-infrared light that is absorbed by the ice before many scattering events occur. Longer wavelengths ensure that the return signal is composed primarily of a single or few backscattering event(s) that limit its spatial spread. The compact optical logger features no components on its body that draw power, which minimizes its size and weight. A prototype of the logger was built and tested at Siple Dome A borehole, and the results were correlated with prior optical logging profiles and records of volcanic products from collected ice core samples.</t>
  </si>
  <si>
    <t>[Chan, Wing S.; Mah, Merlin L.; Talghader, Joseph J.] Univ Minnesota, Dept Elect Engn, 200 Union St SE, Minneapolis, MN 55455 USA; [Bay, Ryan C.] Univ Calif Berkeley, Dept Phys, Berkeley, CA 94720 USA; [Bay, Ryan C.] Univ Calif Berkeley, Space Sci Lab, Berkeley, CA 94720 USA</t>
  </si>
  <si>
    <t>University of Minnesota System; University of Minnesota Twin Cities; University of California System; University of California Berkeley; University of California System; University of California Berkeley</t>
  </si>
  <si>
    <t>Talghader, JJ (corresponding author), Univ Minnesota, Dept Elect Engn, 200 Union St SE, Minneapolis, MN 55455 USA.</t>
  </si>
  <si>
    <t>joey@umn.edu</t>
  </si>
  <si>
    <t>NSF Antarctic Sciences grant [PLR-1142010]</t>
  </si>
  <si>
    <t>NSF Antarctic Sciences grant</t>
  </si>
  <si>
    <t>This work is supported by NSF Antarctic Sciences grant PLR-1142010 under Julie Palais. The authors would like to thank Elizabeth Morton and Josh Goetz from Ice Drilling Design and Operations (IDDO) at the University of Wisconsin for their invaluable support in the field, and Andrei Kurbatov of the Climate Change Institute at the University of Maine for helpful discussions on the topic.</t>
  </si>
  <si>
    <t>10.1017/jog.2016.105</t>
  </si>
  <si>
    <t>EL2FK</t>
  </si>
  <si>
    <t>WOS:000394435300002</t>
  </si>
  <si>
    <t>Jones, RS; Lowe, JJ; Palmer, AP; Eaves, SR; Golledge, NR</t>
  </si>
  <si>
    <t>Jones, R. Selwyn; Lowe, J. John; Palmer, Adrian P.; Eaves, Shaun R.; Golledge, Nicholas R.</t>
  </si>
  <si>
    <t>Dynamics and palaeoclimatic significance of a Loch Lomond Stadial glacier: Coire Ardair, Creag Meagaidh, Western Highlands, Scotland</t>
  </si>
  <si>
    <t>PROCEEDINGS OF THE GEOLOGISTS ASSOCIATION</t>
  </si>
  <si>
    <t>Scotland; Glacier; Moraines; Geomorphology; Sedimentology; Younger Dryas; Paleoclimate</t>
  </si>
  <si>
    <t>YOUNGER DRYAS GLACIATION; ISLE-OF-SKYE; SCOTTISH HIGHLANDS; ICE-SHEET; MONADHLIATH MOUNTAINS; HUMMOCKY MORAINE; EQUILIBRIUM-LINE; CIRQUE GLACIERS; RECONSTRUCTION; CLIMATE</t>
  </si>
  <si>
    <t>The extent, basal conditions and retreat history of a Loch Lomond Stadial glacier are reconstructed based on detailed geomorphological and sedimentological assessment. We present new evidence from the vicinity of Coire Ardair that supports the former existence of a warm-based, locally-fed valley glacier, with probable cold-based ice on the surrounding plateau. This is broadly consistent with modelled creep-dominated flow in the upper catchment and sliding-dominated flow throughout much of the valley. A dense suite of moraines, primarily formed in ice-marginal environments, records a multi-phase recessional history: (1) active and oscillatory retreat; (2) a prolonged ice stillstand; (3) partial ice stagnation with occasional minor readvances; (4) increased oscillatory retreat with a substantial readvance event; and (5) rapid and uninterrupted retreat. We propose that a Coire Ardair glacier responded to sub-centennial scale climate fluctuations, possibly associated with the periodic delivery of warmer air masses to the region, rather than to a single, prominent shift in climate. (C) 2015 The Geologists' Association. Published by Elsevier Ltd. All rights reserved.</t>
  </si>
  <si>
    <t>[Jones, R. Selwyn; Lowe, J. John; Palmer, Adrian P.; Eaves, Shaun R.] Royal Holloway Univ London, Quaternary Res Ctr, Dept Geog, Egham, Surrey, England; [Jones, R. Selwyn; Eaves, Shaun R.; Golledge, Nicholas R.] Victoria Univ Wellington, Antarctic Res Ctr, Wellington, New Zealand</t>
  </si>
  <si>
    <t>University of London; Royal Holloway University London; Victoria University Wellington</t>
  </si>
  <si>
    <t>Jones, RS (corresponding author), Victoria Univ Wellington, Antarctic Res Ctr, Wellington, New Zealand.</t>
  </si>
  <si>
    <t>Richard.S.Jones@vuw.ac.nz</t>
  </si>
  <si>
    <t>Jones, Richard Selwyn/AAJ-3949-2021</t>
  </si>
  <si>
    <t>Jones, Richard Selwyn/0000-0003-2988-0999; Eaves, Shaun/0000-0003-0444-631X; Golledge, Nicholas/0000-0001-7676-8970</t>
  </si>
  <si>
    <t>0016-7878</t>
  </si>
  <si>
    <t>P GEOLOGIST ASSOC</t>
  </si>
  <si>
    <t>Proc. Geol. Assoc.</t>
  </si>
  <si>
    <t>10.1016/j.pgeola.2015.11.004</t>
  </si>
  <si>
    <t>EP7IQ</t>
  </si>
  <si>
    <t>WOS:000397551900006</t>
  </si>
  <si>
    <t>Hochmuth, K; Gohl, K</t>
  </si>
  <si>
    <t>Hochmuth, Katharina; Gohl, Karsten</t>
  </si>
  <si>
    <t>Collision of Manihiki Plateau fragments to accretional margins of northern Andes and Antarctic Peninsula</t>
  </si>
  <si>
    <t>TECTONICS</t>
  </si>
  <si>
    <t>ONTONG JAVA PLATEAU; NORTHWESTERN SOUTH-AMERICA; LARGE IGNEOUS PROVINCES; OCEANIC PLATEAU; SOLOMON-ISLANDS; TECTONIC EVOLUTION; CRUSTAL STRUCTURE; FLAT SUBDUCTION; NEW-ZEALAND; MALAITA</t>
  </si>
  <si>
    <t>The Manihiki Plateau, a large igneous province (LIP), was emplaced in the Early Cretaceous as a single plateau together with the Ontong Java Plateau and the Hikurangi Plateau. Additional to the present Manihiki Plateau, fragments to its northeast and east have been formed. Plate kinematic reconstructions suggest the capturing of these fragments by the Farallon Plate and the Phoenix Plate, respectively. By tracing these fragments, we report a Paleocene collision of the northeastern Manihiki Plateau fragment with the northern South American craton. The northern Andes exhibit multiple terranes of LIP origin. We infer, based on geophysical, petrological, and geochemical data, that the Pinon formation consists of crustal units of the former Manihiki Plateau. An Early Cretaceous collision of the eastern Manihiki Plateau fragment is reconstructed for West Antarctica. The subduction of this fragment in the Palmer Land region can be associated with the so-called Palmer Land Event and a flattening of the subduction slab. By reconstructing the dispersal of the fragments of the Manihiki Plateau, we provide a deeper insight in the possible subduction scenarios and buildup of the accretional margins of the northern Andes and the Antarctic Peninsula.</t>
  </si>
  <si>
    <t>[Hochmuth, Katharina; Gohl, Karsten] Alfred Wegener Inst Helmholtz Zentrum Polar &amp; Mee, Bremerhaven, Germany</t>
  </si>
  <si>
    <t>Hochmuth, K (corresponding author), Alfred Wegener Inst Helmholtz Zentrum Polar &amp; Mee, Bremerhaven, Germany.</t>
  </si>
  <si>
    <t>Katharina.Hochmuth@awi.de</t>
  </si>
  <si>
    <t>Gohl, Karsten/0000-0002-9558-2116; Hochmuth, Katharina/0000-0003-2789-2179</t>
  </si>
  <si>
    <t>German Federal Ministry of Education and Research (BMBF) [03G0224A]; institutional resources of the AWI</t>
  </si>
  <si>
    <t>German Federal Ministry of Education and Research (BMBF)(Federal Ministry of Education &amp; Research (BMBF)); institutional resources of the AWI</t>
  </si>
  <si>
    <t>This project contributes to the Workpackage 3.2 of the AWI Research Program PACES-II. This project has been funded through a grant by the German Federal Ministry of Education and Research (BMBF) under project 03G0224A, associated with the R/V Sonne cruise SO-224 to the Manihiki Plateau led by Gabriele Uenzelmann-Neben. Additional funds were provided by institutional resources of the AWI. We thank Graeme Eagles, Robert Larter, Bryan Davy, and Paul Mann for their helpful discussion input to this paper. We also like to thank the two anonymous reviewers and the Associate Editor, Claudio Faccenna, for their helpful reviews and comments. GPlates 1.5, developed by the University of Sydney, California Institute of Technology, Geological Survey of Norway, and University of Oslo, was used for the plate kinematic reconstruction (www.gplates.org). Most of the figures were prepared with GMT5.</t>
  </si>
  <si>
    <t>0278-7407</t>
  </si>
  <si>
    <t>1944-9194</t>
  </si>
  <si>
    <t>Tectonics</t>
  </si>
  <si>
    <t>10.1002/2016TC004333</t>
  </si>
  <si>
    <t>EO6SK</t>
  </si>
  <si>
    <t>WOS:000396822600004</t>
  </si>
  <si>
    <t>Nigro, MA; Cassano, JJ; Wille, J; Bromwich, DH; Lazzara, MA</t>
  </si>
  <si>
    <t>Nigro, Melissa A.; Cassano, John J.; Wille, Jonathan; Bromwich, David H.; Lazzara, Matthew A.</t>
  </si>
  <si>
    <t>A Self-Organizing-Map-Based Evaluation of the Antarctic Mesoscale Prediction System Using Observations from a 30-m Instrumented Tower on the Ross Ice Shelf, Antarctica</t>
  </si>
  <si>
    <t>ATMOSPHERIC BOUNDARY-LAYER; POLAR WEATHER RESEARCH; LOW-LEVEL JETS; WRF MODEL; PART I; SURFACE; PARAMETERIZATION; PLATEAU; LAND; AMPS</t>
  </si>
  <si>
    <t>Accurate representation of the stability of the surface layer in numerical weather prediction models is important because of the impact it has on forecasts of surface energy, moisture, and momentum fluxes. It also impacts boundary layer processes such as the generation of turbulence, the creation of near-surface flows, and fog formation. This paper uses observations from a 30-m automatic weather station on the Ross Ice Shelf, Antarctica, to evaluate the near-surface layer in the Antarctic Mesoscale Prediction System (AMPS), a numerical weather prediction systemused for forecasting inAntarctica. Themethod of self-organizingmaps (SOM) is used to identify characteristic potential temperature anomaly profiles observed at the 30-m tower. The SOM-identified profiles are then used to evaluate the performance of AMPS as a function of atmospheric stability. The results indicate AMPS underpredicts the frequency of near-neutral profiles and instead overpredicts the frequency of weakly unstable and weak to moderately stable profiles. AMPS does not forecast the strongest statically stable patterns observed by Tall Tower, but in the median, the AMPS forecasts are more statically stable across all wind speeds, indicating a possible mechanical mixing error or a negative radiation bias. The SOM analysis identifies a negative radiation bias under near-neutral to weakly stable conditions, causing an overrepresentation of the static stability in AMPS. AMPS has a positive wind speed bias in moderate to strongly stable conditions, which generates too much mechanical mixing and an underrepresentation of the static stability. Model errors increase with increasing atmospheric stability.</t>
  </si>
  <si>
    <t>[Nigro, Melissa A.; Cassano, John J.] Univ Colorado, Cooperat Inst Res Environm Sci, Boulder, CO 80309 USA; [Nigro, Melissa A.; Cassano, John J.] Univ Colorado, Dept Atmospher &amp; Ocean Sci, Boulder, CO 80309 USA; [Wille, Jonathan; Bromwich, David H.] Ohio State Univ, Polar Meteorol Grp, Byrd Polar &amp; Climate Res Ctr, Columbus, OH 43210 USA; [Bromwich, David H.] Ohio State Univ, Dept Geog, Atmospher Sci Program, Columbus, OH 43210 USA; [Lazzara, Matthew A.] Univ Wisconsin, Antarctic Meteorites Res Ctr, Space Sci &amp; Engn Ctr, Madison, WI USA; [Lazzara, Matthew A.] Madison Area Tech Coll, Sch Arts &amp; Sci, Dept Phys Sci, Madison, WI USA</t>
  </si>
  <si>
    <t>University of Colorado System; University of Colorado Boulder; University of Colorado System; University of Colorado Boulder; University System of Ohio; Ohio State University; University System of Ohio; Ohio State University; University of Wisconsin System; University of Wisconsin Madison</t>
  </si>
  <si>
    <t>Nigro, MA (corresponding author), Univ Colorado, Cooperat Inst Res Environm Sci, Boulder, CO 80309 USA.;Nigro, MA (corresponding author), Univ Colorado, Dept Atmospher &amp; Ocean Sci, Boulder, CO 80309 USA.</t>
  </si>
  <si>
    <t>melissa.nigro@colorado.edu</t>
  </si>
  <si>
    <t>Wille, Jonathan/KFQ-5871-2024; Cassano, John/HKW-8817-2023</t>
  </si>
  <si>
    <t>CASSANO, JOHN/0000-0003-3176-3978; Lazzara, Matthew/0000-0002-4343-498X</t>
  </si>
  <si>
    <t>NSF [ANT-0943952, ANT-0944018, ANT-1245663, ANT-1245737]; UCAR AMPS Grant [GRT 0032749]; Office of Polar Programs (OPP); Directorate For Geosciences [1245663, 1245737] Funding Source: National Science Foundation</t>
  </si>
  <si>
    <t>NSF(National Science Foundation (NSF)); UCAR AMPS Grant; Office of Polar Programs (OPP); Directorate For Geosciences(National Science Foundation (NSF)NSF - Directorate for Geosciences (GEO))</t>
  </si>
  <si>
    <t>We thank Linda Keller, David Mikolajczyk, Jonathan Thom, George Weidner, and Lee Welhouse from the University of Wisconsin-Madison for help with the Tall Tower AWS. This work was funded by NSF Grants ANT-0943952, ANT-0944018, ANT-1245663, and ANT-1245737, as well as UCAR AMPS Grant GRT 0032749. We thank the three reviewers for their comments, which were used to improve this manuscript.</t>
  </si>
  <si>
    <t>10.1175/WAF-D-16-0084.1</t>
  </si>
  <si>
    <t>EM8JN</t>
  </si>
  <si>
    <t>WOS:000395557500015</t>
  </si>
  <si>
    <t>Lorenzale, M; López-Unzu, MA; Fernández, MC; Durán, AC; Fernández, B; Soto-Navarre, MT; Sans-Coma, V</t>
  </si>
  <si>
    <t>Lorenzale, Miguel; Lopez-Unzu, Miguel A.; Carmen Fernandez, M.; Duran, Ana C.; Fernandez, Borja; Teresa Soto-Navarre, M.; Sans-Coma, Valentin</t>
  </si>
  <si>
    <t>Anatomical, histochemical and immunohistochemical characterisation of the cardiac outflow tract of the silver arowana, Osteoglossum bicirrhosum (Teleostei: Osteoglossiformes)</t>
  </si>
  <si>
    <t>ZOOLOGY</t>
  </si>
  <si>
    <t>Heart; Bulbus arteriosus; Conus arteriosus; Heart pigmentation; Osteoglossum bicirrhosum</t>
  </si>
  <si>
    <t>ACIPENSER-NACCARII HEART; SEABREAM SPARUS-AURATUS; TUNA THUNNUS-ALBACARES; BULBUS ARTERIOSUS; CONUS ARTERIOSUS; EVOLUTIONARY SIGNIFICANCE; POLYPTERUS-SENEGALUS; ANTARCTIC TELEOSTS; GRAY BICHIR; VALVES</t>
  </si>
  <si>
    <t>The cardiac outflow tract of chondrichthyans and actinopterygians is composed of a myocardial conus arteriosus and a non-myocardial bulbus arteriosus. In teleosts, the conus has been subjected to a reduction in size over the evolution in conjunction with the further development of the bulbus. Most studies on the outflow tract of the teleost heart refer to species of modern groups and are mainly devoted to the bulbus. Knowledge on the outflow tract of species belonging to early teleost groups is scarce. The aim here was to characterise the structure of the cardiac outflow tract of the silver arowana, a representative of the ancient teleost Glade of the Osteoglossomorpha. The material consisted of hearts from six juvenile animals. The cardiac outflow tract of the silver arowana is composed of a conus, which supports two conal valves, and a bulbus. Both components are lined externally by the epicardium and internally by the endocardium. The conus is immunoreactive to antibodies against myosin heavy chains and is composed of compact myocardium, thus contrasting with the ventricle, which has exclusively trabeculated myocardium. The bulbus is immunoreactive to antibodies against smooth muscle et-actin and mainly consists of elastic fibres and smooth muscle cells, both arranged in three layers, outer, middle and inner. The most remarkable feature of the bulbus is the presence of two prominent longitudinal ridges, dorsal and ventral, at the luminal side, which serve to anchor the commissures of the conal valves. This arrangement has not been described so far in any fish species. Pigment cells, presumably of neural crest origin, are present in the subepicardium of the bulbus and anterior part of the ventricle. (C) 2016 Elsevier GmbH. All rights reserved.</t>
  </si>
  <si>
    <t>[Lorenzale, Miguel; Lopez-Unzu, Miguel A.; Carmen Fernandez, M.; Duran, Ana C.; Fernandez, Borja; Teresa Soto-Navarre, M.; Sans-Coma, Valentin] Univ Malaga, Fac Sci, Dept Anim Biol, Campus Teatinos S-N, Malaga 29071, Spain; [Carmen Fernandez, M.; Duran, Ana C.; Fernandez, Borja; Sans-Coma, Valentin] Univ Malaga, IBIMA, Biomed Res Inst Malaga, Malaga 29071, Spain</t>
  </si>
  <si>
    <t>Universidad de Malaga; Universidad de Malaga; Instituto de Investigacion Biomedica de Malaga y Plataforma en Nanomedicina (IBIMA)</t>
  </si>
  <si>
    <t>Sans-Coma, V (corresponding author), Univ Malaga, IBIMA, Biomed Res Inst Malaga, Malaga 29071, Spain.</t>
  </si>
  <si>
    <t>sanscoma@uma.es</t>
  </si>
  <si>
    <t>López-Unzu, Miguel A./B-5911-2017; Corujo, Francisco Borja Fernández/AAG-8258-2020; /AAG-9282-2020</t>
  </si>
  <si>
    <t>López-Unzu, Miguel A./0000-0002-8538-0713; Corujo, Francisco Borja Fernández/0000-0001-9179-910X; Duran Boyero, Ana Carmen/0000-0002-3293-9384; Fernandez, M. Carmen/0000-0002-9051-8668</t>
  </si>
  <si>
    <t>Ministerio de Economia y Competitividad (Spain) [CGL2014-52356-P]; FEDER funds; Ministerio de Educacion, Cultura y Deporte, Madrid, Espana [FPU15/03209]</t>
  </si>
  <si>
    <t>Ministerio de Economia y Competitividad (Spain)(Spanish Government); FEDER funds(European Union (EU)); Ministerio de Educacion, Cultura y Deporte, Madrid, Espana</t>
  </si>
  <si>
    <t>This study was partially funded by Grant CGL2014-52356-P from the Ministerio de Economia y Competitividad (Spain) and FEDER funds. Miguel A. Lopez-Unzu is the recipient of fellowship FPU15/03209 (Ministerio de Educacion, Cultura y Deporte, Madrid, Espana). The authors would like to thank Dr. Francisco David Navas (Malaga) for assistance in obtaining the photographs with the light and confocal microscopes, Mr. Gregorio Martin (Malaga) for assistance in operating the scanning electron microscope, and Mr. Luis Vida (Malaga) for technical assistance. We are very grateful to the reviewers for their helpful comments.</t>
  </si>
  <si>
    <t>ELSEVIER GMBH, URBAN &amp; FISCHER VERLAG</t>
  </si>
  <si>
    <t>JENA</t>
  </si>
  <si>
    <t>OFFICE JENA, P O BOX 100537, 07705 JENA, GERMANY</t>
  </si>
  <si>
    <t>0944-2006</t>
  </si>
  <si>
    <t>10.1016/j.zool.2016.09.004</t>
  </si>
  <si>
    <t>EO8TZ</t>
  </si>
  <si>
    <t>WOS:000396964700002</t>
  </si>
  <si>
    <t>Post, AL; Lavoie, C; Domack, EW; Leventer, A; Shevenell, A; Fraser, AD</t>
  </si>
  <si>
    <t>Post, Alexandra L.; Lavoie, Caroline; Domack, Eugene W.; Leventer, Amy; Shevenell, Amelia; Fraser, Alexander D.</t>
  </si>
  <si>
    <t>NBP 14-02 Sci Team</t>
  </si>
  <si>
    <t>Environmental drivers of benthic communities and habitat heterogeneity on an East Antarctic shelf</t>
  </si>
  <si>
    <t>benthic habitats; benthic megafauna; biophysical relationships; dropstones; marine protected area; substrate type</t>
  </si>
  <si>
    <t>WEDDELL SEA; BIODIVERSITY; OCEAN; DIVERSITY; LAZAREV</t>
  </si>
  <si>
    <t>This study presents the first analysis of benthic megafauna and habitats from the Sabrina Coast shelf, encompassing a proposed Marine Protected Area. Sea bed imagery indicated an abundant benthic fauna compared to other parts of the Antarctic shelf, dominated by brittle stars, polychaete tubeworms, and a range of other sessile and mobile taxa. The distribution of taxa was related (rho = 0.592, P &lt; 0.001) to variations in water depth, latitude, substrate type and phytodetritus. High phytodetritus cover was associated with muddy/sandy sediments and abundant holothurians and amphipods, while harder substrates hosted abundant brachiopods, hard bryozoans, polychaete tubeworms, massive and encrusting sponges, and sea whips. Brittle stars, irregular urchins and anemones were ubiquitous. Variations in substrate largely reflected the distribution of dropstones, creating fine-scale habitat heterogeneity. Several taxa were found only on hard substrates, and their broad regional distribution indicated that the density of dropstones was sufficient for most sessile invertebrates to disperse across the region. The hexactinellid sponge Anoxycalyx joubini and branching hydrocorals exhibited a more restricted distribution, probably related to water depth and limited dispersal capability, respectively. Dropstones were associated with significant increases in taxa diversity, abundance and biological cover, enhancing the overall diversity and biomass of this ecosystem.</t>
  </si>
  <si>
    <t>[Post, Alexandra L.] Geosci Australia, GPO Box 378, Canberra, ACT 2601, Australia; [Lavoie, Caroline] Univ Aveiro, Dept Geosci CESAM, P-3810193 Aveiro, Portugal; [Domack, Eugene W.; Shevenell, Amelia] Univ S Florida, Coll Marine Sci, St Petersburg, FL 33701 USA; [Leventer, Amy] Colgate Univ, Dept Geol, Hamilton, NY 13346 USA; [Fraser, Alexander D.] Univ Tasmania, Antarctic Climate Ecosyst Cooperat Res Ctr, Private Bag 80, Hobart, Tas 7001, Australia; [Fraser, Alexander D.] Hokkaido Univ, Inst Low Temp Sci, Kita Ku, Kita 19,Nishi 8, Sapporo, Hokkaido 0600819, Japan</t>
  </si>
  <si>
    <t>Geoscience Australia; Universidade de Aveiro; State University System of Florida; University of South Florida; Colgate University; University of Tasmania; Antarctic Climate &amp; Ecosystems Cooperative Research Centre (ACE CRC); Hokkaido University</t>
  </si>
  <si>
    <t>Post, AL (corresponding author), Geosci Australia, GPO Box 378, Canberra, ACT 2601, Australia.</t>
  </si>
  <si>
    <t>alix.post@ga.gov.au</t>
  </si>
  <si>
    <t>Fraser, Alexander/AFO-7186-2022; Shevenell, Amelia E/C-2757-2015</t>
  </si>
  <si>
    <t>Fraser, Alexander/0000-0003-1924-0015; Post, Alexandra/0000-0002-6287-3283; Leventer, Amy/0000-0001-9401-0987</t>
  </si>
  <si>
    <t>NSF [ANT-1143834, 1143836, 1143837, 1143843, 1313826]; Office of Polar Programs (OPP); Directorate For Geosciences [1143843] Funding Source: National Science Foundation; Office of Polar Programs (OPP); Directorate For Geosciences [1143837, 1143836, 1313826] Funding Source: National Science Foundation</t>
  </si>
  <si>
    <t>Our thanks to the captain, crew and USAP Nathaniel B. Palmer NPB 14-02 Shipboard Science Party. A special thanks to the ASC staff, including Barry Bjork and Sheldon Blackman, for their technical assistance in setting up and repairing the ' yoyo ' camera. We thank Rachel Downey, Rachel Przeslawski and Andrew Carroll for assistance with biological identifications, and Andrew Carroll and Floyd Howard for their comments on an earlier version of the manuscript. Jackie Grebmeier and an anonymous reviewer are thanked for their constructive reviews. This project was supported by NSF Office of Polar Programs grants ANT-1143834, 1143836, 1143837, 1143843 and 1313826. ALP publishes with the permission of the Chief Executive Officer, Geoscience Australia.</t>
  </si>
  <si>
    <t>10.1017/S0954102016000468</t>
  </si>
  <si>
    <t>WOS:000396346500003</t>
  </si>
  <si>
    <t>Sanclements, MD; Smith, HJ; Foreman, CM; Tedesco, M; Chin, YP; Jaros, C; Mcknight, DM</t>
  </si>
  <si>
    <t>Sanclements, Michael D.; Smith, Heidi J.; Foreman, Christine M.; Tedesco, Marco; Chin, Yu-Ping; Jaros, Christopher; Mcknight, Diane M.</t>
  </si>
  <si>
    <t>Biogeophysical properties of an expansive Antarctic supraglacial stream</t>
  </si>
  <si>
    <t>Antarctica; DOM; glacial; hydrology; McMurdo Dry Valleys</t>
  </si>
  <si>
    <t>MCMURDO DRY VALLEYS; ORGANIC-MATTER; TAYLOR VALLEY; GEOCHEMISTRY; EVOLUTION; GLACIER</t>
  </si>
  <si>
    <t>Supraglacial streams are important hydrologic features in glaciated environments as they are conduits for the transport of aeolian debris, meltwater, solutes and microbial communities. We characterized the basic geomorphology, hydrology and biogeochemistry of the Cotton Glacier supraglacial stream located in the McMurdo Dry Valleys of Antarctica. The distinctive geomorphology of the stream is driven by accumulated aeolian sediment from the Transantarctic Mountains, while solar radiation and summer temperatures govern melt in the system. The hydrologic functioning of the Cotton Glacier stream is largely controlled by the formation of ice dams that lead to vastly different annual flow regimes and extreme flushing events. Stream water is chemically dilute and lacks a detectable humic signature. However, the fluorescent signature of dissolved organic matter (DOM) in the stream does demonstrate an extremely transitory red-shifted signal found only in near-stream sediment leachates and during the initial flushing of the system at the onset of flow. This suggests that episodic physical flushing drives pulses of DOM with variable quality in this stream. This is the first description of a large Antarctic supraglacial stream and our results provide evidence that the hydrology and geomorphology of supraglacial streams drive resident microbial community composition and biogeochemical cycling.</t>
  </si>
  <si>
    <t>[Sanclements, Michael D.; Jaros, Christopher; Mcknight, Diane M.] Univ Colorado Boulder, IINSTAAR, Boulder, CO 80309 USA; [Smith, Heidi J.; Foreman, Christine M.] Montana State Univ, Bozeman, MT 59717 USA; [Tedesco, Marco] CUNY, New York, NY 10031 USA; [Chin, Yu-Ping] Ohio State Univ, Columbus, OH 43210 USA</t>
  </si>
  <si>
    <t>University of Colorado System; University of Colorado Boulder; Montana State University System; Montana State University Bozeman; City University of New York (CUNY) System; University System of Ohio; Ohio State University</t>
  </si>
  <si>
    <t>Sanclements, MD (corresponding author), Univ Colorado Boulder, IINSTAAR, Boulder, CO 80309 USA.</t>
  </si>
  <si>
    <t>michael.sanclements@colorado.edu</t>
  </si>
  <si>
    <t>SanClements, Michael/0000-0002-1962-3561</t>
  </si>
  <si>
    <t>NSF [OPP-0338260, OPP-0338299, OPP-0338342, ANT 114978]; Directorate For Geosciences; Office of Polar Programs (OPP) [1141978] Funding Source: National Science Foundation</t>
  </si>
  <si>
    <t>NSF(National Science Foundation (NSF)); Directorate For Geosciences; Office of Polar Programs (OPP)(National Science Foundation (NSF)NSF - Directorate for Geosciences (GEO))</t>
  </si>
  <si>
    <t>We would like to thank Petroleum Helicopters and Raytheon Polar Services for logistical field support. The MCM LTER Stream team provided Onyx River discharge data and Lake Hoare meteorological data. Thomas Nylen assisted in construction of the MET station. We are grateful to the reviewers who took the time to help us improve this manuscript. Funding for this project came from NSF OPP-0338260 to YPC, OPP-0338299 to DMM, and OPP-0338342 and ANT 114978 to CMF. Any opinions, findings or conclusions expressed in this material are those of the authors and do not necessarily reflect the views of the National Science Foundation.</t>
  </si>
  <si>
    <t>10.1017/S0954102016000456</t>
  </si>
  <si>
    <t>WOS:000396346500004</t>
  </si>
  <si>
    <t>Cuba-Díaz, M; Castel, K; Acuña, D; Machuca, A; Cid, I</t>
  </si>
  <si>
    <t>Cuba-Diaz, Marely; Castel, Kriss; Acuna, Daniela; Machuca, Angela; Cid, Ixia</t>
  </si>
  <si>
    <t>Sodium chloride effect on Colobanthus quitensis seedling survival and in vitro propagation</t>
  </si>
  <si>
    <t>SALINITY; GERMINATION; TEMPERATURE; STRESS</t>
  </si>
  <si>
    <t>[Cuba-Diaz, Marely; Castel, Kriss; Acuna, Daniela] Univ Concepcion, Lab Biotecnol &amp; Estudios Ambientales, Escuela Ciencias &amp; Tecnol, Dept Ciencias &amp; Tecnol Vegetal, Campus Los Angeles,Casilla 341, Los Angeles, Chile; [Castel, Kriss; Machuca, Angela; Cid, Ixia] Univ Concepcion, Lab Biotecnol &amp; Bioquim, Escuela Ciencias &amp; Tecnol, Dept Ciencias &amp; Tecnol Vegetal, Campus Los Angeles,Casilla 341, Los Angeles, Chile</t>
  </si>
  <si>
    <t>Cuba-Díaz, M (corresponding author), Univ Concepcion, Lab Biotecnol &amp; Estudios Ambientales, Escuela Ciencias &amp; Tecnol, Dept Ciencias &amp; Tecnol Vegetal, Campus Los Angeles,Casilla 341, Los Angeles, Chile.</t>
  </si>
  <si>
    <t>Machuca, Angela/S-6694-2019; Cuba-Diaz, Marely/V-3109-2019</t>
  </si>
  <si>
    <t>Cuba-Diaz, Marely/0000-0002-2981-0328</t>
  </si>
  <si>
    <t>Universidad de Concepcion [VRID 213.418.004-1.0]</t>
  </si>
  <si>
    <t>Universidad de Concepcion</t>
  </si>
  <si>
    <t>This study was supported by the Vicerrectoria de Investigacion y Desarrollo at the Universidad de Concepcion (Grant VRID 213.418.004-1.0). The authors thank International Journal Revisions (http://www. journalrevisions.com) for the final English language revision and also extend thanks to the anonymous reviewers.</t>
  </si>
  <si>
    <t>10.1017/S0954102016000432</t>
  </si>
  <si>
    <t>WOS:000396346500005</t>
  </si>
  <si>
    <t>O'Gorman, JP; Talevi, M; Fernández, MS</t>
  </si>
  <si>
    <t>O'Gorman, Jose P.; Talevi, Marianella; Fernandez, Marta S.</t>
  </si>
  <si>
    <t>Osteology of a perinatal aristonectine (Plesiosauria; Elasmosauridae)</t>
  </si>
  <si>
    <t>Aristonectinae; marine reptile; perinatal; Upper Cretaceous; Weddellian Province</t>
  </si>
  <si>
    <t>SAUROPTERYGIA; REPTILIA; MARAMBIO; CABRERA</t>
  </si>
  <si>
    <t>Perinatal specimens give valuable information about the first stages of vertebrate ontogeny. Here, the morphology and palaeohistology of an aristonectine perinatal specimen from Seymour Island (Isla Marambio), Lopez de Bertodano Formation are analysed. The palaeohistological analysis shows incomplete endochondral ossification (retention of a calcified cartilaginous core in the medullary region), predominance of primary bone tissue without secondary remodelling, lack of primary or secondary osteons and of growth marks in the cortical bone, and open vascular spaces not surrounded by a thin coat of lamellar bone tissue. General lines of morphological changes were inferred from comparing the fossil with an adult aristonectine specimen indicating i) a tendency of relatively high and broad posterior cervicals to decrease during ontogeny, ii) a decrease of relative size of the dorsolateral process and an increase of the glenoid ramus and iii) the existence of two separate stages in propodial growth divided into an initial elongation followed by a distal expansion. The presence of a perinatal specimen in the James Ross Archipelago indicates that the region was used as a breeding area by the aristonectines during the last part of the Cretaceous.</t>
  </si>
  <si>
    <t>[O'Gorman, Jose P.; Fernandez, Marta S.] Univ Nacl La Plata, Div Paleontol Vertebrados, Museo La Plata, Paseo Bosque S-N,B1900FWA, La Plata, Buenos Aires, Argentina; [O'Gorman, Jose P.; Talevi, Marianella; Fernandez, Marta S.] Consejo Nacl Invest Cient &amp; Tecn, La Plata, Buenos Aires, Argentina; [Talevi, Marianella] Univ Nacl Rio Negro, CONICET, Inst Invest Paleobiol &amp; Geol, Av Roca 1242,R8332EXZ, Rio Negro, Argentina</t>
  </si>
  <si>
    <t>National University of La Plata; Museo La Plata; Consejo Nacional de Investigaciones Cientificas y Tecnicas (CONICET); Consejo Nacional de Investigaciones Cientificas y Tecnicas (CONICET)</t>
  </si>
  <si>
    <t>O'Gorman, JP (corresponding author), Univ Nacl La Plata, Div Paleontol Vertebrados, Museo La Plata, Paseo Bosque S-N,B1900FWA, La Plata, Buenos Aires, Argentina.;O'Gorman, JP (corresponding author), Consejo Nacl Invest Cient &amp; Tecn, La Plata, Buenos Aires, Argentina.</t>
  </si>
  <si>
    <t>joseogorman@fcnym.unlp.edu.ar</t>
  </si>
  <si>
    <t>O’Gorman, José/AAK-6096-2021</t>
  </si>
  <si>
    <t>Fernandez, Marta/0000-0001-6935-7575</t>
  </si>
  <si>
    <t>PIP [0433]; UNLP [N 607]; PICT [2012-0748, 2013-0663]; PIUNRN [40-A-404]</t>
  </si>
  <si>
    <t>PIP; UNLP(National University of La Plata); PICT(ANPCyT); PIUNRN</t>
  </si>
  <si>
    <t>The authors thank the IAA (Instituto Antartico Argentino) and Fuerza Aerea Argentina for support in the field, Juan Jose Moly for help with the extraction of the specimen, Marcelo Reguero for allowing the study of the material, and P. Arregui for improvement of the English in this article. The authors would also like to thank E. Fordyce. This research was supported by PIP 0433, UNLP N 607, and PICT 2012-0748, PICT 2013-0663 and PIUNRN 40-A-404. The authors are also grateful to the reviewers for their comments on the manuscript.</t>
  </si>
  <si>
    <t>10.1017/S0954102016000365</t>
  </si>
  <si>
    <t>WOS:000396346500007</t>
  </si>
  <si>
    <t>Kotzé, C; Meiklejohn, I</t>
  </si>
  <si>
    <t>Kotze, Camilla; Meiklejohn, Ian</t>
  </si>
  <si>
    <t>Temporal variability of ground thermal regimes on the northern buttress of the Vesleskarvet nunatak, western Dronning Maud Land, Antarctica</t>
  </si>
  <si>
    <t>active layer depth; air temperature; near-surface temperature; pressure; radiation; seasonal</t>
  </si>
  <si>
    <t>ACTIVE-LAYER DYNAMICS; MCMURDO DRY VALLEYS; PERMAFROST DISTRIBUTION; CONTINENTAL ANTARCTICA; CLIMATE; PENINSULA; COVER</t>
  </si>
  <si>
    <t>The ground temperature down to 60 cm depth in western Dronning Maud Land (WDML), has been recorded since 2009. The study area is situated in a blockfield that comprises a shallow active layer above permafrost. Using ground thermal regimes and regional climate data, the temporal (seasonal and annual) variability of the active layer was characterized. Active layer depth was calculated for each site for five consecutive summers from 2009/10-2013/14, showing interannual variability with no overall trends of decreasing or increasing active layer depth. Particular attention was paid to 2010 as it matched the average for the ground thermal regimes over the six year study period, as well as the interpolation period used by Meteonorm((R)). Analysis showed significant synchronous relationships of ground thermal regimes with air temperature and incoming radiation. Moreover, a correlation between pressure and measured ground temperature during the transitional season of the Southern Annual Oscillation in May and September was identified.</t>
  </si>
  <si>
    <t>[Kotze, Camilla; Meiklejohn, Ian] Rhodes Univ, Dept Geog, ZA-6140 Grahamstown, South Africa</t>
  </si>
  <si>
    <t>Rhodes University</t>
  </si>
  <si>
    <t>Kotzé, C (corresponding author), Rhodes Univ, Dept Geog, ZA-6140 Grahamstown, South Africa.</t>
  </si>
  <si>
    <t>camilla.kotze@yahoo.com</t>
  </si>
  <si>
    <t>Meiklejohn, Ian/F-3183-2012</t>
  </si>
  <si>
    <t>Meiklejohn, Ian/0000-0001-8890-2938</t>
  </si>
  <si>
    <t>National Research Foundation; South African National Antarctic Program [19962011]; Landscape Processes in Antarctic Ecosystems [93082]</t>
  </si>
  <si>
    <t>National Research Foundation; South African National Antarctic Program; Landscape Processes in Antarctic Ecosystems</t>
  </si>
  <si>
    <t>Funding by the National Research Foundation is gratefully acknowledged in the form of bursaries and project funding under the South African National Antarctic Program umbrella for the Geomorphology and Climate Change (19962011) and Landscape Processes in Antarctic Ecosystems (201214; Grant No: 93082) projects. The South African Department of Environmental Affairs is thanked for logistical support during the Antarctic fieldwork seasons. Thanks to SAWS for the provision of data, as well as to the members of the 2009/10, 2010/11, 2011/12, 2012/13 and 2013/14 summer relief voyage teams to SANAE IV that assisted in the fieldwork data collection processes. Prof Kevin Hall and Christel Hansen are gratefully thanked for their advice and field assistance, respectively. The external reviewers are also graciously acknowledged for their constructive feedback.</t>
  </si>
  <si>
    <t>10.1017/S095410201600047X</t>
  </si>
  <si>
    <t>WOS:000396346500008</t>
  </si>
  <si>
    <t>Motoba, T; Ebihara, Y; Kadokura, A; Engebretson, MJ; Lessard, MR; Weatherwax, AT; Gerrard, AJ</t>
  </si>
  <si>
    <t>Motoba, Tetsuo; Ebihara, Yusuke; Kadokura, Akira; Engebretson, Mark J.; Lessard, Marc R.; Weatherwax, Allan T.; Gerrard, Andrew J.</t>
  </si>
  <si>
    <t>Fast-moving diffuse auroral patches: A new aspect of daytime Pc3 auroral pulsations</t>
  </si>
  <si>
    <t>DAYSIDE MAGNETOSPHERE; MULTIPLE CORRELATION; MAGNETIC PULSATIONS; ELECTRIC-FIELDS; CONE ANGLE; PRECIPITATION; SIGNATURES; REGION; WAVES; PC-3</t>
  </si>
  <si>
    <t>Auroral pulsations are a convenient diagnostic of wave-particle interactions in the magnetosphere. A case study of a daytime Pc3 (22-100 mHz) auroral pulsation event, measured with a similar to 2 Hz sampling all-sky camera at South Pole Station (74.4 degrees S magnetic latitude) on 17 May 2012, is presented. The daytime Pc3 auroral pulsations were most active in a closed field line region where the aurora was dominated by diffuse green-line emissions and within +/- 2 h of magnetic local noon. Usually, but not always, the corresponding periodic variations were recorded with a colocated search coil magnetometer. Of particular interest is the two-dimensional auroral signature, indicating that the temporal luminosity variations at a given point were due to repeated formation and horizontal motion of faint, nonpulsating auroral patches with scale sizes of similar to 100 km. The individual patches propagated equatorward with speeds of 15 km s(-1) up to 20-25 km s(-1) one after another along the magnetic meridian through local magnetic zenith. These properties differ considerably from typical pulsating aurorae, being periodic on-off luminosity variations in a particular auroral patch and drifting in accordance with the convection electric field in the magnetosphere. We speculate that such repetitive patterns of the fast-moving auroral patches, being another aspect of the daytime Pc3 auroral pulsations, may be a visible manifestation of compressional Pc3 waves which propagate earthward and cause modulation of precipitating keV electron fluxes in the dayside outer magnetosphere.</t>
  </si>
  <si>
    <t>[Motoba, Tetsuo] Nagoya Univ, Inst Space Earth Environm Res, Nagoya, Aichi, Japan; [Motoba, Tetsuo] Johns Hopkins Univ, Appl Phys Lab, Laurel, MD 20723 USA; [Ebihara, Yusuke] Kyoto Univ, Res Inst Sustainable Humanosphere, Kyoto, Japan; [Kadokura, Akira] Natl Inst Polar Res, Tokyo, Japan; [Kadokura, Akira] Grad Univ Adv Studies, SOKENDAI, Sch Multidisciplinary Sci, Dept Polar Sci, Tokyo, Japan; [Engebretson, Mark J.] Augsburg Coll, Dept Phys, Minneapolis, MN USA; [Lessard, Marc R.] Univ New Hampshire, Ctr Space Sci, Durham, NH 03824 USA; [Weatherwax, Allan T.] Merrimack Coll, Sch Sci &amp; Engn, N Andover, MA 01845 USA; [Gerrard, Andrew J.] New Jersey Inst Technol, Ctr Solar Terr Res, Newark, NJ 07102 USA</t>
  </si>
  <si>
    <t>Nagoya University; Johns Hopkins University; Johns Hopkins University Applied Physics Laboratory; Kyoto University; Research Organization of Information &amp; Systems (ROIS); National Institute of Polar Research (NIPR) - Japan; Graduate University for Advanced Studies - Japan; Augsburg University; University System Of New Hampshire; University of New Hampshire; Merrimack College; New Jersey Institute of Technology</t>
  </si>
  <si>
    <t>Motoba, T (corresponding author), Nagoya Univ, Inst Space Earth Environm Res, Nagoya, Aichi, Japan.;Motoba, T (corresponding author), Johns Hopkins Univ, Appl Phys Lab, Laurel, MD 20723 USA.</t>
  </si>
  <si>
    <t>tetsuo.motoba@gmail.com</t>
  </si>
  <si>
    <t>Ebihara, Yusuke/ABD-4430-2021; Ebihara, Yusuke/D-1638-2013; Motoba, Tetsuo/S-4554-2017</t>
  </si>
  <si>
    <t>Ebihara, Yusuke/0000-0002-2293-1557; Ebihara, Yusuke/0000-0002-2293-1557; Motoba, Tetsuo/0000-0002-8138-7897; Weatherwax, Allan/0000-0003-4732-358X; Gerrard, Andrew/0000-0002-9626-2085</t>
  </si>
  <si>
    <t>New Jersey Institute of Technology; Merrimack College (USA); Kyoto University; National Institute of Polar Research (Japan); U.S. National Science Foundation (NSF) [PLR-1247975, ANT-0638587]; Japanese Antarctic Research Expedition (JARE); NSF [PLR-1341493, PLR-1341677]; Grants-in-Aid for Scientific Research [15H02628, 15H03732, 26247082] Funding Source: KAKEN; Directorate For Geosciences; Office of Polar Programs (OPP) [1341677, 1247975] Funding Source: National Science Foundation; Office of Polar Programs (OPP); Directorate For Geosciences [1716192] Funding Source: National Science Foundation</t>
  </si>
  <si>
    <t>New Jersey Institute of Technology; Merrimack College (USA); Kyoto University; National Institute of Polar Research (Japan); U.S. National Science Foundation (NSF)(National Science Foundation (NSF)); Japanese Antarctic Research Expedition (JARE); NSF(National Science Foundation (NSF)); Grants-in-Aid for Scientific Research(Ministry of Education, Culture, Sports, Science and Technology, Japan (MEXT)Japan Society for the Promotion of ScienceGrants-in-Aid for Scientific Research (KAKENHI)); Directorate For Geosciences; Office of Polar Programs (OPP)(National Science Foundation (NSF)NSF - Directorate for Geosciences (GEO)); Office of Polar Programs (OPP); Directorate For Geosciences(National Science Foundation (NSF)NSF - Directorate for Geosciences (GEO))</t>
  </si>
  <si>
    <t>All-sky optical measurements at South Pole Station have been conducted under a joint project between the New Jersey Institute of Technology, Merrimack College (USA), Kyoto University, and National Institute of Polar Research (Japan) with support provided from the U.S. National Science Foundation (NSF) under awards PLR-1247975 and ANT-0638587 and the Japanese Antarctic Research Expedition (JARE) program. Search coil magnetometer at South Pole Station is operated jointly by Augsburg College and the University of New Hampshire with support from NSF grants PLR-1341493 and PLR-1341677. The optical and search coil magnetometer data used in this paper were obtained through the individual PIs. The authors thank the wintering science research associate at South Pole Station, in particular Ethan R. Good who devotedly maintained the optical instruments in the 2012 austral winter season. The OMNI data were obtained from the GSFC/SPDF OMNIWeb interface at http://omniweb.gsfc.nasa.gov.</t>
  </si>
  <si>
    <t>JA023285</t>
  </si>
  <si>
    <t>10.1002/2016JA023285</t>
  </si>
  <si>
    <t>EO9QJ</t>
  </si>
  <si>
    <t>WOS:000397022900009</t>
  </si>
  <si>
    <t>Zolotukhina, N; Polekh, N; Kurkin, V; Rogov, D; Romanova, E; Chelpanov, M</t>
  </si>
  <si>
    <t>Zolotukhina, N.; Polekh, N.; Kurkin, V.; Rogov, D.; Romanova, E.; Chelpanov, M.</t>
  </si>
  <si>
    <t>Ionospheric effects of St. Patrick's storm over Asian Russia: 17-19 March 2015</t>
  </si>
  <si>
    <t>GEOMAGNETIC STORM; MAGNETIC STORMS; AURORAL OVAL; LATITUDE; IRREGULARITIES; DISTURBANCES; DEPENDENCE; INDEXES</t>
  </si>
  <si>
    <t>We have carried out a comprehensive analysis of data from the high-frequency coherent radar located near Yekaterinburg, ground-based ionospheric, riometric, and magnetic stations, situated within the radar field of view and in the vicinity of it, as well as from eight radio paths crossing the Asian region of Russia. Using these data, we studied dynamics of ionospheric disturbances over wide longitudinal sector during the first 3 days of the St. Patrick's two-step severe geomagnetic storm and determined the main mechanisms of their development. We showed that on 17 March during the main and early recovery storm phases, the major contribution to the generation of the ionospheric disturbances had been made by impact ionization by precipitating magnetospheric particles. This had lead to appearance of intense sporadic layers, alternating with intervals of total absorption. The main features of the storm were the large latitude width of the auroral precipitation zone and an expansion of this zone to corrected geomagnetic latitude similar to 45 degrees. We suppose that these peculiarities were due to high variability of interplanetary magnetic field and solar wind impacted on the magnetosphere. The most probable cause of the negative ionospheric disturbance on 18 March might have been a change in the neutral atmosphere composition. Significant differences between measured and simulated values of maximal electron concentration in F-2 layer point to the need to improve the existing empirical models of thermosphere, auroral precipitations, and magnetospheric convection in order to use them for modeling of ionospheric parameters during severe geomagnetic storms.</t>
  </si>
  <si>
    <t>[Zolotukhina, N.; Polekh, N.; Kurkin, V.; Romanova, E.; Chelpanov, M.] RAS, Inst Solar Terr Phys, SB, Irkutsk, Russia; [Rogov, D.] Arctic &amp; Antarctic Res Inst, St Petersburg, Russia</t>
  </si>
  <si>
    <t>Irkutsk Science Centre of the Russian Academy of Sciences; Russian Academy of Sciences; Institute of Solar-Terrestrial Physics of the Siberian Branch of the Russian Academy of Sciences; Arctic &amp; Antarctic Research Institute</t>
  </si>
  <si>
    <t>Zolotukhina, N (corresponding author), RAS, Inst Solar Terr Phys, SB, Irkutsk, Russia.</t>
  </si>
  <si>
    <t>zolot@iszf.irk.ru</t>
  </si>
  <si>
    <t>Rogov, Denis/AAH-2763-2020; Chelpanov, Maksim/AAE-2603-2020; Kurkin, Vladimir I./F-7629-2014</t>
  </si>
  <si>
    <t>Chelpanov, Maksim/0000-0002-1192-8715; Zolotukhina, Nina/0000-0002-7691-6168</t>
  </si>
  <si>
    <t>Russian Science Foundation [14-37-00027]; Russian Science Foundation [14-37-00027] Funding Source: Russian Science Foundation</t>
  </si>
  <si>
    <t>Russian Science Foundation(Russian Science Foundation (RSF)); Russian Science Foundation(Russian Science Foundation (RSF))</t>
  </si>
  <si>
    <t>This work was supported by the Russian Science Foundation (project 14-37-00027). The results presented in the paper rely on data collected at ground-based magnetic and ionospheric stations. We thank the national institutes that support them and INTERMAGNET for promoting high standards of the data. We also thank the managers of the ACE and THEMIS projects for data available on the site http://cdaweb.gsfc.nasa.gov/istp_public. We are grateful to Arctic and Antarctic Research Institute and Institute of Solar-Terrestrial Physics for original radio paths, ionosondes, riometers, magnetometers, and YeKB radar data as well as to Russian Heliogeophysical Monitoring Center for ionograms of TZ362 station which are available on the website http://space-weather.ru/index.php?page=ionogrammy. Finally, we thank our Editor Mike Liemohn and the reviewers for their constructive suggestions and comments.</t>
  </si>
  <si>
    <t>10.1002/2016JA023180</t>
  </si>
  <si>
    <t>WOS:000397022900072</t>
  </si>
  <si>
    <t>Knudsen, DJ; Burchill, JK; Buchert, SC; Eriksson, AI; Gill, R; Wahlund, JE; Ahlen, L; Smith, M; Moffat, B</t>
  </si>
  <si>
    <t>Knudsen, D. J.; Burchill, J. K.; Buchert, S. C.; Eriksson, A. I.; Gill, R.; Wahlund, J. -E.; Ahlen, L.; Smith, M.; Moffat, B.</t>
  </si>
  <si>
    <t>Thermal ion imagers and Langmuir probes in the Swarm electric field instruments</t>
  </si>
  <si>
    <t>LOWER-HYBRID; ANALYZERS</t>
  </si>
  <si>
    <t>The European Space Agency's three Swarm satellites were launched on 22 November 2013 into nearly polar, circular orbits, eventually reaching altitudes of 460 km (Swarm A and C) and 510 km (Swarm B). Swarm's multiyear mission is to make precision, multipoint measurements of low-frequency magnetic and electric fields in Earth's ionosphere for the purpose of characterizing magnetic fields generated both inside and external to the Earth, along with the electric fields and other plasma parameters associated with electric current systems in the ionosphere and magnetosphere. Electric fields perpendicular to the magnetic field.B are determined through ion drift velocity v(i) and magnetic field measurements via the relation.E. = -.vi x.B. Ion drift is derived from two-dimensional images of low-energy ion distribution functions provided by two Thermal Ion Imager (TII) sensors viewing in the horizontal and vertical planes;v(i) is corrected for spacecraft potential as determined by two Langmuir probes (LPs) which also measure plasma density ne and electron temperature T-e. The TII sensors use a microchannel-plate-intensified phosphor screen imaged by a charge-coupled device to generate high-resolution distribution images (66 x 40 pixels) at a rate of 16 s(-1). Images are partially processed on board and further on the ground to generate calibrated data products at a rate of 2 s(-1); these include.vi,.E., and ion temperature T-i in addition to electron temperature Te and plasma density n(e) from the LPs.</t>
  </si>
  <si>
    <t>[Knudsen, D. J.; Burchill, J. K.] Univ Calgary, Dept Phys &amp; Astron, Calgary, AB, Canada; [Buchert, S. C.; Eriksson, A. I.; Gill, R.; Wahlund, J. -E.; Ahlen, L.] Swedish Inst Space Phys, Uppsala, Sweden; [Smith, M.; Moffat, B.] COM DEV Int, Cambridge, ON, Canada; [Moffat, B.] Univ Waterloo, Ctr Educ Math &amp; Comp, Waterloo, ON, Canada</t>
  </si>
  <si>
    <t>University of Calgary; University of Waterloo</t>
  </si>
  <si>
    <t>Knudsen, DJ (corresponding author), Univ Calgary, Dept Phys &amp; Astron, Calgary, AB, Canada.</t>
  </si>
  <si>
    <t>knudsen@ucalgary.ca</t>
  </si>
  <si>
    <t>Knudsen, David/JJF-1802-2023; Eriksson, Anders I/C-2887-2009; Wahlund, Jan-Erik/AAL-6439-2021; Burchill, Johnathan Kerr/KAZ-9414-2024</t>
  </si>
  <si>
    <t>Eriksson, Anders I/0000-0003-2926-6761; Buchert, Stephan/0000-0003-2158-6074; Burchill, Johnathan/0000-0002-8364-0307</t>
  </si>
  <si>
    <t>g; European Space Agency</t>
  </si>
  <si>
    <t>g; European Space Agency(European Space Agency)</t>
  </si>
  <si>
    <t>The Swarm EFIs are the result of a 10 year development that was made possible by the significant contributions of a large number of dedicated professionals. We wish to acknowledge in particular the following: at the University of Calgary, Johnny Aase (now at Institute for Marine and Antarctic Studies, University of Hobart, Australia; and the Norwegian Defence Cyber Academy, Lillehammer, Norway), Alexei Kouznetsov, and Levan Lomidze; at IRF in Uppsala, Thomas Nilsson; and at COM DEV Canada, Janice Cheng, Terry Girard, John Hackett, Kevin Lush, Graham McCormack, and Andrew Plester. The Swarm EFI development was funded and managed by the European Space Agency with major contributions from the Canadian Space Agency (CSA). The EFI team is deeply appreciative of the many significant contributions of the ESA Project Development Team and the Post- Launch Support Office at ESTEC in Noordwijk, Netherlands; the flight operations team at ESOC in Darmstadt, Germany; and the mission operations office at ESRIN in Frascati, Italy. The authors also gratefully acknowledge the CSA for long-term support for laboratory testing and calibration, science performance analysis, ground software development, and postlaunch science activities. Swarm data can be accessed from ESA at https://earth.esa.int/web/guest/swarm/data-access.</t>
  </si>
  <si>
    <t>10.1002/2016JA022571</t>
  </si>
  <si>
    <t>WOS:000397022900083</t>
  </si>
  <si>
    <t>Yamazaki, T; Kuwahara, T</t>
  </si>
  <si>
    <t>Yamazaki, Tomoyasu; Kuwahara, Takashi</t>
  </si>
  <si>
    <t>A new species of Clione distinguished from sympatric C-limacina (Gastropoda: Gymnosomata) in the southern Okhotsk Sea, Japan, with remarks on the taxonomy of the genus</t>
  </si>
  <si>
    <t>JOURNAL OF MOLLUSCAN STUDIES</t>
  </si>
  <si>
    <t>ANTARCTIC PTEROPOD; AEROBIC CAPACITY; MOLLUSK; SALMON</t>
  </si>
  <si>
    <t>A new species of the genus Clione (Clionidae) was collected in shallow water from coastal eastern Hokkaido, in the southern Okhotsk Sea, Japan, and characterized by an integrated study of morphology, predatory behaviour and genetic evidence. A key taxonomic feature of Clionidae is the number of buccal cones; species with three pairs of buccal cones are classified in the genus Clione. This generic classification of the new species is supported by other anatomical features and by its predatory behaviour. Diagnostic characters of the new Clione include: (1) very short buccal cones; (2) three ciliated rings (anterior, mid-body and near tail) retained in adult stage; (3) large orange-red visceral mass; (4) no space between head tentacles and mouth; (5) presence of search behaviour; (6) buccal cones not used during predation; (7) mtDNA COI genetic barcode (distinguished from sympatric C. limacina and allopatric C. antarctica). On the basis of a phylogenetic analysis of COI sequences in this and previous studies, we suggest that C. 'limacina' populations in the North Atlantic and North Pacific Oceans are distinct species, for which the valid names are C. limacina (Phipps, 1774) and C. elegantissima Dall, 1871, respectively.</t>
  </si>
  <si>
    <t>[Yamazaki, Tomoyasu] Shellfish Museum Rankoshi, 1401 Minato Machi, Rankoshi, Hokkaido 0481341, Japan; [Kuwahara, Takashi] Okhotsk Sea Ice Museum Hokkaido, 11 Mombetsu, Mombetsu, Hokkaido 0940023, Japan</t>
  </si>
  <si>
    <t>Yamazaki, T (corresponding author), Shellfish Museum Rankoshi, 1401 Minato Machi, Rankoshi, Hokkaido 0481341, Japan.</t>
  </si>
  <si>
    <t>sitkana@gmail.com</t>
  </si>
  <si>
    <t>Nippon Foundation</t>
  </si>
  <si>
    <t>Nippon Foundation(Nippon Foundation)</t>
  </si>
  <si>
    <t>We thank Dr Rafal Lasota from the Institute of Oceanography, University of Gdansk, who provided a useful reference, and Drs Shuichi Watanabe and Hideki Yamamoto, from the Japan Agency for Marine-Earth Science and Technology, Mutsu Institute for Oceanography, who assisted with SEM. The manuscript was greatly improved by Editor Dr David G. Reid. This work was supported by research grants to the Uminomanabi Museum Support PROGRAM 3 from the Nippon Foundation.</t>
  </si>
  <si>
    <t>0260-1230</t>
  </si>
  <si>
    <t>1464-3766</t>
  </si>
  <si>
    <t>J MOLLUS STUD</t>
  </si>
  <si>
    <t>J. Molluscan Stud.</t>
  </si>
  <si>
    <t>10.1093/mollus/eyw032</t>
  </si>
  <si>
    <t>EP1HN</t>
  </si>
  <si>
    <t>WOS:000397136100003</t>
  </si>
  <si>
    <t>Jean, CB; Kyser, TK; James, NP; Stokes, MD</t>
  </si>
  <si>
    <t>Jean, Christabel B.; Kyser, T. Kurtis; James, Noel P.; Stokes, M. Dale</t>
  </si>
  <si>
    <t>RETRACTION: THE ANTARCTIC BRACHIOPOD LIOTHYRELLA uva AS A PROXY FOR AMBIENT OCEANOGRAPHIC CONDITIONS AT MCMURDO SOUND (Retraction of Vol 85, Pg 1492, 2015)</t>
  </si>
  <si>
    <t>JOURNAL OF SEDIMENTARY RESEARCH</t>
  </si>
  <si>
    <t>Retraction</t>
  </si>
  <si>
    <t>SEPM-SOC SEDIMENTARY GEOLOGY</t>
  </si>
  <si>
    <t>TULSA</t>
  </si>
  <si>
    <t>6128 EAST 38TH ST, STE 308, TULSA, OK 74135-5814 USA</t>
  </si>
  <si>
    <t>1527-1404</t>
  </si>
  <si>
    <t>1938-3681</t>
  </si>
  <si>
    <t>J SEDIMENT RES</t>
  </si>
  <si>
    <t>J. Sediment. Res.</t>
  </si>
  <si>
    <t>10.2110/jsr.2017.8</t>
  </si>
  <si>
    <t>EO6RI</t>
  </si>
  <si>
    <t>WOS:000396819800005</t>
  </si>
  <si>
    <t>Zheng, WL; Wang, XD; Cao, WJ; Yang, BW; Mu, Y; Dong, YS; Xiu, ZL</t>
  </si>
  <si>
    <t>Zheng, Weilong; Wang, Xudong; Cao, Wenjing; Yang, Bowen; Mu, Ying; Dong, Yuesheng; Xiu, Zhilong</t>
  </si>
  <si>
    <t>E-configuration structures of EPA and DHA derived from Euphausia superba and their significant inhibitive effects on growth of human cancer cell lines in vitro</t>
  </si>
  <si>
    <t>PROSTAGLANDINS LEUKOTRIENES AND ESSENTIAL FATTY ACIDS</t>
  </si>
  <si>
    <t>Antarctic krill; DHA; EPA; E-configuration; Inhibitive effect; Cancer cell lines</t>
  </si>
  <si>
    <t>POLYUNSATURATED FATTY-ACIDS; CONJUGATED LINOLEIC-ACID; DOCOSAHEXAENOIC ACID; BREAST-CANCER; STEROID-EXCRETION; ANTARCTIC KRILL; COLON TUMORS; TRANS-FAT; OIL; APOPTOSIS</t>
  </si>
  <si>
    <t>Many bioactive components such as poly-unsaturated fatty acids (e.g. EPA and DHA), phospholipids and astaxanthin are known in Antarctic krill (Euphausia superba) oil. The krill DHA and EPA are generally considered to be similar to natural ones. However, two chemical compounds which were separated from Antarctic krill oil and identified as EPA and DHA by HRESIMS and NMR acted much more effective inhibitive activities on growth of several cell lines (U937, K562, SMMC-7721, PC-3, MDA-MB-231, HL60 and MCF-7) than those from sturgeon liver and commercial fish oil. Taking MCF-7 as an example, the IC50 values of Antarctic krill EPA and DHA were 14.01 and 19.94 mu M, while the IC50 values of sturgeon liver and commercial fish EPA and DHA were 81.45, 73.13, 82.11 and 75.31 mu M, respectively. Raman spectra revealed that the Antarctic krill EPA and DHA have E-configuration structures, which were different from those in commercial fish oil. Additionally, the Antarctic krill EPA and DHA had no effects on human normal liver cell line HL7702. These results indicated that the Antarctic krill E-EPA and E-DHA had a great prospect in cancer therapy.</t>
  </si>
  <si>
    <t>[Zheng, Weilong; Wang, Xudong; Cao, Wenjing; Yang, Bowen; Mu, Ying; Dong, Yuesheng; Xiu, Zhilong] Dalian Univ Technol, Sch Life Sci &amp; Biotechnol, 2 Linggong Rd, Dalian 116024, PR, Peoples R China</t>
  </si>
  <si>
    <t>Dalian University of Technology</t>
  </si>
  <si>
    <t>Xiu, ZL (corresponding author), Dalian Univ Technol, Sch Life Sci &amp; Biotechnol, 2 Linggong Rd, Dalian 116024, PR, Peoples R China.</t>
  </si>
  <si>
    <t>zlilxiu@dlut.edu.cn</t>
  </si>
  <si>
    <t>Dong, yuesheng/ABA-7029-2020</t>
  </si>
  <si>
    <t>National High Technology Research and Development Program (863 Program Project) of China [2011AA090800]</t>
  </si>
  <si>
    <t>National High Technology Research and Development Program (863 Program Project) of China(National High Technology Research and Development Program of China)</t>
  </si>
  <si>
    <t>We gratefully acknowledge the help in cell culture from Professor Yongping Xu, in NMR analysis from Dr. Wencai Liu, who are in School of Life Science and Biotechnology, Dalian University of Technology. We also appreciate Professor Jianing Zhang for his thoughtful discussion. The study was supported by the National High Technology Research and Development Program (863 Program Project) of China (No. 2011AA090800).</t>
  </si>
  <si>
    <t>0952-3278</t>
  </si>
  <si>
    <t>1532-2823</t>
  </si>
  <si>
    <t>PROSTAG LEUKOTR ESS</t>
  </si>
  <si>
    <t>Prostaglandins Leukot. Essent. Fatty Acids</t>
  </si>
  <si>
    <t>10.1016/j.plefa.2017.01.005</t>
  </si>
  <si>
    <t>Biochemistry &amp; Molecular Biology; Cell Biology; Endocrinology &amp; Metabolism</t>
  </si>
  <si>
    <t>EP0KM</t>
  </si>
  <si>
    <t>WOS:000397076200006</t>
  </si>
  <si>
    <t>Zhang, JH; Duke, MC; Northcott, K; Packer, M; Allinson, M; Allinson, G; Kadokami, K; Tan, J; Allard, S; Croué, JP; Knight, A; Scales, PJ; Gray, SR</t>
  </si>
  <si>
    <t>Zhang, Jianhua; Duke, Mikel C.; Northcott, Kathy; Packer, Michael; Allinson, Mayumi; Allinson, Graeme; Kadokami, Kiwao; Tan, Jace; Allard, Sebastian; Croue, Jean-Philippe; Knight, Adrian; Scales, Peter J.; Gray, Stephen R.</t>
  </si>
  <si>
    <t>Small Scale Direct Potable Reuse (DPR) Project for a Remote Area</t>
  </si>
  <si>
    <t>WATER</t>
  </si>
  <si>
    <t>potable water recycling; ceramic microfiltration; reverse osmosis; ozonation; disinfection by-products</t>
  </si>
  <si>
    <t>CHROMATOGRAPHY-MASS-SPECTROMETRY; ANTARCTICA; REMOVAL; BROMATE; WATERS</t>
  </si>
  <si>
    <t>An Advanced Water Treatment Plant (AWTP) for potable water recycling in Davis Station Antarctica was trialed using secondary effluent at Selfs Point in Hobart, Tasmania, for nine months. The trials demonstrated the reliability of performance of a seven barrier treatment process consisting of ozonation, ceramic microfiltration (MF), biologically activated carbon, reverse osmosis, ultra-violet disinfection, calcite contactor and chlorination. The seven treatment barriers were required to meet the high log removal values (LRV) required for pathogens in small systems during disease outbreak, and on-line verification of process performance was required for operation with infrequent operator attention. On-line verification of pathogen LRVs, a low turbidity filtrate of approximately 0.1 NTU (Nephelometric Turbidity Unit), no long-term fouling and no requirement for clean-in-place (CIP) was achieved with the ceramic MF. A pressure decay test was also reliably implemented on the reverse osmosis system to achieve a 2 LRV for protozoa, and this barrier required only 2-3 CIP treatments each year. The ozonation process achieved 2 LRV for bacteria and virus with no requirement for an ozone residual, provided the ozone dose was &gt;11.7 mg/L. Extensive screening using multi-residue gas chromatography-mass spectrometry (GC-MS) and liquid chromatography-mass spectrometry (LC-MS) database methods that can screen for more than 1200 chemicals found that few chemicals pass through the barriers to the final product and rejected (discharge) water streams. The AWTP plant required 1.93 kWh/m(3) when operated in the mode required for Davis Station and was predicted to require 1.27 kWh/m(3) if scaled up to 10 ML/day. The AWTP will be shipped to Davis Station for further trials before possible implementation for water recycling. The process may have application in other small remote communities.</t>
  </si>
  <si>
    <t>[Zhang, Jianhua; Duke, Mikel C.; Gray, Stephen R.] Victoria Univ, Inst Sustainabl &amp; Innovat, Melbourne, Vic 8001, Australia; [Northcott, Kathy] Veolia, Bendigo Water Treatment Plant, Bendigo 3555, Australia; [Packer, Michael] Australian Antarctic Div, 203 Channel Highway, Kingston, Tas 7050, Australia; [Allinson, Mayumi] Univ Melbourne, Sch Chem, Ctr Aquat Pollut Identificat &amp; Management, Parkville, Vic 3010, Australia; [Allinson, Graeme] RMIT Univ, Sch Sci, GPO Box 2476, Melbourne, Vic 3001, Australia; [Kadokami, Kiwao] Univ Kitakyushu, Fac Environm Engn, Kitakyushu, Fukuoka 8080135, Japan; [Tan, Jace; Allard, Sebastian; Croue, Jean-Philippe] Curtin Univ, Curtin Water Qual Res Ctr, GPO Box U1987, Perth, WA 6845, Australia; [Knight, Adrian; Scales, Peter J.] Univ Melbourne, Dept Chem &amp; Biomol Engn, Parkville, Vic 3052, Australia</t>
  </si>
  <si>
    <t>Melbourne Genomics Health Alliance; Victoria University; Veolia; Veolia Australia; Australian Antarctic Division; University of Melbourne; Melbourne Genomics Health Alliance; Royal Melbourne Institute of Technology (RMIT); University of Kitakyushu; Curtin University; University of Melbourne</t>
  </si>
  <si>
    <t>Gray, SR (corresponding author), Victoria Univ, Inst Sustainabl &amp; Innovat, Melbourne, Vic 8001, Australia.</t>
  </si>
  <si>
    <t>jianhua.zhang@vu.edu.au; mikel.duke@vu.edu.au; Kathy.Northcott@veolia.com; michael.packer@aad.gov.au; mayumia@unimelb.edu.au; graeme.allinson@rmit.edu.au; kadokami@kitakyu-u.ac.jp; Jace.Tan@curtin.edu.au; s.allard@curtin.edu.au; jean-philippe.croue@curtin.edu.au; knightap@unimelb.edu.au; peterjs@unimelb.edu.au; stephen.gray@vu.edu.au</t>
  </si>
  <si>
    <t>Scales, Peter j/I-8103-2013; ALLARD, Sebastien/AAR-7320-2021; Gray, Stephen/L-9684-2013; Duke, Mikel/J-8847-2013</t>
  </si>
  <si>
    <t>Scales, Peter j/0000-0002-8033-3686; Allard, Sebastien/0000-0002-6937-4671; Gray, Stephen/0000-0002-8748-2748; Duke, Mikel/0000-0002-3383-0006; Zhang, Jianhua/0000-0002-8674-0485</t>
  </si>
  <si>
    <t>Australian Water Recycling Centre of Excellence; Australian Government through the Water for the Future initiative; Grants-in-Aid for Scientific Research [16H02964] Funding Source: KAKEN</t>
  </si>
  <si>
    <t>Australian Water Recycling Centre of Excellence; Australian Government through the Water for the Future initiative(Australian Government); Grants-in-Aid for Scientific Research(Ministry of Education, Culture, Sports, Science and Technology, Japan (MEXT)Japan Society for the Promotion of ScienceGrants-in-Aid for Scientific Research (KAKENHI))</t>
  </si>
  <si>
    <t>The financial support of the Australian Water Recycling Centre of Excellence is gratefully acknowledged by the authors. The Australian Water Recycling Centre of Excellence was funded by the Australian Government through the Water for the Future initiative.</t>
  </si>
  <si>
    <t>2073-4441</t>
  </si>
  <si>
    <t>WATER-SUI</t>
  </si>
  <si>
    <t>Water</t>
  </si>
  <si>
    <t>10.3390/w9020094</t>
  </si>
  <si>
    <t>Environmental Sciences; Water Resources</t>
  </si>
  <si>
    <t>Environmental Sciences &amp; Ecology; Water Resources</t>
  </si>
  <si>
    <t>EM6PY</t>
  </si>
  <si>
    <t>WOS:000395435800024</t>
  </si>
  <si>
    <t>Verseux, C; Baqué, M; Cifariello, R; Fagliarone, C; Raguse, M; Moeller, R; Billi, D</t>
  </si>
  <si>
    <t>Verseux, Cyprien; Baque, Mickael; Cifariello, Riccardo; Fagliarone, Claudia; Raguse, Marina; Moeller, Ralf; Billi, Daniela</t>
  </si>
  <si>
    <t>Evaluation of the Resistance of Chroococcidiopsis spp. to Sparsely and Densely Ionizing Irradiation</t>
  </si>
  <si>
    <t>ASTROBIOLOGY</t>
  </si>
  <si>
    <t>Ionizing radiation; Linear energy transfer; Lithopanspermia; Cyanobacterial radioresistance; Chroococcidiopsis; Mars</t>
  </si>
  <si>
    <t>DESERT CYANOBACTERIUM CHROOCOCCIDIOPSIS; LOW-EARTH-ORBIT; DEINOCOCCUS-RADIODURANS; RADIATION-RESISTANCE; MARTIAN ATMOSPHERE; GROWTH-PHASE; OUTER-SPACE; UV FLUX; MARS; LIFE</t>
  </si>
  <si>
    <t>Studying the resistance of cyanobacteria to ionizing radiation provides relevant information regarding astrobiology-related topics including the search for life on Mars, lithopanspermia, and biological life-support systems. Here, we report on the resistance of desert cyanobacteria of the genus Chroococcidiopsis, which were exposed (as part of the STARLIFE series of experiments) in both hydrated and dried states to ionizing radiation with different linear energy transfer values (0.2 to 200 keV/mm). Irradiation with up to 1 kGy of He or Si ions, 2 kGy of Fe ions, 5 kGy of X-rays, or 11.59 kGy of gamma rays (Co-60) did not eradicate Chroococcidiopsis populations, nor did it induce detectable damage to DNA or plasma membranes. The relevance of these results for astrobiology is briefly discussed.</t>
  </si>
  <si>
    <t>[Verseux, Cyprien; Baque, Mickael; Cifariello, Riccardo; Fagliarone, Claudia; Billi, Daniela] Univ Roma Tor Vergata, Dept Biol, Lab Astrobiol &amp; Mol Biol Cyanobacteria Extreme En, Rome, Italy; [Baque, Mickael] German Aerosp Ctr DLR, Inst Planetary Res Management &amp; Infrastruct, Astrobiol Labs Res Grp, Berlin, Germany; [Raguse, Marina; Moeller, Ralf] German Aerosp Ctr DLR, Inst Aerosp Med, Radiat Biol Dept, Space Microbiol Res Grp, Cologne, Germany</t>
  </si>
  <si>
    <t>University of Rome Tor Vergata; Helmholtz Association; German Aerospace Centre (DLR); Helmholtz Association; German Aerospace Centre (DLR)</t>
  </si>
  <si>
    <t>Billi, D (corresponding author), Univ Roma Tor Vergata, Dept Biol, Via Ric Sci Snc, I-00133 Rome, Italy.</t>
  </si>
  <si>
    <t>billi@uniroma2.it</t>
  </si>
  <si>
    <t>Baqué, Mickael/AAC-8933-2019; Billi, Daniela/AAT-6690-2021; Verseux, Cyprien/HPM-2496-2023</t>
  </si>
  <si>
    <t>Baqué, Mickael/0000-0002-6696-6030; Verseux, Cyprien/0000-0001-7288-8289; BILLI, DANIELA/0000-0002-9363-2415; Fagliarone, Claudia/0000-0001-9530-1591</t>
  </si>
  <si>
    <t>Italian Space Agency; Italian National Antarctic Research Program; DLR grant DLR-FuE-Projekt ISS LIFE, Programm RF-FuW, Teilprogramm 475</t>
  </si>
  <si>
    <t>Italian Space Agency(Agenzia Spaziale Italiana (ASI)); Italian National Antarctic Research Program; DLR grant DLR-FuE-Projekt ISS LIFE, Programm RF-FuW, Teilprogramm 475</t>
  </si>
  <si>
    <t>This work was supported by the Italian Space Agency (D.B.) and by the Italian National Antarctic Research Program (D.B.). M.R. and R.M. were supported by DLR grant DLR-FuE-Projekt ISS LIFE, Programm RF-FuW, Teilprogramm 475. We are also grateful to anonymous reviewers, whose comments led to significant improvements to the manuscript.</t>
  </si>
  <si>
    <t>MARY ANN LIEBERT, INC</t>
  </si>
  <si>
    <t>NEW ROCHELLE</t>
  </si>
  <si>
    <t>140 HUGUENOT STREET, 3RD FL, NEW ROCHELLE, NY 10801 USA</t>
  </si>
  <si>
    <t>1531-1074</t>
  </si>
  <si>
    <t>1557-8070</t>
  </si>
  <si>
    <t>Astrobiology</t>
  </si>
  <si>
    <t>10.1089/ast.2015.1450</t>
  </si>
  <si>
    <t>Astronomy &amp; Astrophysics; Biology; Geosciences, Multidisciplinary</t>
  </si>
  <si>
    <t>Astronomy &amp; Astrophysics; Life Sciences &amp; Biomedicine - Other Topics; Geology</t>
  </si>
  <si>
    <t>EL1IC</t>
  </si>
  <si>
    <t>WOS:000394372800003</t>
  </si>
  <si>
    <t>Pacelli, C; Selbmann, L; Zucconi, L; Raguse, M; Moeller, R; Shuryak, I; Onofri, S</t>
  </si>
  <si>
    <t>Pacelli, Claudia; Selbmann, Laura; Zucconi, Laura; Raguse, Marina; Moeller, Ralf; Shuryak, Igor; Onofri, Silvano</t>
  </si>
  <si>
    <t>Survival, DNA Integrity, and Ultrastructural Damage in Antarctic Cryptoendolithic Eukaryotic Microorganisms Exposed to Ionizing Radiation</t>
  </si>
  <si>
    <t>Biosignatures; Ionizing radiation; DNA integrity; Eukaryotic microorganisms; Fingerprinting; Mars exploration</t>
  </si>
  <si>
    <t>LINEAR-QUADRATIC MODEL; MARS; SPACE; EARTH; LIFE; ORGANISMS; MICROBES; MELANIN; FUNGI</t>
  </si>
  <si>
    <t>Life dispersal between planets, planetary protection, and the search for biosignatures are main topics in astrobiology. Under the umbrella of the STARLIFE project, three Antarctic endolithic microorganisms, the melanized fungus Cryomyces antarcticus CCFEE 515, a hyaline strain of Umbilicaria sp. (CCFEE 6113, lichenized fungus), and a Stichococcus sp. strain (C45A, green alga), were exposed to high doses of spacerelevant gamma radiation (Co-60), up to 117.07 kGy. After irradiation survival, DNA integrity and ultrastructural damage were tested. The first was assessed by clonogenic test; viability and dose responses were reasonably described by the linear-quadratic formalism. DNA integrity was evaluated by PCR, and ultrastructural damage was observed by transmission electron microscopy. The most resistant among the tested organisms was C. antarcticus both in terms of colony formation and DNA preservation. Besides, results clearly demonstrate that DNA was well detectable in all the tested organisms even when microorganisms were dead. This high resistance provides support for the use of DNA as a possible biosignature during the next exploration campaigns. Implication in planetary protection and contamination during long-term space travel are put forward.</t>
  </si>
  <si>
    <t>[Pacelli, Claudia; Selbmann, Laura; Zucconi, Laura; Onofri, Silvano] Univ Tuscia, Dept Ecol &amp; Biol Sci, Viterbo, Italy; [Raguse, Marina; Moeller, Ralf] German Aerosp Ctr DLR, Inst Aerosp Med, Radiat Biol Dept, Space Microbiol Res Grp, Cologne, Germany; [Shuryak, Igor] Columbia Univ, Ctr Radiol Res, New York, NY 10032 USA</t>
  </si>
  <si>
    <t>Tuscia University; Helmholtz Association; German Aerospace Centre (DLR); Columbia University</t>
  </si>
  <si>
    <t>Selbmann, L (corresponding author), Univ Tuscia, Dept Ecol &amp; Biol Sci DEB, Largo Univ Snc, I-01100 Viterbo, Italy.</t>
  </si>
  <si>
    <t>Pacelli, Claudia/AAI-2677-2020; Selbmann, Laura/L-3056-2013; Zucconi, L./U-9781-2018</t>
  </si>
  <si>
    <t>Pacelli, Claudia/0000-0001-5113-4293; Selbmann, Laura/0000-0002-8967-3329; Zucconi, L./0000-0001-9793-2303; ONOFRI, Silvano/0000-0001-8872-1440</t>
  </si>
  <si>
    <t>DLR grant FuE-Projekt ISS LIFE'' (Programm RFFuW,Teilprogramm 475); ASI (Italian Space Agency); PNRA (Italian National Antarctic Research Program); Italian Antarctic Museum, Felice Ippolito,''</t>
  </si>
  <si>
    <t>DLR grant FuE-Projekt ISS LIFE'' (Programm RFFuW,Teilprogramm 475); ASI (Italian Space Agency)(Agenzia Spaziale Italiana (ASI)); PNRA (Italian National Antarctic Research Program); Italian Antarctic Museum, Felice Ippolito,''</t>
  </si>
  <si>
    <t>This research was performed in the context of the STARLIFE consortium. The authors thank the DLR (German Aerospace Center, Institute of Aerospace Medicine, Radiation Biology Department) for irradiation experiments and for collaborations. M.R. and R.M. were supported by the DLR grant FuE-Projekt ISS LIFE'' (Programm RFFuW, Teilprogramm 475). The ASI (Italian Space Agency) and the PNRA (Italian National Antarctic Research Program) are kindly acknowledged for supporting the study, and the Italian Antarctic Museum, Felice Ippolito,'' for funding the conservation of Antarctic microorganisms in the CCFEE (Culture Collection of Fungi from Extreme Environments).</t>
  </si>
  <si>
    <t>10.1089/ast.2015.1456</t>
  </si>
  <si>
    <t>WOS:000394372800004</t>
  </si>
  <si>
    <t>Goursaud, S; Masson-Delmotte, V; Favier, V; Preunkert, S; Fily, M; Gallée, H; Jourdain, B; Legrand, M; Magand, O; Minster, B; Werner, M</t>
  </si>
  <si>
    <t>Goursaud, Sentia; Masson-Delmotte, Valerie; Favier, Vincent; Preunkert, Susanne; Fily, Michel; Gallee, Hubert; Jourdain, Bruno; Legrand, Michel; Magand, Olivier; Minster, Benedicte; Werner, Martin</t>
  </si>
  <si>
    <t>A 60-year ice-core record of regional climate from Adelie Land, coastal Antarctica</t>
  </si>
  <si>
    <t>SURFACE MASS-BALANCE; SEA-SALT AEROSOL; ISOTOPIC COMPOSITION; EAST ANTARCTICA; DUMONT DURVILLE; KATABATIC WINDS; ROUND RECORDS; WATER-VAPOR; CLOUD MODEL; SNOW</t>
  </si>
  <si>
    <t>A 22.4 m-long shallow firn core was extracted during the 2006/2007 field season from coastal Adelie Land. Annual layer counting based on subannual analyses of delta O-18 and major chemical components was combined with 5 reference years associated with nuclear tests and non-retreat of summer sea ice to build the initial ice-core chronology (19462006), stressing uncertain counting for 8 years. We focus here on the resulting delta O-18 and accumulation records. With an average value of 21.8 +/- 6.9 cmw. e. yr(-1), local accumulation shows multi-decadal variations peaking in the 1980s, but no long-term trend. Similar results are obtained for delta O-18, also characterised by a remarkably low and variable amplitude of the seasonal cycle. The ice-core records are compared with regional records of temperature, stake area accumulation measurements and variations in sea-ice extent, and outputs from two models nudged to ERA (European Re-analysis) atmospheric reanalyses: the high-resolution atmospheric general circulation model (AGCM), including stable water isotopes ECHAM5-wiso (European Centre Hamburg model), and the regional atmospheric model Modele Atmospherique Regional (AR). A significant linear correlation is identified between decadal variations in delta O-18 and regional temperature. No significant relationship appears with regional sea-ice extent. A weak and significant correlation appears with Dumont d'Urville wind speed, increasing after 1979. The model-data comparison highlights the inadequacy of ECHAM5-wiso simulations prior to 1979, possibly due to the lack of data assimilation to constrain atmospheric reanalyses. Systematic biases are identified in the ECHAM5-wiso simulation, such as an overestimation of the mean accumulation rate and its interannual variability, a strong cold bias and an underestimation of the mean delta O-18 value and its interannual variability. As a result, relationships between simulated delta O-18 and temperature are weaker than observed. Such systematic precipitation and temperature biases are not displayed by MAR, suggesting that the model resolution plays a key role along the Antarctic ice sheet coastal topography. Interannual variations in ECHAM5-wiso temperature and precipitation accurately capture signals from meteorological data and stake observations and are used to refine the initial ice-core chronology within 2 years. After this adjustment, remarkable positive (negative) delta O-18 anomalies are identified in the ice-core record and the ECHAM5-wiso simulation in 1986 and 2002 (1998-1999), respectively. Despite uncertainties associated with post-deposition processes and signal-to-noise issues, in one single coastal ice-core record, we conclude that the S1C1 core can correctly capture major annual anomalies in delta O-18 as well as multi-decadal variations. These findings highlight the importance of improving the network of coastal high-resolution ice-core records, and stress the skills and limitations of atmospheric models for accumulation and delta O-18 in coastal Antarctic areas. This is particularly important for the overall East Antarctic ice sheet mass balance.</t>
  </si>
  <si>
    <t>[Goursaud, Sentia; Masson-Delmotte, Valerie; Minster, Benedicte] Univ Paris Saclay, UMR CEA CNRS UVSQ IPSL 8212, LSCE, Gif Sur Yvette, France; [Goursaud, Sentia; Favier, Vincent; Preunkert, Susanne; Fily, Michel; Gallee, Hubert; Jourdain, Bruno; Legrand, Michel; Magand, Olivier] Univ Grenoble Alpes, CNRS, IRD, IGE, F-38000 Grenoble, France; [Goursaud, Sentia; Favier, Vincent; Preunkert, Susanne; Fily, Michel; Gallee, Hubert; Jourdain, Bruno; Legrand, Michel; Magand, Olivier] CNRS, LGGE, F-38041 Grenoble, France; [Werner, Martin] Alfred Wegener Inst Polar &amp; Marine Res AWI, Bremerhaven, Germany</t>
  </si>
  <si>
    <t>CEA; Centre National de la Recherche Scientifique (CNRS); Universite Paris Saclay; Universite Paris Cite; Communaute Universite Grenoble Alpes; Universite Grenoble Alpes (UGA); Centre National de la Recherche Scientifique (CNRS); Institut de Recherche pour le Developpement (IRD); Communaute Universite Grenoble Alpes; Universite Grenoble Alpes (UGA); Centre National de la Recherche Scientifique (CNRS); Helmholtz Association; Alfred Wegener Institute, Helmholtz Centre for Polar &amp; Marine Research</t>
  </si>
  <si>
    <t>Goursaud, S (corresponding author), Univ Paris Saclay, UMR CEA CNRS UVSQ IPSL 8212, LSCE, Gif Sur Yvette, France.;Goursaud, S (corresponding author), Univ Grenoble Alpes, CNRS, IRD, IGE, F-38000 Grenoble, France.;Goursaud, S (corresponding author), CNRS, LGGE, F-38041 Grenoble, France.</t>
  </si>
  <si>
    <t>sentia.goursaud@lsce.ipsl.fr</t>
  </si>
  <si>
    <t>Werner, Martin/C-8067-2014; Masson-Delmotte, Valerie L/G-1995-2011; Legrand, Michel/AAU-4678-2020; Favier, Vincent/T-1936-2017</t>
  </si>
  <si>
    <t>Werner, Martin/0000-0002-6473-0243; Masson-Delmotte, Valerie L/0000-0001-8296-381X; Favier, Vincent/0000-0001-6024-9498; Goursaud Oger, Sentia/0000-0002-9990-4258</t>
  </si>
  <si>
    <t>ASUMA project; ANR (Agence Nationale de la Recherche) [ANR-14-CE01-0001, ANR-07-VULN-0013]; French environmental observation service CESOA (Etude du cycle atmospherique du Soufre en relation avec le climat aux moyennes et hautes latitudes Sud); CNRS (INSU); IPEV; INSU; ASUMA project; ANR (Agence Nationale de la Recherche) [ANR-14-CE01-0001, ANR-07-VULN-0013]; French environmental observation service CESOA (Etude du cycle atmospherique du Soufre en relation avec le climat aux moyennes et hautes latitudes Sud); CNRS (INSU); IPEV; INSU; Agence Nationale de la Recherche (ANR) [ANR-14-CE01-0001, ANR-07-VULN-0013] Funding Source: Agence Nationale de la Recherche (ANR)</t>
  </si>
  <si>
    <t>ASUMA project; ANR (Agence Nationale de la Recherche)(Agence Nationale de la Recherche (ANR)); French environmental observation service CESOA (Etude du cycle atmospherique du Soufre en relation avec le climat aux moyennes et hautes latitudes Sud); CNRS (INSU)(Centre National de la Recherche Scientifique (CNRS)); IPEV; INSU(Centre National de la Recherche Scientifique (CNRS)); ASUMA project; ANR (Agence Nationale de la Recherche)(Agence Nationale de la Recherche (ANR)); French environmental observation service CESOA (Etude du cycle atmospherique du Soufre en relation avec le climat aux moyennes et hautes latitudes Sud); CNRS (INSU)(Centre National de la Recherche Scientifique (CNRS)); IPEV; INSU(Centre National de la Recherche Scientifique (CNRS)); Agence Nationale de la Recherche (ANR)(Agence Nationale de la Recherche (ANR))</t>
  </si>
  <si>
    <t>This work and the PhD thesis of S. Goursaud are funded by the ASUMA project and supported by the ANR (Agence Nationale de la Recherche, Project no.: ANR-14-CE01-0001). The S1C1 core was drilled within the International TASTE-IDEA (Trans-Antarctic Scientific Traverse Expeditions Ice Divide of East Antarctica)/VANISH (Vulnaribility of ANtarctic Ice SHeet and its atmosphere) programmes supported by the ANR (Agence Nationale de la Recherche, Project no.: ANR-07-VULN-0013), during the 2006/2007 summer campaign, with logistical support from Institut Polaire Francais-Paul Emile Victor (IPEV). Chemical analysis were supported by the French environmental observation service CESOA (Etude du cycle atmospherique du Soufre en relation avec le climat aux moyennes et hautes latitudes Sud, http://www-lgge.ujf-grenoble.fr/CESOA/rubri-que.php3?id_rubrique=2) dedicated to the study of the sulfur cycle at middle and high southern latitudes and supported by the CNRS (INSU) and IPEV. We thank all the field team members who contributed to the success of the 2006-2007 TASTE-IDEA/VANISH summer campaign. GLACIOCLIM-SAMBA observatory is supported by IPEV and INSU. Finally, this work was first presented as a poster to the 2016 IPICS (International Partnership in Ice Core Sciences) conference in Hobart, Tasmania. We are extremely grateful to the scientific and local organisation committees for such a stimulating meeting!</t>
  </si>
  <si>
    <t>10.5194/tc-11-343-2017</t>
  </si>
  <si>
    <t>EM1OO</t>
  </si>
  <si>
    <t>WOS:000395087100002</t>
  </si>
  <si>
    <t>Costa, VS; Mill, GN; Gabioux, M; Grossmann-Matheson, GS; Paiva, AM</t>
  </si>
  <si>
    <t>Costa, Vladimir S.; Mill, Guilherme N.; Gabioux, Mariela; Grossmann-Matheson, Guisela S.; Paiva, Afonso M.</t>
  </si>
  <si>
    <t>The recirculation of the intermediate western boundary current at the Tubarao Bight - Brazil</t>
  </si>
  <si>
    <t>Antarctic Intermediate Water; Argo trajectories; Vitoria-Trindade Ridge; South Atlantic</t>
  </si>
  <si>
    <t>ATLANTIC DEEP-WATER; CURRENT SYSTEM; VITORIA EDDY; CIRCULATION; OCEAN; ASSIMILATION; 20-DEGREES-S; MODEL</t>
  </si>
  <si>
    <t>Lagrangian floats and current meter measurements from two moored arrays are analyzed, in combination with altimetry data, in order to investigate the recirculation of Antarctic Intermediate Waters (AAIW), and of the Intermediate Western Boundary Current (IWBC) at the Tubarao Bight, in the vicinity of the Vitoria-Trindade Ridge (VTR), Brazil. Results from a high-resolution numerical simulation provide a complementary view of the flow at intermediate and surface levels. The data depict a topographically-induced cyclonic recirculation at intermediate levels, and five Argo floats are successively trapped inside the bight for two-and-a-half years, performing a total of 10 closed clockwise gyres during this period of time. In situ measurements at the western side of the bight show an intense alongshore flow at intermediate levels, with averaged velocities at 800 m of similar to 30 cm/s, and peak velocities exceeding 50 cm/s, magnitudes comparable to the Brazil Current (BC) flow at surface levels. The recirculation extends from at least 1000 m deep up to 370 m, reaching sometimes depths as shallow as 150 m, but is mostly uncoupled from the surface flow during the one-and-a-half year long current meter record. Three different flow patterns are observed, and simulated, at surface levels inside the bight during the time the recirculation is well established at intermediate levels: a shallow cyclonic circulation, somewhat akin to the Vitoria Eddy; a recurrent anticyclonic flow that encompasses the entire bight; and a southwestward oriented circulation, associated with the BC being reorganized in a coherent flow after negotiating its way through the VTR channels. A significant portion (about 50% according to the model) of the inflow of intermediate waters recirculates, enhancing the flow of the IWBC within the bight, and increasing the age of AAIW that will eventually cross the VTR on its way to lower latitudes. Although the data are not conclusive about a preferential pathway of the intermediate flow across the VTR, the simulation indicates that up to 70% will exit through the main channel located between the Besnard Bank and the Vitoria Seamount, while 30% will follow eastward to the south of the VTR, in a region of intense mesoscale activity, and then cross the ridge farther east.</t>
  </si>
  <si>
    <t>[Costa, Vladimir S.; Mill, Guilherme N.; Gabioux, Mariela; Paiva, Afonso M.] Univ Fed Rio de Janeiro, COPPE, Programa Engn Ocean, Ctr Tecnol,Ilha Fundao, Ave Horacio Macedo,Cidade Univ, Rio de Janeiro, RJ, Brazil; [Grossmann-Matheson, Guisela S.] CENPES, Ctr Pesquisas &amp; Desenvolvimento Leopoldo Americo, PETROBRAS, Ilha Fundao, Ave Horacio Macedo 950,Cidade Univ, Rio De Janeiro, RJ, Brazil</t>
  </si>
  <si>
    <t>Universidade Federal do Rio de Janeiro; Petrobras</t>
  </si>
  <si>
    <t>Costa, VS (corresponding author), Univ Fed Rio de Janeiro, COPPE, Programa Engn Ocean, Ctr Tecnol,Ilha Fundao, Ave Horacio Macedo,Cidade Univ, Rio de Janeiro, RJ, Brazil.</t>
  </si>
  <si>
    <t>vladimir@oceanica.uftj.br</t>
  </si>
  <si>
    <t>Thomaz, Kathleen/HZI-4533-2023; Gabioux, Mariela/GQA-6278-2022; Paiva, Afonso/AAI-2557-2020</t>
  </si>
  <si>
    <t>Paiva, Afonso/0000-0002-2559-6037; Gabioux, Mariela/0000-0002-3614-4191; Santiago Grossmann Matheson, Guisela/0000-0003-4258-8298</t>
  </si>
  <si>
    <t>Capes (Brazilian Federal Agency for Support and Evaluation of Graduate Education); Oceanographic Modeling and Observation Network (REMO); Cnes; Ifremer; CNPq (National Council for Scientific and Technological Development)</t>
  </si>
  <si>
    <t>Capes (Brazilian Federal Agency for Support and Evaluation of Graduate Education)(Coordenacao de Aperfeicoamento de Pessoal de Nivel Superior (CAPES)); Oceanographic Modeling and Observation Network (REMO); Cnes(Centre National D'etudes Spatiales); Ifremer; CNPq (National Council for Scientific and Technological Development)(Conselho Nacional de Desenvolvimento Cientifico e Tecnologico (CNPQ))</t>
  </si>
  <si>
    <t>The authors would like to thank PETROBRAS for providing the current measurements (proprietary data), J. B. Alvarenga for the bathymetric data, and the seven anonymous reviewers for their valuable contributions. The first author was funded by Capes (Brazilian Federal Agency for Support and Evaluation of Graduate Education), and by the Oceanographic Modeling and Observation Network (REMO). The altimeter products were produced by Ssalto/Duacs and distributed by Aviso with support from Cnes. The Argo data are made freely available on the Coriolis data center, part of the Argo Global Data Assembly Center with support from Ifremer. This work is a contribution to the INCT-PROOCEANO, a National Institute for Science and Technology for Integrated Studies of Processes along Continental and Slope Waters supported by CNPq (National Council for Scientific and Technological Development).</t>
  </si>
  <si>
    <t>10.1016/j.dsr.2016.12.001</t>
  </si>
  <si>
    <t>EL1TN</t>
  </si>
  <si>
    <t>WOS:000394404100005</t>
  </si>
  <si>
    <t>Araujo, MLV; Mendes, CRB; Tavano, VM; Garcia, CAE; Baringer, MO</t>
  </si>
  <si>
    <t>Vieira Araujo, Milton Luiz; Borges Mendes, Carlos Rafael; Tavano, Virginia Maria; Eiras Garcia, Carlos Alberto; Baringer, Molly O'Neil</t>
  </si>
  <si>
    <t>Contrasting patterns of phytoplankton pigments and chemotaxonomic groups along 30°S in the subtropical South Atlantic Ocean</t>
  </si>
  <si>
    <t>CLIVAR; Phytoplankton community structure; Biogeochemical provinces; HPLC; CHEMTAX</t>
  </si>
  <si>
    <t>COMMUNITY STRUCTURE; SURFACE PHYTOPLANKTON; MERIDIONAL TRANSECT; SIZE-STRUCTURE; CONTINENTAL-SHELF; EASTERN BOUNDARY; EUPHOTIC ZONE; CELL-SIZE; CHLOROPHYLL; VARIABILITY</t>
  </si>
  <si>
    <t>This work describes the spatial distribution of pigments and main taxonomic groups of phytoplankton in the biogeochemical provinces of the subtropical South Atlantic Ocean, along 30 degrees S latitude. Seawater samples (surface to 200 m depth) were collected along 120 oceanographic stations occupied in the early austral spring of 2011, during a CLIVAR Repeat Hydrography cruise. The pigments were identified and quantified by high performance liquid chromatography (HPLC), and CHEMTAX software was used to determine the relative contributions of the main taxonomic groups to total chlorophyll a (phytoplankton biomass index). Sampling stations were grouped into three provinces: Africa, Gyre, and Brazil, corresponding to the eastern, central, and western sectors of the transect, respectively. Our results showed that both vertical and horizontal distribution patterns of pigments and taxonomic groups were mainly determined by the availability of light and/or nutrients. Photosynthetic carotenoids (PSCs), associated with small flagellates (mainly haptophytes), dominated the light limited and nutrient-enhanced deep chlorophyll maximum (DCM) layers of both the Brazil and Gyre provinces, as well as the upwelling influenced surface waters of the Africa province. The latter showed the highest chlorophyll a values (&gt; 1 mg m(-3)) and abundance of dinoflagellates in the coastal region. Photoprotective carotenoids (PPCs) were predominant in the nutrient-poor and well-lit surface layers of the Brazil and Gyre provinces, associated with a low content of chlorophyll a (similar to 0.1 mg m(-3)) and dominance of prokaryotes (Synechoccocus and Prochloroccocus). This study demonstrates that pigment analysis can provide a useful approach to better understand the distribution of phytoplankton communities along physical-chemical gradients in a still undersampled region of the South Atlantic Ocean.</t>
  </si>
  <si>
    <t>[Vieira Araujo, Milton Luiz; Borges Mendes, Carlos Rafael; Tavano, Virginia Maria; Eiras Garcia, Carlos Alberto] Univ Fed Rio Grande, FURG, Inst Oceanog, BR-96203900 Rio Grande, RS, Brazil; [Baringer, Molly O'Neil] NOAA, Atlant Oceanog &amp; Meteorol Lab, Miami, FL 33149 USA</t>
  </si>
  <si>
    <t>Universidade Federal do Rio Grande; National Oceanic Atmospheric Admin (NOAA) - USA; Atlantic Oceanographic &amp; Meteorological Laboratory (AOML)</t>
  </si>
  <si>
    <t>Araujo, MLV (corresponding author), Univ Fed Rio Grande, FURG, Inst Oceanog, BR-96203900 Rio Grande, RS, Brazil.</t>
  </si>
  <si>
    <t>araujomlv@gmail.com</t>
  </si>
  <si>
    <t>Garcia, Carlos A. E./K-7382-2012; Baringer, Molly O/D-2277-2012; Mendes, Carlos/I-1520-2012; Mendes, Carlos/GVU-7596-2022; Mendes, Carlos/AAD-6504-2021; Tavano, Virginia/C-5241-2013; Vieira Araujo, Milton Luiz/N-1851-2015</t>
  </si>
  <si>
    <t>Mendes, Carlos/0000-0001-6875-8860; Mendes, Carlos/0000-0001-6875-8860; Tavano, Virginia/0000-0003-0039-8111; Vieira Araujo, Milton Luiz/0000-0003-4972-4192</t>
  </si>
  <si>
    <t>Brazilian Antarctic Program (PROANTAR); Brazilian Ministry of the Environment; Brazilian Ministry of Science, Technology and Innovation (MCTI); Council for Research and Scientific Development of Brazil (CNPq); NOAA Climate Program Office; NOAA Atlantic Oceanographic and Meteorological Laboratory; CAPES Foundation</t>
  </si>
  <si>
    <t>Brazilian Antarctic Program (PROANTAR); Brazilian Ministry of the Environment; Brazilian Ministry of Science, Technology and Innovation (MCTI); Council for Research and Scientific Development of Brazil (CNPq)(Conselho Nacional de Desenvolvimento Cientifico e Tecnologico (CNPQ)Fundacao de Apoio a Pesquisa do Distrito Federal (FAPDF)); NOAA Climate Program Office(National Oceanic Atmospheric Admin (NOAA) - USA); NOAA Atlantic Oceanographic and Meteorological Laboratory(National Oceanic Atmospheric Admin (NOAA) - USA); CAPES Foundation(Coordenacao de Aperfeicoamento de Pessoal de Nivel Superior (CAPES))</t>
  </si>
  <si>
    <t>This study is a contribution to the activities of the Brazilian High Latitudes Oceanography Group (GOAL). GOAL has been funded by the Brazilian Antarctic Program (PROANTAR), the Brazilian Ministry of the Environment (MMA), the Brazilian Ministry of Science, Technology and Innovation (MCTI) and the Council for Research and Scientific Development of Brazil (CNPq). We thank captain and crew of the RV Ronald H. Brown and the NSF/NOAA-funded U.S. CLIVAR Repeat Hydrography Program (funding provided by the NOAA Climate Program Office and the NOAA Atlantic Oceanographic and Meteorological Laboratory). We are very grateful to Simon Wright, from the Australian Antarctic Division, for providing CHEMTAX v.1.95, and to Luciano Azevedo for collecting all optical data and seawater samples for pigments analysis. M. L.V. Araujo and C.R.B. Mendes acknowledge financial support from the CAPES Foundation (Coordination for the Improvement of Higher Education Personnel). We are thankful for the constructive criticism of two anonymous reviewers, which helped to improve the manuscript.</t>
  </si>
  <si>
    <t>10.1016/j.dsr.2016.12.004</t>
  </si>
  <si>
    <t>WOS:000394404100010</t>
  </si>
  <si>
    <t>Vanhatalo, J; Hosack, GR; Sweatman, H</t>
  </si>
  <si>
    <t>Vanhatalo, Jarno; Hosack, Geoffrey R.; Sweatman, Hugh</t>
  </si>
  <si>
    <t>Spatiotemporal modelling of crown-of-thorns starfish outbreaks on the Great Barrier Reef to inform control strategies</t>
  </si>
  <si>
    <t>JOURNAL OF APPLIED ECOLOGY</t>
  </si>
  <si>
    <t>crown-of-thorns starfish; functional response; Gaussian process; Great Barrier Reef; hierarchical model; long-term ecological monitoring; marine parks; no-take areas; spatiotemporal dependence; time series</t>
  </si>
  <si>
    <t>ACANTHASTER-PLANCI L; CORAL-REEFS; FISH COMMUNITIES; CLIMATE-CHANGE; SEA STAR; INFESTATION; DESTRUCTION; POPULATION; RESILIENCE; MANAGEMENT</t>
  </si>
  <si>
    <t>Cyclical outbreaks of pests can impact the functioning of entire ecosystems. An eminent example is outbreaks of crown-of-thorns starfish (COTS; Acanthaster planci) that cause substantial coral mortality on the Great Barrier Reef (GBR). We analyse COTS abundance and outbreaks with a Bayesian spatiotemporal model applied to a long-term survey of the GBR (1985-2014). We assess the relative increase in COTS abundance beyond that explained by a reef's location and explanatory covariates, and thereby incorporate local reef characteristics into the identification of outbreaks, while allowing for both randomness and predictable patterns in the development of outbreaks. The model results confirm that waves of COTS outbreaks originate near Lizard Island (1467 degrees S) and progress in a northwesterly or southeasterly direction, with the southward wave progressing about 60kmyear(-1). The model reveals several previously unidentified hotspots with high average COTS abundance. The abundance of COTS may also have decreased on reefs protected from fishing after an expansion of protected areas within the GBR Marine Park in 2004, which suggests that closing reefs to fishing may help control COTS.Synthesis and applications. In this study, we use 30years of data from the Great Barrier Reef to show that the timing and geographic location of crown-of-thorns starfish (COTS) outbreaks can be modelled by incorporating covariates, spatial and spatiotemporal dependence within a single coherent framework. The model can be used to identify areas of high average COTS abundance, to assess the impact of fishery management actions such as no-take areas and to identify areas where waves of outbreaks may originate. The identification of outbreaks from noisy long-term spatially extensive data may help managers choose appropriate control strategies. This modelling approach is applicable to other ecosystems where outbreaks of damaging pests occur.</t>
  </si>
  <si>
    <t>[Vanhatalo, Jarno] Univ Helsinki, Dept Math &amp; Stat, POB 65, FIN-00014 Helsinki, Finland; [Vanhatalo, Jarno] Univ Helsinki, Dept Biosci, POB 65, FIN-00014 Helsinki, Finland; [Hosack, Geoffrey R.] CSIRO Marine Labs, Hobart, Tas 7001, Australia; [Sweatman, Hugh] Australian Inst Marine Sci, PMB 3, Townsville, Qld 4810, Australia</t>
  </si>
  <si>
    <t>University of Helsinki; University of Helsinki; Commonwealth Scientific &amp; Industrial Research Organisation (CSIRO); Australian Institute of Marine Science</t>
  </si>
  <si>
    <t>Vanhatalo, J (corresponding author), Univ Helsinki, Dept Math &amp; Stat, POB 65, FIN-00014 Helsinki, Finland.;Vanhatalo, J (corresponding author), Univ Helsinki, Dept Biosci, POB 65, FIN-00014 Helsinki, Finland.</t>
  </si>
  <si>
    <t>jarno.vanhatalo@helsinki.fi</t>
  </si>
  <si>
    <t>Hosack, Geoffrey/E-8566-2010; Vanhatalo, Jarno/H-4435-2012</t>
  </si>
  <si>
    <t>Hosack, Geoffrey/0000-0002-6462-6817; Vanhatalo, Jarno/0000-0002-6831-0211</t>
  </si>
  <si>
    <t>Australian Government's Marine and Tropical Sciences Research Facility; Australian Government's National Environmental Research Program (NERP); Academy of Finland [266349]; University of Helsinki; Finnish Science Foundation for Economics and Technology (KAUTE); NERP Marine Biodiversity Hub; Academy of Finland (AKA) [266349] Funding Source: Academy of Finland (AKA)</t>
  </si>
  <si>
    <t>Australian Government's Marine and Tropical Sciences Research Facility(Australian Government); Australian Government's National Environmental Research Program (NERP)(Australian Government); Academy of Finland(Research Council of Finland); University of Helsinki; Finnish Science Foundation for Economics and Technology (KAUTE); NERP Marine Biodiversity Hub; Academy of Finland (AKA)(Research Council of Finland)</t>
  </si>
  <si>
    <t>We thank all those who have contributed to the Australian Institute of Marine Science (AIMS) surveys through the decades. The program has been partially supported by the Australian Government's Marine and Tropical Sciences Research Facility and National Environmental Research Program (NERP). This work was undertaken for the Marine Biodiversity Hub, a collaborative partnership supported through funding from the Australian Government's National Environmental Research Program (NERP). NERP Marine Biodiversity Hub partners include the Institute for Marine and Antarctic Studies, University of Tasmania; CSIRO, Geoscience Australia, Australian Institute of Marine Science, Museum Victoria, Charles Darwin University and the University of Western Australia. The funders had no role in study design, data collection and analysis, decision to publish, or preparation of the manuscript. We thank Keith Hayes and Dan Pagendam for their comments on the manuscript. J.V. was funded by the Academy of Finland (grant 266349), research funds of the University of Helsinki and the Finnish Science Foundation for Economics and Technology (KAUTE). G.R.H. and H.S. were supported by the NERP Marine Biodiversity Hub. The authors declare no conflict of interest.</t>
  </si>
  <si>
    <t>WILEY-BLACKWELL</t>
  </si>
  <si>
    <t>0021-8901</t>
  </si>
  <si>
    <t>1365-2664</t>
  </si>
  <si>
    <t>J APPL ECOL</t>
  </si>
  <si>
    <t>J. Appl. Ecol.</t>
  </si>
  <si>
    <t>10.1111/1365-2664.12710</t>
  </si>
  <si>
    <t>EJ6IL</t>
  </si>
  <si>
    <t>WOS:000393322600020</t>
  </si>
  <si>
    <t>Jain, A; Krishnan, KP</t>
  </si>
  <si>
    <t>Jain, Anand; Krishnan, Kottekkatu Padinchati</t>
  </si>
  <si>
    <t>A glimpse of the diversity of complex polysaccharide-degrading culturable bacteria from Kongsfjorden, Arctic Ocean</t>
  </si>
  <si>
    <t>ANNALS OF MICROBIOLOGY</t>
  </si>
  <si>
    <t>Bacteria; Diversity; Culturable; Polysaccharides; Cold active enzymes; Kongsfjorden</t>
  </si>
  <si>
    <t>PARTICULATE ORGANIC-MATTER; COLD-ADAPTED LIPASE; EXTRACELLULAR ENZYMES; ACTIVE ENZYMES; GLACIAL FJORD; TEMPERATURE; GENE; IDENTIFICATION; SEA; EXPRESSION</t>
  </si>
  <si>
    <t>Cold-adapted, complex polysaccharide-degrading marine bacteria have important implications in biogeochemical processes and biotechnological applications. Bacteria capable of degrading complex polysaccharide substrates, mainly starch, have been isolated from various cold environments, such as sea ice, glaciers, subglacial lakes, and marine sediments. However, the total diversity of polysaccharide-degrading culturable bacteria in Kongsfjorden, Arctic Ocean, remains unexplored. In the study reported here, we tested 215 cold-adapted heterotrophic bacterial cultures (incubated at 4 and 20 degrees C, respectively) isolated from Kongsfjorden, for the production of cold-active extracellular polysaccharide-degrading enzymes, including amylase, pectinase, alginase, xylanase, and carboxymethyl (CM)-cellulase. Our results show that 52 and 41% of the bacterial isolates tested positive for extracellular enzyme activities at 4 and 20 degrees C, respectively. A large fraction of the bacterial isolates (37% of the positive isolates) showed multiple extracellular enzyme activities. Alginase and pectinase were the most predominantly active enzymes, followed by amylase, xylanase, and CM-cellulase. All isolates which tested positive for extracellular enzyme activities were affiliated to microbial class Gammaproteobacteria. The four genera with the highest number of isolates were Pseudomonas, followed by Psychrobacter, Pseudoalteromonas, and Shewanella. The prevalence of complex polysaccharide-degrading enzymes among the isolates indicates the availability of complex polysaccharide substrates in the Kongsfjorden, likely as a result of glacial melting and/or macroalgal load. In addition, the observed high functional/phenotypic diversity in terms of extracellular enzyme activities within the bacterial genera indicates a role in regulating carbon/carbohydrate turnover in the Kongsfjorden, especially by reducing recalcitrance.</t>
  </si>
  <si>
    <t>[Jain, Anand; Krishnan, Kottekkatu Padinchati] Natl Ctr Antarctic &amp; Ocean Res, Cryobiol Lab, Vasco Da Gama 403804, Goa, India</t>
  </si>
  <si>
    <t>Jain, A (corresponding author), Natl Ctr Antarctic &amp; Ocean Res, Cryobiol Lab, Vasco Da Gama 403804, Goa, India.</t>
  </si>
  <si>
    <t>microanand2003@gmail.com</t>
  </si>
  <si>
    <t>jain, anand/0000-0002-2935-5441</t>
  </si>
  <si>
    <t>1590-4261</t>
  </si>
  <si>
    <t>1869-2044</t>
  </si>
  <si>
    <t>ANN MICROBIOL</t>
  </si>
  <si>
    <t>Ann. Microbiol.</t>
  </si>
  <si>
    <t>10.1007/s13213-016-1252-0</t>
  </si>
  <si>
    <t>EK7EJ</t>
  </si>
  <si>
    <t>WOS:000394088500007</t>
  </si>
  <si>
    <t>Lombal, AJ; Wenner, TJ; Carlile, N; Austin, JJ; Woehler, E; Priddel, D; Burridge, CP</t>
  </si>
  <si>
    <t>Lombal, Anicee J.; Wenner, Theodore J.; Carlile, Nicholas; Austin, Jeremy J.; Woehler, Eric; Priddel, David; Burridge, Christopher P.</t>
  </si>
  <si>
    <t>Population genetic and behavioural variation of the two remaining colonies of Providence petrel (Pterodroma solandri)</t>
  </si>
  <si>
    <t>CONSERVATION GENETICS</t>
  </si>
  <si>
    <t>Oceanic seabird; Pterodroma solandri; Gene flow; Behavioural variation; Conservation management</t>
  </si>
  <si>
    <t>MITOCHONDRIAL-DNA; COMPUTER-PROGRAM; INBREEDING DEPRESSION; CORYS SHEARWATERS; RANGE EXPANSION; STORM-PETREL; DIVERGENCE; ISLAND; MIGRATION; GENOTYPE</t>
  </si>
  <si>
    <t>Knowledge of the dispersal capacity of species is crucial to assess their extinction risk, and to establish appropriate monitoring and management strategies. The Providence petrel (Pterodroma solandri) presently breeds only at Lord Howe Island (similar to 32,000 breeding pairs) and Phillip Island-7 km south of Norfolk Island (similar to 20 breeding pairs). A much larger colony previously existed on Norfolk Island (similar to 1,000,000 breeding pairs) but was hunted to extinction in the 18th Century. Differences in time of return to nesting sites are presently observed between the two extant colonies. Information on whether the Phillip Island colony is a relict population from Norfolk Island, or a recent colonization from Lord Howe Island, is essential to assess long-term sustainability and conservation significance of this small colony. Here, we sequenced the mitochondrial cytochrome b gene and 14 nuclear introns, in addition to genotyping 10 microsatellite loci, to investigate connectivity of the two extant P. solandri populations. High gene flow between populations and recent colonization of Phillip Island (95 % HPD 56-200 ya) are inferred, which may delay or prevent the genetic differentiation of these insular populations. These results suggest high plasticity in behaviour in this species and imply limited genetic risks surrounding both the sustainability of the small Phillip Island colony, and a proposal for translocation of Lord Howe Island individuals to re-establish a colony on Norfolk Island.</t>
  </si>
  <si>
    <t>[Lombal, Anicee J.; Wenner, Theodore J.; Burridge, Christopher P.] Univ Tasmania, Sch Biol Sci, Hobart, Tas 7001, Australia; [Carlile, Nicholas; Priddel, David] Dept Environm &amp; Conservat, POB 1967, Hurstville, NSW 2220, Australia; [Austin, Jeremy J.] Univ Adelaide, Sch Biol Sci, Australian Ctr Ancient DNA, Adelaide, SA 5005, Australia; [Woehler, Eric] Univ Tasmania, Inst Marine &amp; Antarctic Studies, Hobart, Tas 7053, Australia</t>
  </si>
  <si>
    <t>University of Tasmania; University of Adelaide; University of Tasmania</t>
  </si>
  <si>
    <t>Lombal, AJ (corresponding author), Univ Tasmania, Sch Biol Sci, Hobart, Tas 7001, Australia.</t>
  </si>
  <si>
    <t>anicee.Lombal@utas.edu.au; theodore.Wenner@utas.edu.au; nicholas.Carlile@environment.nsw.gov.au; jeremy.austin@adelaide.edu.au; eric.woehler@utas.edu.au; david.priddel@environment.nsw.gov.au; chris.Burridge@utas.edu.au</t>
  </si>
  <si>
    <t>Burridge, Chris/L-4392-2019; Lombal, Anicee/J-5847-2015; Austin, Jeremy/F-8729-2010; Burridge, Christopher/J-2653-2012</t>
  </si>
  <si>
    <t>Lombal, Anicee/0000-0002-7545-4184; Austin, Jeremy/0000-0003-4244-2942; Burridge, Christopher/0000-0002-8185-6091; Woehler, Eric/0000-0002-1125-0748</t>
  </si>
  <si>
    <t>Sea world Research and Rescue Foundation Inc [SWR/4/2011]</t>
  </si>
  <si>
    <t>Sea world Research and Rescue Foundation Inc</t>
  </si>
  <si>
    <t>We are grateful to David Binns, Norfolk Island Parks and Wildlife for providing logistics, transportation and accommodation during field-work on Norfolk Island. We thank Honey McCoy for sharing his data on Phillip Island seabirds. The Sea world Research and Rescue Foundation Inc (Grant SWR/4/2011) supported this work. Field sample collection of Providence petrel blood samples was conducted with Animal Ethics permission from University of Tasmania Ethics Committee (Permit# A00011680). We thank the anonymous reviewers for their careful reading of our paper.</t>
  </si>
  <si>
    <t>1566-0621</t>
  </si>
  <si>
    <t>1572-9737</t>
  </si>
  <si>
    <t>CONSERV GENET</t>
  </si>
  <si>
    <t>Conserv. Genet.</t>
  </si>
  <si>
    <t>10.1007/s10592-016-0887-5</t>
  </si>
  <si>
    <t>Biodiversity Conservation; Genetics &amp; Heredity</t>
  </si>
  <si>
    <t>Biodiversity &amp; Conservation; Genetics &amp; Heredity</t>
  </si>
  <si>
    <t>EK9OH</t>
  </si>
  <si>
    <t>WOS:000394253300009</t>
  </si>
  <si>
    <t>Araos, JM; Le Roux, JP; Gutierrez, NM</t>
  </si>
  <si>
    <t>Araos, Jose Miguel; Le Roux, Jacobus Philiphus; Gutierrez, Nestor Mauricio</t>
  </si>
  <si>
    <t>Relict glacial landscape in the Sierra Baguales Mountain Range (50A°-51A° S): evidence of glaciation dynamics and types in the eastern foothills of the southern Patagonian Andes</t>
  </si>
  <si>
    <t>JOURNAL OF MOUNTAIN SCIENCE</t>
  </si>
  <si>
    <t>Glacial morphology; Sierra Baguales; Ice sheet glaciations; Alpine glaciations; Middle Holocene</t>
  </si>
  <si>
    <t>EQUILIBRIUM-LINE ALTITUDES; COSMOGENIC NUCLIDE CHRONOLOGY; PUERTO-BANDERA MORAINES; ANTARCTIC COLD REVERSAL; LAGO-BUENOS-AIRES; RADIOCARBON CHRONOLOGY; LAKE DISTRICT; MASS-BALANCE; AMERICA; ARGENTINA</t>
  </si>
  <si>
    <t>The glacial morphology of southern South American presents invaluable evidence to reconstruct former glacier behaviour and its relation to climate and environmental changes. However, there are still spatial and temporal gaps in the reconstruction of the Holocene Patagonian glacial landscape. Here we present the first geomorphological record for the Sierra Baguales Mountain Range (SBMR), forming the eastern foothills of the Southern Patagonian Andes 200 km from the Pacific coast. This area is topographically isolated from the Southern Patagonian Ice Field (SPIF), and is affected by the Westerly Winds. The study area shows evidence of ice sheet and alpine glaciations related to Andean uplift, which caused a marked climatic contrast between its western and eastern flanks since the Last Glacial Maximum (LGM). The regional rock mass strength and precipitation gradient acted as a controlling factor in the glacial cirque distribution and sizes, as well as in the development of glaciation types. We report new radiocarbon dates associated with warm/dry to cold/wet climatic changes during the middle Holocene, when former small alpine glaciers were located in the uppermost section of the SBMR basins, and eventually converged to form a small ice field or a composite valley glacier at lower elevations. This can be explained by an estimated regional temperature drop of 3.8A degrees C +/- 0.8A degrees C, based on a 585 +/- 26 m Equilibrium Line Altitude (ELA) descent, inferred by geomorphological evidence and the Accumulation Area Ratio (AAR), in addition to a free-air adiabatic lapse rate. Subsequently, the glaciers receded due to climatic factors including a rise in temperature, as well as non-climatic factors, mainly the glacier bedrock topography.</t>
  </si>
  <si>
    <t>[Araos, Jose Miguel; Gutierrez, Nestor Mauricio] Univ Chile, FCFM, Dept Geol, Plaza Ercilla 803, Santiago, Chile; [Araos, Jose Miguel] Univ Alberto Hurtado, Fac Social Sci, Dept Geog, Cienfuegos 41, Santiago, Chile; [Le Roux, Jacobus Philiphus] Univ Chile, FCFM, Dept Geol, Andean Geothermal Ctr Excellence, Plaza Ercilla 803, Santiago, Chile</t>
  </si>
  <si>
    <t>Universidad de Chile; Universidad Alberto Hurtado; Universidad de Chile</t>
  </si>
  <si>
    <t>Araos, JM (corresponding author), Univ Chile, FCFM, Dept Geol, Plaza Ercilla 803, Santiago, Chile.;Araos, JM (corresponding author), Univ Alberto Hurtado, Fac Social Sci, Dept Geog, Cienfuegos 41, Santiago, Chile.</t>
  </si>
  <si>
    <t>jaraos@uahurtado.cl; jroux@cec.uchile.cl; gutierrezn@ug.uchile.cl</t>
  </si>
  <si>
    <t>Le Roux, Jacobus Philippus/U-7085-2019; Le Roux, Jacobus/A-9765-2008</t>
  </si>
  <si>
    <t>Le Roux, Jacobus Philippus/0000-0003-0173-4471; Le Roux, Jacobus/0000-0003-0173-4471; Araos Espinoza, Jose/0000-0002-5443-9911</t>
  </si>
  <si>
    <t>Becas de Doctorado en Chile Scholarships Program; Gastos Operacionales para Proyecto de Tesis Doctoral of CONICYT; [CONICYT/FONDAP/15090013]</t>
  </si>
  <si>
    <t>Becas de Doctorado en Chile Scholarships Program; Gastos Operacionales para Proyecto de Tesis Doctoral of CONICYT;</t>
  </si>
  <si>
    <t>We are grateful for grants from the Becas de Doctorado en Chile Scholarships Program and Gastos Operacionales para Proyecto de Tesis Doctoral of CONICYT. Juan MacLean and his family kindly allowed access to the farms Las Cumbres and Baguales and Juan Pablo Riquez allowed access to the farm Verdadera Argentina. Juan Carlos Aravena and Rodrigo Villa-Martinez of the Universidad de Magallanes, Jose Luis Oyarzun, and Juan Jose San Martin provided much-appreciated logistical support. Ricardo Arce, Mauricio Gonzales, Mike Kaplan and Carly Peltier lent invaluable assistance in field activities. Le Roux was supported by Project CONICYT/FONDAP/15090013.</t>
  </si>
  <si>
    <t>1672-6316</t>
  </si>
  <si>
    <t>1993-0321</t>
  </si>
  <si>
    <t>J MT SCI-ENGL</t>
  </si>
  <si>
    <t>J Mt. Sci.</t>
  </si>
  <si>
    <t>10.1007/s11629-016-4151-8</t>
  </si>
  <si>
    <t>EK8EO</t>
  </si>
  <si>
    <t>WOS:000394156900005</t>
  </si>
  <si>
    <t>Ivanova, NY; Grebelnyi, SD</t>
  </si>
  <si>
    <t>Ivanova, N. Yu.; Grebelnyi, S. D.</t>
  </si>
  <si>
    <t>On the food of the Antarctic sea anemone Urticinopsis antarctica Carlgren, 1927 (Actiniidae, Actiniaria, Anthozoa)</t>
  </si>
  <si>
    <t>Antarctica; Urticinopsis antarctica; prey capture; coelenteron content; diet; generalist</t>
  </si>
  <si>
    <t>EQUINA</t>
  </si>
  <si>
    <t>The results of an investigation into coelenteron content of the Antarctic sea anemone Urticinopsis antarctica Carlgren, 1927 are presented. Remains of invertebrate animals and fishes were found in the gastrovascular cavity of anemones. Some of them were damaged by digestion and were considered as food items of U. antarctica. These items were molluscs Addamussium colbecki (Smith, 1902), Laevilacunaria pumilia Smith, 1879, Eatoniella caliginosa Smith, 1875 and one not strictly identified gastropod species from the family Rissoidae; a crinoid from the family Comatulida; sea-urchin Sterechinus neumayeri Meissner, 1900; ophiuroid Ophiurolepis brevirima Mortensen, 1936 and a fish Trematomus sp. In contrast to the prey mentioned above, three specimens of amphipods Conicostoma sp. were not destroyed by digestion. They may represent commensals, which live in the gastrovascular cavity of the anemone.</t>
  </si>
  <si>
    <t>[Ivanova, N. Yu.] St Petersburg State Univ, St Petersburg, Russia; [Grebelnyi, S. D.] Russian Acad Sci, Inst Zool, St Petersburg, Russia</t>
  </si>
  <si>
    <t>Saint Petersburg State University; Russian Academy of Sciences; Zoological Institute of the Russian Academy of Sciences</t>
  </si>
  <si>
    <t>Ivanova, NY (corresponding author), St Petersburg State Univ, St Petersburg, Russia.</t>
  </si>
  <si>
    <t>edwardsia@yandex.ru</t>
  </si>
  <si>
    <t>Grebelny, Sergey Dmitrievich/ABE-1221-2021; Ivanova, Natalia/CAF-8088-2022; Grebelnyi, Sergey D/S-1391-2017</t>
  </si>
  <si>
    <t>Ivanova, Natalia/0000-0001-6984-8534; Grebelnyi, Sergey D/0000-0001-8462-2031</t>
  </si>
  <si>
    <t>10.1017/S0025315415002131</t>
  </si>
  <si>
    <t>EK4OX</t>
  </si>
  <si>
    <t>WOS:000393907600002</t>
  </si>
  <si>
    <t>Behrenfeld, MJ; Hu, YX; O'Malley, RT; Boss, ES; Hostetler, CA; Siegel, DA; Sarmiento, JL; Schulien, J; Hair, JW; Lu, XM; Rodier, S; Scarino, AJ</t>
  </si>
  <si>
    <t>Behrenfeld, Michael J.; Hu, Yongxiang; O'Malley, Robert T.; Boss, Emmanuel S.; Hostetler, Chris A.; Siegel, David A.; Sarmiento, Jorge L.; Schulien, Jennifer; Hair, Johnathan W.; Lu, Xiaomei; Rodier, Sharon; Scarino, Amy Jo</t>
  </si>
  <si>
    <t>Annual boom-bust cycles of polar phytoplankton biomass revealed by space-based lidar</t>
  </si>
  <si>
    <t>GLOBAL-SCALE; OCEAN; SUBSURFACE; GROWTH; LIGHT; CHLOROPHYLL; MODEL; RATES; ZONE; SEA</t>
  </si>
  <si>
    <t>Polar plankton communities are among the most productive, seasonally dynamic and rapidly changing ecosystems in the global ocean. However, persistent cloud cover, periods of constant night and prevailing low solar elevations in polar regions severely limit traditional passive satellite ocean colour measurements and leave vast areas unobserved for many consecutive months each year. Consequently, our understanding of the annual cycles of polar plankton and their interannual variations is incomplete. Here we use space-borne lidar observations to overcome the limitations of historical passive sensors and report a decade of uninterrupted polar phytoplankton biomass cycles. We find that polar phytoplankton dynamics are categorized by 'boom-bust' cycles resulting from slight imbalances in plankton predator-prey equilibria. The observed seasonal-to-interannual variations in biomass are predicted by mathematically modelled rates of change in phytoplankton division. Furthermore, we find that changes in ice cover dominated variability in Antarctic phytoplankton stocks over the past decade, whereas ecological processes were the predominant drivers of change in the Arctic. We conclude that subtle and environmentally driven imbalances in polar food webs underlie annual phytoplankton boom-bust cycles, which vary interannually at each pole.</t>
  </si>
  <si>
    <t>[Behrenfeld, Michael J.; O'Malley, Robert T.; Schulien, Jennifer] Oregon State Univ, Dept Bot &amp; Plant Pathol, Cordley Hall 2082, Corvallis, OR 97331 USA; [Hu, Yongxiang; Hostetler, Chris A.; Hair, Johnathan W.; Lu, Xiaomei; Rodier, Sharon; Scarino, Amy Jo] NASA Langley Res Ctr, MS 420, Hampton, VA 23681 USA; [Boss, Emmanuel S.] Univ Maine, Sch Marine Sci, 5706 Aubert Hall, Orono, ME 04469 USA; [Siegel, David A.] Univ Calif Santa Barbara, Earth Res Inst, Santa Barbara, CA 93106 USA; [Siegel, David A.] Univ Calif Santa Barbara, Dept Geog, Santa Barbara, CA 93106 USA; [Sarmiento, Jorge L.] Princeton Univ, Atmospher &amp; Ocean Sci Program, 300 Forrestal Rd,Sayre Hall, Princeton, NJ 08544 USA</t>
  </si>
  <si>
    <t>Oregon State University; National Aeronautics &amp; Space Administration (NASA); NASA Langley Research Center; University of Maine System; University of Maine Orono; University of California System; University of California Santa Barbara; University of California System; University of California Santa Barbara; National Oceanic Atmospheric Admin (NOAA) - USA; Princeton University</t>
  </si>
  <si>
    <t>Behrenfeld, MJ (corresponding author), Oregon State Univ, Dept Bot &amp; Plant Pathol, Cordley Hall 2082, Corvallis, OR 97331 USA.</t>
  </si>
  <si>
    <t>mjb@science.oregonstate.edu</t>
  </si>
  <si>
    <t>Scarino, Angela/F-3593-2013; Hu, Yongxiang/K-4426-2012; Boss, Emmanuel/C-5765-2009; Boss, Emmanuel/AAF-2336-2019; Schulien, Jennifer/AAY-8045-2020</t>
  </si>
  <si>
    <t>Boss, Emmanuel/0000-0002-8334-9595; Hu, Yongxiang/0000-0001-8526-108X; Scarino, Amy Jo/0000-0002-6471-9159; Siegel, David/0000-0003-1674-3055</t>
  </si>
  <si>
    <t>National Aeronautics and Space Administration's Ocean Biology and Biogeochemistry Program; North Atlantic Aerosol and Marine Ecosystems Study (NAAMES)</t>
  </si>
  <si>
    <t>This work was supported by the National Aeronautics and Space Administration's Ocean Biology and Biogeochemistry Program and the North Atlantic Aerosol and Marine Ecosystems Study (NAAMES).</t>
  </si>
  <si>
    <t>10.1038/NGEO2861</t>
  </si>
  <si>
    <t>EK7RB</t>
  </si>
  <si>
    <t>WOS:000394121800015</t>
  </si>
  <si>
    <t>Richardson, ATB; Lord, JM; Perry, NB</t>
  </si>
  <si>
    <t>Richardson, Alistair T. B.; Lord, Janice M.; Perry, Nigel B.</t>
  </si>
  <si>
    <t>Phenylanthraquinones and flavone-C-glucosides from the disjunct Bulbinella in New Zealand</t>
  </si>
  <si>
    <t>PHYTOCHEMISTRY</t>
  </si>
  <si>
    <t>Asphodelaceae; Bulbinella; Bulbine; Chemotaxonomy; Phenylanthraquinones; Flavone-C-glucosides; Atropisomerism; New Zealand</t>
  </si>
  <si>
    <t>BASOTHO MEDICINAL-PLANTS; CHEMOTAXONOMIC SIGNIFICANCE; SECONDARY METABOLITES; KNIPHOLONE; ANTHRAQUINONES; ASPHODELACEAE; FRUTESCENS; ROOTS; GLYCOSYLFLAVONES; ASPARAGALES</t>
  </si>
  <si>
    <t>The genera Bulbine, Bulbinella and Kniphofia produce phenylanthraquinones and are mostly found in southern Africa, although a disjunct group of Bulbinella species endemic to New Zealand also contain phenylanthraquinones as reported herein. The sub-Antarctic megaherb B. rossii yielded sulphated phenylanthraquinones, including a phenylanthraquinone found to carry a sulphated glycoside substituent, 4'-0-demethylknipholone-44-D-xylopyranosy1-3-sulphate. A sensitive HPLC method was used to analyse 5 of the 6 New Zealand Bulbinella species, all of which contained phenylanthraquinones. Leaves and roots had different profiles, but species were not distinct. Roots were rich in sulphated and free phenylanthraquinones (0.27 +/- 0.09% dry wt), whereas leaves typically only contained free knipholone (0.14 +/- 0.01%). Localisation of phenylanthraquinones to the stele and peel was observed in roots. Two flavone-C-glucosides were found in leaves of Bulbinella. (C) 2016 Elsevier Ltd. All rights reserved.</t>
  </si>
  <si>
    <t>[Richardson, Alistair T. B.; Perry, Nigel B.] Univ Otago, Dept Chem, POB 56, Dunedin, New Zealand; [Lord, Janice M.] Univ Otago, Dept Bot, POB 56, Dunedin, New Zealand; [Perry, Nigel B.] Univ Otago, Dept Chem, New Zealand Inst Plant &amp; Food Res Ltd, POB 56, Dunedin, New Zealand</t>
  </si>
  <si>
    <t>University of Otago; University of Otago; University of Otago; New Zealand Institute for Plant &amp; Food Research Ltd</t>
  </si>
  <si>
    <t>Perry, NB (corresponding author), Univ Otago, Dept Chem, POB 56, Dunedin, New Zealand.</t>
  </si>
  <si>
    <t>nigel.perry@plantandfood.co.nz</t>
  </si>
  <si>
    <t>Lord, Janice Marjorie/A-8869-2012; Perry, Nigel/G-5574-2010</t>
  </si>
  <si>
    <t>Lord, Janice Marjorie/0000-0001-8314-0428; Perry, Nigel/0000-0003-3196-3945; Richardson, Alistair/0000-0003-4253-1881</t>
  </si>
  <si>
    <t>We thank the Dunedin Botanic Gardens for the sample of Bul-bine frutescens, E. Burgess for assistance with RPLC, I. Stewart for help with NMR spectroscopy and J. Pentelow for assistance with high-resolution MS and LC-MS. ATBR thanks the University of Otago for a Frontiers of Science undergraduate scholarship.</t>
  </si>
  <si>
    <t>0031-9422</t>
  </si>
  <si>
    <t>Phytochemistry</t>
  </si>
  <si>
    <t>10.1016/j.phytochem.2016.11.014</t>
  </si>
  <si>
    <t>Biochemistry &amp; Molecular Biology; Plant Sciences</t>
  </si>
  <si>
    <t>EK4WO</t>
  </si>
  <si>
    <t>WOS:000393928600006</t>
  </si>
  <si>
    <t>Anderson, JTH; Wilson, GS; Fink, D; Lilly, K; Levy, RH; Townsend, D</t>
  </si>
  <si>
    <t>Anderson, Jacob T. H.; Wilson, Gary S.; Fink, David; Lilly, Kat; Levy, Richard H.; Townsend, Dougal</t>
  </si>
  <si>
    <t>Reconciling marine and terrestrial evidence for post LGM ice sheet retreat in southern McMurdo Sound, Antarctica</t>
  </si>
  <si>
    <t>Antarctica; Ross sea; McMurdo Sound; Last Glacial Maximum; Holocene; Exposure dating</t>
  </si>
  <si>
    <t>LAST GLACIAL MAXIMUM; WESTERN ROSS-SEA; EXPOSURE AGES; HOLOCENE DEGLACIATION; SCOTT COAST; LEVEL; CHRONOLOGY; HISTORY; DRIFT; LAND</t>
  </si>
  <si>
    <t>Retreat of the Antarctic ice sheets since the Last Glacial Maximum (LGM) contributed to sea-level rise, but the location, amount, and timing of ice mass loss has been controversial. This paper presents new Be-10 exposure ages from glacially transported erratics which record post LGM retreat of grounded ice in the western Ross Sea. Ice elevation in southern McMurdo Sound was &gt;= 520 m above present day sea level on the eastern side of Mount Discovery during the LGM, and the onset of major deglaciation in the region was after 141 a. The ice surface lowered from-520 to 234 m above present day sea level between 14.0 ka and 10.3 ka and from 234 m to-30 m between 10.3 kappa a and 7.4 ka. This late-glacial and Holocene deglaciation chronology from southern McMurdo Sound is consistent with other records on the margins of the Ross Embayment, and implies that the western margins of the Ross Sea Ice Sheet (RSIS) experienced most mass loss during the early to middle Holocene. These Be-10 exposure ages coupled with sediment provenance define a two-stage ice flow scenario for McMurdo Sound subdividing differing reconstructions into an early and late phase. Prior to Termination I, an expanded Koettlitz Glacier flowed north and northeast between Brown Peninsula and Mount Discovery and coalesced with northward flowing ice fed from the Skelton and Mulock Glaciers. Thinning and retreat of the Koettlitz Glacier and perhaps other outlet glaciers flowing through the Royal Society Range allowed ice grounded in the Ross Sea to flow westward and northward, north of Brown Peninsula. Grounding-line recession in the Ross Sea during the late-glacial and Holocene was likely driven by Southern Ocean warming and sea-level rise from the retreat of the Northern Hemisphere ice sheets and the outer margins of the Antarctic ice sheets. (C) 2016 Elsevier Ltd. All rights reserved.</t>
  </si>
  <si>
    <t>[Anderson, Jacob T. H.; Wilson, Gary S.; Lilly, Kat] Univ Otago, Dept Geol, POB 56, Dunedin, New Zealand; [Anderson, Jacob T. H.; Wilson, Gary S.] Univ Otago, Dept Marine Sci, POB 56, Dunedin, New Zealand; [Fink, David] Australian Nucl Sci &amp; Technol Org, Inst Environm Res, PMB 1, Menai, NSW 2234, Australia; [Levy, Richard H.; Townsend, Dougal] GNS Sci, 1 Fairway Dr,POB 30-368, Lower Hutt 5040, New Zealand</t>
  </si>
  <si>
    <t>University of Otago; University of Otago; Australian Nuclear Science &amp; Technology Organisation; GNS Science - New Zealand</t>
  </si>
  <si>
    <t>Anderson, JTH (corresponding author), Univ Otago, Dept Marine Sci, POB 56, Dunedin, New Zealand.</t>
  </si>
  <si>
    <t>jacob.anderson@otago.ac.nz</t>
  </si>
  <si>
    <t>fink, David/A-9518-2012; Wilson, Gary S/B-3803-2010; Levy, Richard H/E-2477-2011</t>
  </si>
  <si>
    <t>fink, David/0000-0001-7156-4602; Wilson, Gary/0000-0003-0025-3641; Anderson, Jacob/0000-0002-4329-4200; Levy, Richard/0000-0002-8783-0167</t>
  </si>
  <si>
    <t>New Zealand Ministry for Business, Innovation and Employment [C05X1001]; Australian Institute of Nuclear Science and Engineering [09015]; Australian Institute of Nuclear Science and Engineering Postgraduate Research Award; GNS Science core research by Government of New Zealand</t>
  </si>
  <si>
    <t>New Zealand Ministry for Business, Innovation and Employment(New Zealand Ministry of Business, Innovation and Employment (MBIE)); Australian Institute of Nuclear Science and Engineering; Australian Institute of Nuclear Science and Engineering Postgraduate Research Award; GNS Science core research by Government of New Zealand</t>
  </si>
  <si>
    <t>We thank the anonymous reviewer for their valuable review. This work was supported by New Zealand Ministry for Business, Innovation and Employment contract C05X1001, Australian Institute of Nuclear Science and Engineering Grant 09015, Australian Institute of Nuclear Science and Engineering Postgraduate Research Award 10925 and GNS Science core research funding provided by the Government of New Zealand. We thank Antarctica New Zealand and Southern Lakes Helicopters for transportation and logistical support. Charles Mifsud, Toshiyuki Fujioka and others at ANSTO are thanked for their assistance with sample preparation and AMS analysis.</t>
  </si>
  <si>
    <t>10.1016/j.quascirev.2016.12.007</t>
  </si>
  <si>
    <t>EK4ZH</t>
  </si>
  <si>
    <t>WOS:000393936200001</t>
  </si>
  <si>
    <t>Wang, Z; Li, Y; Lin, XZ</t>
  </si>
  <si>
    <t>Wang Zhen; Li Yang; Lin Xuezheng</t>
  </si>
  <si>
    <t>Transcriptome analysis of the Antarctic psychrotrophic bacterium Psychrobacter sp G in response to temperature stress</t>
  </si>
  <si>
    <t>ACTA OCEANOLOGICA SINICA</t>
  </si>
  <si>
    <t>Psychrobacter; temperature stress; transcriptome; Antarctic</t>
  </si>
  <si>
    <t>HEAT-SHOCK RESPONSE; GENE-EXPRESSION; CHAPERONIN GROEL; CLIMATE-CHANGE; HSP70; FAMILY; RECEPTOR; ENZYMES</t>
  </si>
  <si>
    <t>The key functional genes involved in temperature adaption of the Antarctic psychrotrophic bacterium Psychrobacter sp. G. were identified by transcriptomic sequencing. We analyzed the global transcriptional profile of Psychrobacter sp. G under cold stress (0A degrees C) and heat stress (30A degrees C), with the optimal growth temperature 20A degrees C as the control. There were large alterations of the transcriptome profile, including significant upregulation of 11 and 12 transcripts as well as significant downregulation of 47 and 42 transcripts in the cold and heat stress groups, respectively, compared to the control. The expression of various genes encoding enzymes and transcriptional regulators, including PfpI and TetR family transcriptional regulators under heat stress, as well as the expression of DEAD/DEAH box helicase and the IclR family of transcriptional regulators under cold stress, were upregulated significantly. The expression of several genes, most affiliated with TonB-dependent receptor and siderophore receptor, was downregulated significantly under both heat and cold stress. Many of the genes associated with the metabolism of fatty acid and ABC transporters were regulated differentially under different temperature stress. The results of this survey of transcriptome and temperature stress-relevant genes contribute to our understanding of the stress-resistant mechanism in Antarctic bacteria.</t>
  </si>
  <si>
    <t>[Wang Zhen; Li Yang; Lin Xuezheng] State Ocean Adm, Inst Oceanog 1, Key Lab Marine Bioact Subst, Qingdao 266061, Peoples R China</t>
  </si>
  <si>
    <t>Lin, XZ (corresponding author), State Ocean Adm, Inst Oceanog 1, Key Lab Marine Bioact Subst, Qingdao 266061, Peoples R China.</t>
  </si>
  <si>
    <t>National Natural Science Foundation of China [41176174]; Chinese Polar Environment Comprehensive Investigation and Assessment Program [CHINARE 2014-03-05]; Public Science and Technology Funds for Ocean Projects [201205020-5]</t>
  </si>
  <si>
    <t>National Natural Science Foundation of China(National Natural Science Foundation of China (NSFC)); Chinese Polar Environment Comprehensive Investigation and Assessment Program; Public Science and Technology Funds for Ocean Projects</t>
  </si>
  <si>
    <t>Foundation item: The National Natural Science Foundation of China under contract No. 41176174; the Chinese Polar Environment Comprehensive Investigation and Assessment Program under contract No. CHINARE 2014-03-05; the Public Science and Technology Funds for Ocean Projects under contract No. 201205020-5.</t>
  </si>
  <si>
    <t>0253-505X</t>
  </si>
  <si>
    <t>1869-1099</t>
  </si>
  <si>
    <t>ACTA OCEANOL SIN</t>
  </si>
  <si>
    <t>Acta Oceanol. Sin.</t>
  </si>
  <si>
    <t>10.1007/s13131-016-0956-0</t>
  </si>
  <si>
    <t>EK1FW</t>
  </si>
  <si>
    <t>WOS:000393672200010</t>
  </si>
  <si>
    <t>An, ML; Wang, YB; Liu, FM; Qi, XQ; Zheng, Z; Ye, NH; Sun, CJ; Miao, JL</t>
  </si>
  <si>
    <t>An Meiling; Wang Yibin; Liu Fangming; Qi Xiaoqing; Zheng Zhou; Ye Naihao; Sun Chengjun; Miao Jinlai</t>
  </si>
  <si>
    <t>Biomass, nutrient uptake and fatty acid composition of Chlamydomonas sp ICE-L in response to different nitrogen sources</t>
  </si>
  <si>
    <t>Antarctic ice alga; Chlamydomonas sp ICE-L; nitrogen-deficiency condition; nutrient uptake; polyunsaturated fatty acids (PUFAs)</t>
  </si>
  <si>
    <t>ALGA NEOCHLORIS-OLEOABUNDANS; ACCUMULATION; MICROALGAE; EXPRESSION; GROWTH; TRIACYLGLYCEROLS; BIOSYNTHESIS; STARVATION; BIODIESEL; AMMONIUM</t>
  </si>
  <si>
    <t>Nitrogen removal from media by microalgae provides the potential benefit of producing lipids for biodiesel and biomass. However, research is limited on algal growth and biomass under different nitrogen sources and provides little insight in terms of biofuel production. We studied the influences of nitrogen sources on cell growth and lipid accumulation of Chlamydomonas sp. ICE-L, one of a promising oil rich micro algal species. Chlamydomonas sp. ICE-L grown in NH4Cl medium had maximum growth rate. While the highest dry biomass of 0.28 g/L was obtained in media containing NH4NO3, the highest lipid content of 0.21 g/g was achieved under nitrogendeficiency condition with a dry biomass of 0.24 g/L. In terms of total polyunsaturated fatty acids (PUFAs) production, NH4NO3 and NH4Cl media performed better than nitrogen-deficiency and KNO3 media. Furthermore, NH4NO3 and NH4Cl media elucidated better results on C18:3 and C20:5 productions while KNO3 and -N conditions were better in C16:0, C18:1 and C18:2, comparatively.</t>
  </si>
  <si>
    <t>[An Meiling; Wang Yibin; Liu Fangming; Qi Xiaoqing; Zheng Zhou; Sun Chengjun; Miao Jinlai] State Ocean Adm, Inst Oceanog 1, Qingdao 266061, Peoples R China; [An Meiling; Miao Jinlai] Qingdao Univ, Qingdao 266071, Peoples R China; [Wang Yibin; Liu Fangming; Zheng Zhou; Miao Jinlai] Qingdao Natl Lab Marine Sci &amp; Technol, Qingdao 266235, Peoples R China; [Ye Naihao] Chinese Acad Fishery Sci, Yellow Sea Fisheries Res Inst, Qingdao 266071, Peoples R China</t>
  </si>
  <si>
    <t>First Institute of Oceanography, Ministry of Natural Resources; Qingdao University; Laoshan Laboratory; Chinese Academy of Fishery Sciences; Yellow Sea Fisheries Research Institute, CAFS</t>
  </si>
  <si>
    <t>Miao, JL (corresponding author), State Ocean Adm, Inst Oceanog 1, Qingdao 266061, Peoples R China.;Miao, JL (corresponding author), Qingdao Univ, Qingdao 266071, Peoples R China.;Miao, JL (corresponding author), Qingdao Natl Lab Marine Sci &amp; Technol, Qingdao 266235, Peoples R China.</t>
  </si>
  <si>
    <t>miaojinlai@fio.org.cn</t>
  </si>
  <si>
    <t>Zheng, Zhou/JJD-0602-2023; Wang, Yibin/J-6584-2017</t>
  </si>
  <si>
    <t>Wang, Yibin/0000-0001-5278-7245</t>
  </si>
  <si>
    <t>National Natural Science Foundation of China [41576187]; National Natural Science Foundation of China-Shandong Joint Fund [U1406402]; Basic Scientific Fund for National Public Research Institutes of China [2015G10]; Polar Strategic Foundation of China [20150303]; Public Science and Technology Research Funds Projects of Ocean [201405015]; Qingdao National Laboratory for Marine Science and Technology and the Science [2015ASKJ02]; Science and Technology Planning Project of Shandong Province [2014GHY115003]; Major Projects of Independent Innovation Achievements Transformation in Shandong Province [2014ZZCX06202]; Qingdao Entrepreneurship and Innovation Pioneers Program [15-10-3-15-(44)-zch]</t>
  </si>
  <si>
    <t>National Natural Science Foundation of China(National Natural Science Foundation of China (NSFC)); National Natural Science Foundation of China-Shandong Joint Fund; Basic Scientific Fund for National Public Research Institutes of China; Polar Strategic Foundation of China; Public Science and Technology Research Funds Projects of Ocean; Qingdao National Laboratory for Marine Science and Technology and the Science; Science and Technology Planning Project of Shandong Province; Major Projects of Independent Innovation Achievements Transformation in Shandong Province; Qingdao Entrepreneurship and Innovation Pioneers Program</t>
  </si>
  <si>
    <t>Foundation item: The National Natural Science Foundation of China under contract No. 41576187; the National Natural Science Foundation of China-Shandong Joint Fund under contract No. U1406402; the Basic Scientific Fund for National Public Research Institutes of China under contract No. 2015G10; the Polar Strategic Foundation of China under contract No. 20150303; the Public Science and Technology Research Funds Projects of Ocean under contract No. 201405015; the Scientific and Technological Innovation Project Financially Supported by Qingdao National Laboratory for Marine Science and Technology and the Science under contract No. 2015ASKJ02; the Science and Technology Planning Project of Shandong Province under contract No. 2014GHY115003; the Major Projects of Independent Innovation Achievements Transformation in Shandong Province under contract No. 2014ZZCX06202; Qingdao Entrepreneurship and Innovation Pioneers Program under contract No. 15-10-3-15-(44)-zch.</t>
  </si>
  <si>
    <t>10.1007/s13131-017-0984-4</t>
  </si>
  <si>
    <t>WOS:000393672200013</t>
  </si>
  <si>
    <t>David, C; Schaafsma, FL; van Franeker, JA; Lange, B; Brandt, A; Flores, H</t>
  </si>
  <si>
    <t>David, Carmen; Schaafsma, Fokje L.; van Franeker, Jan Andries; Lange, Benjamin; Brandt, Angelika; Flores, Hauke</t>
  </si>
  <si>
    <t>Community structure of under-ice fauna in relation to winter sea-ice habitat properties from the Weddell Sea</t>
  </si>
  <si>
    <t>Southern Ocean; Sea ice; Antarctic krill Euphausia superba; Stephos longipes; Ctenocalanus; Zooplankton; Biomass; Diversity</t>
  </si>
  <si>
    <t>LARVAL EUPHAUSIA-SUPERBA; LIFE-CYCLE STRATEGIES; ANTARCTIC KRILL; SOUTHERN-OCEAN; ZOOPLANKTON COMMUNITY; VERTICAL-DISTRIBUTION; POPULATION-STRUCTURE; SEASONAL-VARIATIONS; CALANUS-PROPINQUUS; CALANOIDES-ACUTUS</t>
  </si>
  <si>
    <t>Climate change-related alterations of Antarctic sea-ice habitats will significantly impact the interaction of ice-associated organisms with the environment, with repercussions on ecosystem functioning. The nature of this interaction is poorly understood, particularly during the critical period of winter-spring transition. To investigate the role of sea-ice and underlying water-column properties in structuring under-ice communities during late winter/early spring, we used a Surface and Under Ice Trawl to sample animals and environmental properties in the upper 2-m layer under the sea ice in the northern Weddell Sea from August to October 2013. The area of investigation was largely homogeneous in terms of hydrography and sea-ice coverage. We hypothesised that this apparent homogeneity in the physical regime was mirrored in the structure of the under-ice community. The under-ice community was numerically dominated by the copepods Stephos longipes, Ctenocalanus spp. and Calanus propinquus (altogether 67 %), and furcilia larvae of Antarctic krill Euphausia superba (30 %). In spite of the apparent homogeneity of the environment, abundance and biomass distributions at our sampling stations indicated the presence of three community types, following a geographical gradient in the investigation area: (1) high biomass, krill-dominated in the west, (2) high abundance, copepod-dominated in the east, and (3) low abundance, low biomass at the ice edge. Combined analysis with environmental data indicated that under-ice community structure was correlated with sea-ice coverage, chlorophyll a concentration, and bottom depth. The heterogeneity of the Antarctic under-ice community was probably also driven by other factors, such as advection, sea-ice drift, and seasonal progression. The response of under-ice communities to changing sea-ice habitats may thus considerably vary seasonally and regionally.</t>
  </si>
  <si>
    <t>[David, Carmen; Lange, Benjamin; Flores, Hauke] Helmholtz Zentrum Polar &amp; Meeresforsch AWI, Alfred Wegener Inst, Handelshafen 12, D-27570 Bremerhaven, Germany; [David, Carmen; Lange, Benjamin; Brandt, Angelika; Flores, Hauke] Univ Hamburg, Ctr Nat Hist CeNak, Zool Museum, Martin Luther King Pl 3, D-20146 Hamburg, Germany; [Schaafsma, Fokje L.; van Franeker, Jan Andries] Inst Marine Res &amp; Ecosyst Studies Wageningen UR I, POB 57, NL-1781 AG Den Helder, Netherlands</t>
  </si>
  <si>
    <t>Helmholtz Association; Alfred Wegener Institute, Helmholtz Centre for Polar &amp; Marine Research; University of Hamburg; Wageningen University &amp; Research</t>
  </si>
  <si>
    <t>David, C (corresponding author), Helmholtz Zentrum Polar &amp; Meeresforsch AWI, Alfred Wegener Inst, Handelshafen 12, D-27570 Bremerhaven, Germany.;David, C (corresponding author), Univ Hamburg, Ctr Nat Hist CeNak, Zool Museum, Martin Luther King Pl 3, D-20146 Hamburg, Germany.</t>
  </si>
  <si>
    <t>Carmen.David@awi.de</t>
  </si>
  <si>
    <t>Brandt, Angelika/C-1630-2018; Flores, Hauke/ABD-1888-2020; Lange, Benjamin/H-4733-2017</t>
  </si>
  <si>
    <t>Flores, Hauke/0000-0003-1617-5449; Lange, Benjamin Allen/0000-0003-4534-8978; David, Carmen L/0000-0002-4241-1284; Schaafsma, Fokje/0000-0002-8945-2868</t>
  </si>
  <si>
    <t>Netherlands Ministry of EZ [WOT-04-009-036]; Netherlands Polar Program [ALW 851.20.011, 866.13.009]</t>
  </si>
  <si>
    <t>Netherlands Ministry of EZ; Netherlands Polar Program</t>
  </si>
  <si>
    <t>We thank Captain Stephan Schwarze and the crew of RV Polarstern expedition ANT XXIX/7 for their excellent support with work at sea. We thank Michiel van Dorssen for operational and technical support with the Surface and Under-Ice Trawl (SUIT). SUIT was developed by IMARES with support from the Netherlands Ministry of EZ (Project WOT-04-009-036) and the Netherlands Polar Program (Projects ALW 851.20.011 and 866.13.009). This study is part of the Helmholtz Association Young Investigators Group Iceflux: Ice-ecosystem carbon flux in polar oceans (VH-NG-800). We thank Dr. Astrid Cornils for help with copepod species identification. We thank Dr. Christine Klaas for providing chlorophyll a measurements of water samples used for calibration.</t>
  </si>
  <si>
    <t>10.1007/s00300-016-1948-4</t>
  </si>
  <si>
    <t>EK2MN</t>
  </si>
  <si>
    <t>WOS:000393761500002</t>
  </si>
  <si>
    <t>Cantero, ALP; Sentandreu, V</t>
  </si>
  <si>
    <t>Pena Cantero, Alvaro L.; Sentandreu, Vicente</t>
  </si>
  <si>
    <t>Phylogenetic relationships of endemic Antarctic species of Staurotheca Allman, 1888 (Cnidaria, Hydrozoa)</t>
  </si>
  <si>
    <t>Staurotheca; Hydrozoa; Southern Ocean; Benthos; Phylogeny; Character evolution</t>
  </si>
  <si>
    <t>HYDROIDS CNIDARIA; BENTHIC HYDROIDS; SERTULARIIDAE; EXPEDITIONS; CHARACTERS; EVOLUTION; MARKER</t>
  </si>
  <si>
    <t>Staurotheca is a well-characterized genus of benthic hydrozoans mostly restricted to the Antarctic ecosystem. Nineteen out of the 23 valid known species are endemic to the continental Antarctic region (High Antarctica and Scotia Ridge). The genus has proved to be monophyletic, but phylogenetic relationships among its species are practically unknown. In order to improve our understanding of the phylogenetic relationships among species of Staurotheca, and evaluate the evolution of some of their most important morphological characters, partial sequences of the mitochondrial 16S rRNA gene, mitochondrial cytochrome c oxidase subunit 3 (CO3) and nuclear calmodulin (CaM) were obtained for ten species of Staurotheca and one species of Antarctoscyphus. The most remarkable result is the discovery of two well-supported, monophyletic groups, clearly distinguishable on morphological grounds as well, that may eventually reveal as separate genera. The Staurotheca compressa clade is characterized by having female gonothecae strongly ornamented with digitiform projections and resting on a special supporting structure and by having larger microbasic mastigophores smaller than 19 A mu m. The second main clade has unclear relationships among its members, although there are two well-supported clades, one formed by Staurotheca pachyclada and Staurotheca polarsterni, morphologically characterized by the presence of distinct stem and the absence of both anastomoses and mushroom-shaped diaphragm, and the other consisting of Staurotheca vanhoeffeni, Staurotheca densa, Staurotheca nonscripta and Staurotheca glomulosa (the last two likely conspecific), morphologically characterized by having colonies with a closely-knit mesh appearance because of frequent branching, anastomoses and absence of main stem.</t>
  </si>
  <si>
    <t>[Pena Cantero, Alvaro L.] Univ Valencia, Dept Zool, Inst Cavanilles Biodiversidad &amp; Biol Evolutiva, Apdo Correos 22085, Valencia 46071, Spain; [Sentandreu, Vicente] Univ Valencia, SCSIE, Secc Genom, Apdo Correos 22085, Valencia 46071, Spain</t>
  </si>
  <si>
    <t>Cantero, ALP (corresponding author), Univ Valencia, Dept Zool, Inst Cavanilles Biodiversidad &amp; Biol Evolutiva, Apdo Correos 22085, Valencia 46071, Spain.</t>
  </si>
  <si>
    <t>alvaro.l.pena@uv.es; Vicente.Sentandreu@uv.es</t>
  </si>
  <si>
    <t>Sentandreu, Vicente/AAH-5972-2020; Cantero, Álvaro Luis Peña/F-7888-2016</t>
  </si>
  <si>
    <t>Pena Cantero, Alvaro/0000-0003-3056-6673</t>
  </si>
  <si>
    <t>Ministerio de Ciencia e Innovacion of Spain [CTM2009-11128ANT]; Fondo Europeo de Desarrollo Regional (FEDER)</t>
  </si>
  <si>
    <t>Ministerio de Ciencia e Innovacion of Spain(Spanish Government); Fondo Europeo de Desarrollo Regional (FEDER)(European Union (EU)Spanish Government)</t>
  </si>
  <si>
    <t>This study was developed thanks to a research project (Ref. CTM2009-11128ANT) funded by the Ministerio de Ciencia e Innovacion of Spain and the Fondo Europeo de Desarrollo Regional (FEDER). We thank Dr. Allen Collins, Smithsonian Institution, for his help and for providing us with the CO3 primers, and Maciek Lipski for carefully revising the English language.</t>
  </si>
  <si>
    <t>10.1007/s00300-016-1954-6</t>
  </si>
  <si>
    <t>WOS:000393761500006</t>
  </si>
  <si>
    <t>Giraldo, C; Boutoute, M; Mayzaud, P; Tavernier, E; Quang, AV; Koubbi, P</t>
  </si>
  <si>
    <t>Giraldo, Carolina; Boutoute, Marc; Mayzaud, Patrick; Tavernier, Eric; An Vo Quang; Koubbi, Philippe</t>
  </si>
  <si>
    <t>Lipid dynamics in early life stages of the icefish Chionodraco hamatus in the Dumont d'Urville Sea (East Antarctica)</t>
  </si>
  <si>
    <t>Larvae; Fatty acids; Nutritional condition; Diet; Antarctica</t>
  </si>
  <si>
    <t>ROSS SEA; SPATIAL-DISTRIBUTION; LARVAE; FISH; CHANNICHTHYIDAE; SILVERFISH; ABUNDANCE</t>
  </si>
  <si>
    <t>Lipids play a crucial role in polar regions and are of particular importance in early life stages of Antarctic fish. This work presents the significance of lipids and fatty acids (FAs) in the early life stages of the icefish Chionodraco hamatus. Analysis of lipid classes (polar lipids, PL; cholesterol, Chol; and triacylglycerol, TAG) suggested different energy allocation strategies in preflexion (&lt; 25 mm) and postflexion larvae (&gt; 25 mm). Structural PL dominated lipid dynamics for preflexion larvae, indicating that small individuals allocate the majority of energy toward somatic growth. Conversely, postflexion larvae appear able to switch between growth (contribution of PL) and energy storage (contribution of TAG) strategies. The condition index ratio TAG/Chol varied from 0.2 to &lt; 2 with no differences between the two larval stages. Further, FA composition of the TAG and PL fractions suggests that both developmental stages share the same carnivorous diet and that C. hamatus relies on a few key prey items.</t>
  </si>
  <si>
    <t>[Giraldo, Carolina; Mayzaud, Patrick; An Vo Quang] UPMC Univ Paris 06, UMR 7093, Lab Oceanog Villefranche, BP 28, F-06234 Villefranche Sur Mer, France; [Giraldo, Carolina; Boutoute, Marc; Mayzaud, Patrick; An Vo Quang] CNRS, UMR 7093, LOV, BP 28, F-06234 Villefranche Sur Mer, France; [Tavernier, Eric] Univ Lille Nord France, F-59000 Lille, France; [Tavernier, Eric] LOG, ULCO, 32 Ave Foch, F-62930 Wimereux, France; [Koubbi, Philippe] Univ Caen Basse Normandie, Unite Biol Organismes &amp; Ecosyst Aquat, BOREA,CNRS,IRD, UMR 7208,Sorbonne Univ,Museum Natl Hist Nat,Univ, CP 26,57 Rue Cuvier, F-75005 Paris, France</t>
  </si>
  <si>
    <t>Centre National de la Recherche Scientifique (CNRS); CNRS - National Institute for Earth Sciences &amp; Astronomy (INSU); Sorbonne Universite; Sorbonne Universite; Centre National de la Recherche Scientifique (CNRS); CNRS - National Institute for Earth Sciences &amp; Astronomy (INSU); Universite de Lille; Universite du Littoral-Cote-d'Opale; Centre National de la Recherche Scientifique (CNRS); CNRS - Institute of Ecology &amp; Environment (INEE); Institut de Recherche pour le Developpement (IRD); Museum National d'Histoire Naturelle (MNHN); Sorbonne Universite; Universite de Caen Normandie</t>
  </si>
  <si>
    <t>Giraldo, C (corresponding author), UPMC Univ Paris 06, UMR 7093, Lab Oceanog Villefranche, BP 28, F-06234 Villefranche Sur Mer, France.;Giraldo, C (corresponding author), CNRS, UMR 7093, LOV, BP 28, F-06234 Villefranche Sur Mer, France.</t>
  </si>
  <si>
    <t>carolina.giraldo@univ-lille1.fr</t>
  </si>
  <si>
    <t>Koubbi, Philippe/D-5873-2015</t>
  </si>
  <si>
    <t>VO QUANG, An/0000-0001-9633-9858; Giraldo, Carolina/0000-0003-0278-522X</t>
  </si>
  <si>
    <t>French Polar Institute (IPEV)</t>
  </si>
  <si>
    <t>This project is a contribution to the Zone Atelier Antarctique du CNRS. Field surveys were funded by the French Polar Institute (IPEV). The authors thank the anonymous reviewers for their valuable comments to improve the manuscript and Shannon MacPhee from Fisheries and Oceans Canada for proofreading and editing.</t>
  </si>
  <si>
    <t>10.1007/s00300-016-1956-4</t>
  </si>
  <si>
    <t>WOS:000393761500007</t>
  </si>
  <si>
    <t>Pérez, CA; Aravena, JC; Ivanovich, C; McCulloch, R</t>
  </si>
  <si>
    <t>Perez, Cecilia A.; Aravena, Juan C.; Ivanovich, Cristobal; McCulloch, Robert</t>
  </si>
  <si>
    <t>Effects of penguin guano and moisture on nitrogen biological fixation in maritime Antarctic soils</t>
  </si>
  <si>
    <t>Biological nitrogen fixation; Ardley Island; Penguin Colony; Palaeobeaches</t>
  </si>
  <si>
    <t>KING-GEORGE ISLAND; VEGETATION; TUNDRA; ECOSYSTEM; COMMUNITIES; PENINSULA; BIOMASS; NITRATE; REGION; CARBON</t>
  </si>
  <si>
    <t>Biological nitrogen fixation (BNF) is a high energy-demanding process that may be inhibited by penguin guano. We tested this hypothesis in Ardley Island by measuring BNF in biological soil crusts (BSC) directly within a Penguin Colony and in sites unaffected by penguins. We also explored the effect of adding guano to BSCs in sites free of the influence of penguins. Water availability is also one of the most limiting elements for life in the Antarctica, and we expected that a wetter growing season would stimulate BNF. To evaluate the effect of moisture on BNF, we added water to BSCs under laboratory conditions and estimated BNF by means of the acetylene reduction assay during three growing seasons (2012, 2013 and 2014), with contrasting temperature and precipitation conditions. The results reveal an almost complete inhibition of N fixation in the BSCs of the Penguin Colony. In sites free of ammonium and phosphate in rainwater, BNF rates reached up to 3 kg N ha(-1) year(-1) during warmer and wetter years. The addition of guano to BSCs significantly inhibited the rates of BNF. In laboratory incubations, the addition of water significantly stimulated rates of BNF during the warmer growing season with more sunshine hours. The likely increases in soil moisture levels due to climate change and glacier melting in the Antarctic Peninsula may enhance the rates of BNF. However, this may be constrained by accompanying changes in the distribution of Penguin Colonies.</t>
  </si>
  <si>
    <t>[Perez, Cecilia A.] Inst Ecol &amp; Biodivers, Las Palmeras 3425, Santiago, Chile; [Aravena, Juan C.] Univ Magallanes, Ave Bulnes, Punta Arenas 01890, Chile; [Ivanovich, Cristobal] Rhein Friedrich Wilhelms Univ Bonn, Nees Inst Biodiversitat Pflanzen, Meckenheimer Allee 170, D-53115 Bonn, Germany; [McCulloch, Robert] Univ Stirling, Biol &amp; Environm Sci, Stirling, Scotland</t>
  </si>
  <si>
    <t>Universidad de Magallanes; University of Bonn; University of Stirling</t>
  </si>
  <si>
    <t>Pérez, CA (corresponding author), Inst Ecol &amp; Biodivers, Las Palmeras 3425, Santiago, Chile.</t>
  </si>
  <si>
    <t>Aravena, Juan-Carlos/D-5687-2013</t>
  </si>
  <si>
    <t>Perez, Cecilia/0000-0002-9936-5514; McCulloch, Robert/0000-0001-5542-3703</t>
  </si>
  <si>
    <t>project INACH [T01-11]; project Fondecyt [1130353]; University of Stirling</t>
  </si>
  <si>
    <t>project INACH; project Fondecyt(Comision Nacional de Investigacion Cientifica y Tecnologica (CONICYT)CONICYT FONDECYT); University of Stirling</t>
  </si>
  <si>
    <t>This research was funded by the projects INACH T01-11 and Fondecyt 1130353. We are grateful to Claudia Mansilla and Carla Henriquez for their help in the field and INACH for logistic support. International travel for R. McCulloch and C. Mansilla was funded by the University of Stirling. We are also grateful to three anonymous reviewers that greatly helped to improve the first version of the manuscript.</t>
  </si>
  <si>
    <t>10.1007/s00300-016-1971-5</t>
  </si>
  <si>
    <t>WOS:000393761500016</t>
  </si>
  <si>
    <t>Sanhueza, C; Vallejos, V; Cavieres, LA; Saez, P; Bravo, LA; Corcuera, LJ</t>
  </si>
  <si>
    <t>Sanhueza, C.; Vallejos, V.; Cavieres, L. A.; Saez, P.; Bravo, L. A.; Corcuera, L. J.</t>
  </si>
  <si>
    <t>Growing temperature affects seed germination of the antarctic plant Colobanthus quitensis (Kunth) Bartl (Caryophyllaceae)</t>
  </si>
  <si>
    <t>Antarctic plants; Warming; Seeds; Germination; Maternal effect</t>
  </si>
  <si>
    <t>VASCULAR PLANTS; CLIMATE-CHANGE; ALPINE PLANTS; REPRODUCTION; GROWTH; POPULATION; PENINSULA; RADIATION; ISLANDS; SATIVA</t>
  </si>
  <si>
    <t>Increases in populations of the two native higher plants that exist in the Antarctic have been thought to be caused by an improvement in their reproductive performance as a result of regional warming. Colobanthus quitensis dispersion by seeds and establishment are limited to years with sufficiently high summer temperatures. The main objective of this work was to evaluate the effect of increased growth temperature on the germination ability of C. quitensis. Individuals were collected from King George Island and grown at two different thermoperiods: 5/2 and 11/5 A degrees C, day/night. Mature seeds produced under both growth temperatures were tested for viability and incubated under a range of temperatures from 5A degrees to 35 A degrees C. Seed viability was not significantly different between growth temperatures. Germination for C. quitensis was highly temperature dependent. Germination was modulated by temperatures over 10 A degrees C. Seeds from 5/2 A degrees C showed significant higher germination (&gt; 80 %) between 10 and 15 A degrees C. Seed developed at 11/5 A degrees C showed a broader range of temperature for germination between 10 and 25 A degrees C. Higher growth temperature (11/5 A degrees C) reduced the germination time significantly. Our results suggest that annual production of seeds leads to a high probability of germination at warmer environmental conditions because dormancy would be reduced at higher temperatures. Therefore, higher environmental temperatures, as those predicted to occur because of global warming, would increase the propagation of C. quitensis by germination.</t>
  </si>
  <si>
    <t>[Sanhueza, C.; Cavieres, L. A.; Corcuera, L. J.] Univ Concepcion, Dept Bot, Fac Ciencias Nat &amp; Oceanog, Barrio Univ S-N,Casilla 160-C, Concepcion, Chile; [Vallejos, V.; Saez, P.] Univ Concepcion, Lab Cultivo Tejidos Vegetales, Ctr Biotecnol, Dept Silvicultura,Fac Ciencias Forestales, Casilla 160-C, Concepcion, Chile; [Cavieres, L. A.] IEB, Las Palmeras 3425, Santiago, Chile; [Bravo, L. A.] Univ La Frontera, Lab Fisiol &amp; Biol Mol Vegetal, Inst Agroind, Dept Ciencias Agron &amp; Recursos Nat,Fac Ciencias A, Casilla 54-D, Temuco, Chile; [Bravo, L. A.] Univ La Frontera, Ctr Plant Soil Interact &amp; Nat Resources Biotechno, Sci &amp; Technol Bioresource Nucleus, Casilla 54-D, Temuco, Chile</t>
  </si>
  <si>
    <t>Universidad de Concepcion; Universidad de Concepcion; Universidad de La Frontera; Universidad de La Frontera</t>
  </si>
  <si>
    <t>Corcuera, LJ (corresponding author), Univ Concepcion, Dept Bot, Fac Ciencias Nat &amp; Oceanog, Barrio Univ S-N,Casilla 160-C, Concepcion, Chile.</t>
  </si>
  <si>
    <t>luis.corcuera@parquekatalapi.cl</t>
  </si>
  <si>
    <t>Corcuera, Luis J/G-1714-2014; Bravo, Leon/H-9251-2018; Sanhueza, Carolina/JQW-9959-2023; Sanhueza, Carolina/AAG-7456-2019; Bravo, León/AAO-8437-2020; Cavieres, Lohengrin A./A-9542-2010</t>
  </si>
  <si>
    <t>Bravo, Leon/0000-0003-4705-4842; Sanhueza, Carolina/0000-0002-1564-2490; Bravo, León/0000-0003-4705-4842; Cavieres, Lohengrin A./0000-0001-9122-3020</t>
  </si>
  <si>
    <t>Project CONICYT-PIA [ART 1102]; Project Fondecyt [11130332]</t>
  </si>
  <si>
    <t>Project CONICYT-PIA; Project Fondecyt(Comision Nacional de Investigacion Cientifica y Tecnologica (CONICYT)CONICYT FONDECYT)</t>
  </si>
  <si>
    <t>The authors thank Projects CONICYT-PIA ART 1102 and Fondecyt 11130332, for funding our field and laboratory work and Instituto Antartico Chileno (INACH) for logistic support in Antarctica and the necessary permits to enter and collect plants in SPA 128.</t>
  </si>
  <si>
    <t>10.1007/s00300-016-1972-4</t>
  </si>
  <si>
    <t>WOS:000393761500017</t>
  </si>
  <si>
    <t>Juáres, MA; Ferrer, F; Coria, NR; Santos, MM</t>
  </si>
  <si>
    <t>Juares, Mariana A.; Ferrer, Francisco; Coria, Nestor R.; Mercedes Santos, M.</t>
  </si>
  <si>
    <t>Breeding events of king penguin at the South Shetland Islands: Has it come to stay?</t>
  </si>
  <si>
    <t>Aptenodytes patagonicus; King penguin chick; Distribution; Breeding site; Antarctica</t>
  </si>
  <si>
    <t>APTENODYTES-PATAGONICUS; ANTARCTIC PENINSULA; FALKLAND ISLANDS; WINTER; ZONES; RANGE</t>
  </si>
  <si>
    <t>King penguins (Aptenodytes patagonicus) have a circum-subantarctic range though recently, pairs breeding in Antarctica were reported. In a scenario of environmental variability as it is recorded in Antarctic Peninsula and adjacent islands, one ecological response registered in penguins was the shift in its distribution and breeding range probably due to the increment in the areas available to breed and/or feed. In the 2014-2015 season, the first king penguin chick was registered at Stranger Point (62A degrees S. 25 de Mayo/King George Island), which remained alive until 5 months old. This record represents the southernmost birth of this species and the fourth consecutive breeding attempts in this site. This provides further evidence of a possible consolidation of a new breeding site at South Shetland Islands and thus the southward expansion of the bio-geographic range. Moreover, it suggests that both terrestrial and marine environmental conditions were favourable for king penguins, at least until the beginning of the crSche stage. Nevertheless, an increase in the number of breeding pairs is essential to ensure the survival of chicks and enable the colonization.</t>
  </si>
  <si>
    <t>[Juares, Mariana A.; Ferrer, Francisco; Coria, Nestor R.; Mercedes Santos, M.] Inst Antartico Argentino, Dept Biol Predadores Tope, Calle 64 3,B1904DZB, La Plata, Buenos Aires, Argentina</t>
  </si>
  <si>
    <t>Instituto Antartico Argentino</t>
  </si>
  <si>
    <t>Juáres, MA (corresponding author), Inst Antartico Argentino, Dept Biol Predadores Tope, Calle 64 3,B1904DZB, La Plata, Buenos Aires, Argentina.</t>
  </si>
  <si>
    <t>marianajuares@hotmail.com</t>
  </si>
  <si>
    <t>Juares, Mariana A./0000-0002-6763-0416</t>
  </si>
  <si>
    <t>Instituto Antartico Argentino-Direccion Nacional del Antartico</t>
  </si>
  <si>
    <t>We want to thank to Liliana Quartino and Oscar Nono Gonzalez for including the monitoring of this chick as part of the winter works. To Lucrecia Longarzo, Martin Gray, Paula Moran, Pablo Perchivale, Ariel Pereira, Fernando Duran, Nicolas Carro, Marcela Nadte, Rosana Sandler, Anahi Silvestro, Patricia Pastorizo, Silvana Finocchiaro, Rita Santos and the mammals group for field assistance. The permit for this work was granted by the Direccion Nacional del Antartico (Environmental Office). The Instituto Antartico Argentino-Direccion Nacional del Antartico provided financial and logistical support. We also thank the two anonymous reviewers and the editors for their helpful comments and suggestions on improving the manuscript.</t>
  </si>
  <si>
    <t>10.1007/s00300-016-1947-5</t>
  </si>
  <si>
    <t>WOS:000393761500018</t>
  </si>
  <si>
    <t>Harrington, A; Daneri, GA; Carlini, AR; Reygert, DS; Corbalan, A</t>
  </si>
  <si>
    <t>Harrington, A.; Daneri, G. A.; Carlini, A. R.; Reygert, D. S.; Corbalan, A.</t>
  </si>
  <si>
    <t>Seasonal variation in the diet of Antarctic fur seals, Arctocephalus gazella, at 25 de Mayo/King George Island, South Shetland Islands, Antarctica</t>
  </si>
  <si>
    <t>Diet; Arctocephalus gazella; South Shetlands; Antarctica</t>
  </si>
  <si>
    <t>SUMMER-AUTUMN PERIOD; MIROUNGA-LEONINA; ELEPHANT SEAL; FISH; VARIABILITY; PENINSULA; ECOSYSTEM; WINTER; PREY</t>
  </si>
  <si>
    <t>Assessing the trophic ecology of fur seals is essential for defining their roles as a top predator in Antarctic marine ecosystems. To this end, we examined the diet of Antarctic fur seals, Arctocephalus gazella, in the South Shetlands. While previous studies have considered the diet of this species at this location in summer, to the best of our knowledge, this is the first study to report on the diet of this population in winter, thus adding essential information on the extent of seasonal variation. A total of 224 scats were collected in the winter 2004 (n = 118) and summer 2004/2005 (n = 106) on the coasts of Stranger Point, Isla 25 de Mayo/King George. For the total study period krill (Euphausia superba) was the main prey taxon, followed by fish, cephalopods and penguins. During winter Pleuragramma antarcticum was dominant, while myctophids were almost absent. Conversely, in summer Electrona antarctica and Gymnoscopelus nicholsi, followed by P. antarcticum, dominated the fish diet. It is concluded that fur seals centred their foraging activity on a krill community and fish associated with krill aggregations.</t>
  </si>
  <si>
    <t>[Harrington, A.; Daneri, G. A.; Reygert, D. S.] Museo Argentino Ciencias Nat Bernardino Rivadavia, Div Mastozool, Ave Angel Gallardo 470,C1405DJR, Buenos Aires, DF, Argentina; [Carlini, A. R.; Corbalan, A.] Inst Antartico Argentino, Dept Biol Predadores Tope, Balcarce 290,C1064AAF, Buenos Aires, DF, Argentina</t>
  </si>
  <si>
    <t>Museo Argentino de Ciencias Naturales Bernardino Rivadavia (MACN); Instituto Antartico Argentino</t>
  </si>
  <si>
    <t>Harrington, A (corresponding author), Museo Argentino Ciencias Nat Bernardino Rivadavia, Div Mastozool, Ave Angel Gallardo 470,C1405DJR, Buenos Aires, DF, Argentina.</t>
  </si>
  <si>
    <t>ana_harrington@hotmail.com</t>
  </si>
  <si>
    <t>10.1007/s00300-016-1959-1</t>
  </si>
  <si>
    <t>WOS:000393761500020</t>
  </si>
  <si>
    <t>Acevedo, J; Garthe, S; González, A</t>
  </si>
  <si>
    <t>Acevedo, Jorge; Garthe, Sarah; Gonzalez, Alejandro</t>
  </si>
  <si>
    <t>First sighting of a live hourglass dolphin (Lagenorhynchus cruciger) in inland waters of southern Chile</t>
  </si>
  <si>
    <t>Lagenorhynchus cruciger; Vagrant; Chile; South America</t>
  </si>
  <si>
    <t>CHANNEL; OCEAN</t>
  </si>
  <si>
    <t>The hourglass dolphin (Lagenorhynchus cruciger) has a circumpolar distribution in the Southern Ocean, and although are regularly found south of the Antarctic Polar Front, localized concentrations have also been documented all in pelagic waters around the southern tip of South America, the Falkland Islands, and the South Georgia Islands. On March 8, 2013, a group of three PealeE 1/4s dolphins and other single individual that was different in color and pattern were sighted in Parry fjord, Tierra del Fuego Island. This atypical individual was identified as an hourglass dolphin, based on the combination of unique characteristics of this species. Although the animal sighted is more likely a vagrant than a migrant to inland waters of southern Chile, it is even more uncertain what biological and/or physical properties were determinants. Seasonal shift in environmental conditions within Drake Passage, thermoregulation, or prey availability have been previously suggested as potential factors in the movements of hourglass dolphin to north of Polar Front.</t>
  </si>
  <si>
    <t>[Acevedo, Jorge] Fdn CEQUA, Ctr Estudios Cuaternario Fuego Patagonia &amp; Antart, 21 Mayo 1690, Punta Arenas, Chile; [Garthe, Sarah; Gonzalez, Alejandro] Turismo Cabo Tamar Ltda, Sara Braun 1396, Punta Arenas, Chile</t>
  </si>
  <si>
    <t>Conicyt Regional Grant [R13A1002]</t>
  </si>
  <si>
    <t>Conicyt Regional Grant</t>
  </si>
  <si>
    <t>We thank the Director of Fundacion CEQUA for providing time and constant support for marine mammal research. The preparation of this manuscript by the first author was supported by Conicyt Regional Grant number R13A1002.</t>
  </si>
  <si>
    <t>10.1007/s00300-016-1963-5</t>
  </si>
  <si>
    <t>WOS:000393761500022</t>
  </si>
  <si>
    <t>Sarris, A</t>
  </si>
  <si>
    <t>Sarris, Aspa</t>
  </si>
  <si>
    <t>Antarctic station life: The first 15 years of mixed expeditions to the Antarctic</t>
  </si>
  <si>
    <t>ACTA ASTRONAUTICA</t>
  </si>
  <si>
    <t>Antarctic; Antarctica; Psychology; Polar psychology; Organisational culture</t>
  </si>
  <si>
    <t>CULTURE</t>
  </si>
  <si>
    <t>This study examined the experiences of women who lived and worked on remote and isolated Antarctic stations for up to 15 months at a time. The study employed purposeful sampling and a longitudinal processual approach to study women's experiences over the first 15 years of mixed gender Antarctic expeditions. The retrospective analysis was based on a semi-structured interview administered to 14 women upon their return to Australia. The results showed that women referred to the natural physical Antarctic environment as one of the best aspects of their experience and the reason they would recommend the Antarctic to their friends as a good place to work. In describing the worst aspect of their experience, women referred to aspects of Antarctic station life, including: (i) the male dominated nature of station culture; (ii) the impact of interpersonal conflict, including gender based conflict and friction between scientists and trades workers; and (iii) the lack of anonymity associated with living and working with, the same group of individuals, mainly men, for up to 12 months or more. The results are discussed within the context of the evolution of Antarctic station culture and recommendations are made in terms of the demography of expeditions, expeditioner selection and recruitment and the ongoing monitoring of Antarctic station culture. The study presents a framework that can be applied to groups and teams living and working in analogous isolated, confined and extreme work environments, including outer space missions.</t>
  </si>
  <si>
    <t>[Sarris, Aspa] Univ Adelaide, Sch Psychol, Adelaide, SA 5005, Australia</t>
  </si>
  <si>
    <t>Sarris, A (corresponding author), Univ Adelaide, Sch Psychol, Adelaide, SA 5005, Australia.</t>
  </si>
  <si>
    <t>aspa.sarris@adelaide.edu.au</t>
  </si>
  <si>
    <t>0094-5765</t>
  </si>
  <si>
    <t>1879-2030</t>
  </si>
  <si>
    <t>ACTA ASTRONAUT</t>
  </si>
  <si>
    <t>Acta Astronaut.</t>
  </si>
  <si>
    <t>10.1016/j.actaastro.2016.11.020</t>
  </si>
  <si>
    <t>Engineering, Aerospace</t>
  </si>
  <si>
    <t>EJ2CU</t>
  </si>
  <si>
    <t>WOS:000393018300007</t>
  </si>
  <si>
    <t>Beyond sustainability: is government obliged to increase economic benefit from fisheries in the face of industry resistance?</t>
  </si>
  <si>
    <t>Fisheries management; Objectives; Economic benefit; Government; ITQ; Transaction costs</t>
  </si>
  <si>
    <t>ROCK LOBSTER FISHERY; RESOURCE-MANAGEMENT; PRIVATE PROPERTY; UNITED-STATES; YIELD; EFFICIENCY</t>
  </si>
  <si>
    <t>Substantial economic opportunities have been identified in many Australian fisheries but may remain unimplemented due to the perception that the role of government is to ensure harvests are biologically sustainable, while economic decisions should be left to the commercial industry. This paper explores the role of government in driving changes that increase revenue and profit from fisheries (termed economic benefit). Australian fisheries resources are managed by eight different jurisdictions. While each have separate legislation, there is invariably a responsibility to manage on behalf of, and to the benefit of the public, who are the owners of the resource. This paper uses case studies to explore how government can struggle to determine the public interest, separate this from private interests and then implement management changes to ensure the public utility is maximised. Common problems were: (i) overarching economic objectives, which define who should benefit, were often ambiguous and open to interpretation; (ii) the public interest was usually abstract and often under-represented in decision-making processes, (in contrast to industry, who have direct representation); (iii) special interest groups were often able to lobby against changes; and (iv) government was often reluctant to seize opportunities to increase economic benefit when there was significant industry opposition to management changes. In drawing attention to these challenges and how they have been overcome historically, it is argued that government has both a role and requirement under their legislative objectives to take the lead in implementing measures that increase the economic benefit from Australian fisheries.</t>
  </si>
  <si>
    <t>The authors would like to acknowledge the Australian Seafood Cooperative Research Centre and the Fisheries Research and Development Corporation (2013-748.20) for providing funding towards this research.</t>
  </si>
  <si>
    <t>10.1016/j.marpol.2016.11.018</t>
  </si>
  <si>
    <t>EJ2AN</t>
  </si>
  <si>
    <t>WOS:000393012200006</t>
  </si>
  <si>
    <t>Odeyemi, OA; Ahmad, A</t>
  </si>
  <si>
    <t>Odeyemi, Olumide A.; Ahmad, Asmat</t>
  </si>
  <si>
    <t>Population dynamics, antibiotics resistance and biofilm formation of Aeromonas and Vibrio species isolated from aquatic sources in Northern Malaysia</t>
  </si>
  <si>
    <t>Aeromonas species; Vibrio spp.; Biofilm formation; Aquatic sources</t>
  </si>
  <si>
    <t>ANTIMICROBIAL-RESISTANT; PARAHAEMOLYTICUS; DIVERSITY</t>
  </si>
  <si>
    <t>This study aimed to compare population dynamics, antibiotic resistance and biofilm formation of Aeromonas and Vibrio species from seawater and sediment collected from Northern Malaysia. Isolates with different colony morphology were characterized using both biochemical and molecular methods before testing for antibiotic resistance and biofilm formation. Results obtained from this study showed that in Kedah, the population of Aeromonas isolated from sediment was highest in Pantai Merdeka (8.22 log CFU/m1), Pulau Bunting recorded the highest population of Aeromonas from sediment (8.43 log CFU/g). It was observed that Vibrio species isolated from seawater and sediment were highest in Kuala Sanglang (9.21 log CFU/ml). In Kuala Perlis, the population of Aeromonas isolated from seawater was highest in Jeti (7.94 log CFU/ml). Highest population of Aeromonas from sediment was recorded in Kampong Tanah Baru (7.99 log CFU/g). It was observed that Vibrio species isolated from seawater was highest in Padang Benta (8.42 log CFU/g) while Jeti Kuala Perlis had highest population of Vibrio isolated from sediment. It was observed that location does not influence population of Aeromonas. The results of the independent t test revealed that there was no significant relationship between location and population of Vibrio (df = 10, t = 1.144, p&gt; 0.05). The occurrence of biofilm formation and prevalence of antibiotic resistant Aeromonas and Vibrio species in seawater and sediment pose danger to human and aquatic animals' health. (C) 2017 Elsevier Ltd. All rights reserved.</t>
  </si>
  <si>
    <t>[Odeyemi, Olumide A.; Ahmad, Asmat] Natl Univ Malaysia, Fac Sci &amp; Technol, Sch Biotechnol &amp; Biosci, Aquat Microbiol Lab, Bangi, Malaysia</t>
  </si>
  <si>
    <t>Universiti Kebangsaan Malaysia</t>
  </si>
  <si>
    <t>Odeyemi, OA (corresponding author), Univ Tasmania, Inst Marine &amp; Antarctic Studies, Ecol &amp; Biodivers Ctr, Launceston, Tas, Australia.</t>
  </si>
  <si>
    <t>oluodeyemi@gmail.com; asmat@ukm.edu.my</t>
  </si>
  <si>
    <t>10.1016/j.micpath.2017.01.007</t>
  </si>
  <si>
    <t>EJ6SH</t>
  </si>
  <si>
    <t>WOS:000393348600024</t>
  </si>
  <si>
    <t>Mazur, AK; Wåhlin, AK; Krezel, A</t>
  </si>
  <si>
    <t>Mazur, A. K.; Wahlin, A. K.; Krezel, A.</t>
  </si>
  <si>
    <t>An object-based SAR image iceberg detection algorithm applied to the Amundsen Sea</t>
  </si>
  <si>
    <t>ENVISAT ASAR; Object-based image analysis; Icebergs; The Amundsen Sea</t>
  </si>
  <si>
    <t>ANTARCTIC ICE SHELVES; SOUTHERN-OCEAN; DEEP-WATER; RADAR IMAGES; CLASSIFICATIONS; IDENTIFICATION; SEGMENTATION; INFLOW; DRIVEN; SIZE</t>
  </si>
  <si>
    <t>An object-based method for automatic iceberg detection from Advanced Synthetic Aperture Radar (ASAR) images has been developed and applied in the Amundsen Sea, Antarctica. The automatic identification is based on brightness and spatial parameters of the ASAR images at five scale levels, and was verified with manual classification in four areas chosen to represent varying environmental conditions. The presented algorithm works comparatively well with images of the ocean in freezing temperatures and strong wind conditions, common in the Amundsen Sea. The detection rate was 96.2% which corresponds to 93.2% of the icebergs area, for all seasons. The algorithm generated 3.8% errors in the form of 'misses' and 7.0% of 'false alarms', mainly caused by the presence of ice floes. The method was applied on 432 radar images acquired in 2011 under different meteorological, oceanographic and sea ice conditions. As an output a map showing the probability of finding icebergs has been created. It shows that high probability coincides with depth contours and indicates a westward drift of the bergs throughout the whole region. (C) 2016 The Authors. Published by Elsevier Inc.</t>
  </si>
  <si>
    <t>[Mazur, A. K.; Wahlin, A. K.] Univ Gothenburg, Dept Marine Sci, POB 460, S-40530 Gothenburg, Sweden; [Mazur, A. K.; Krezel, A.] Univ Gdansk, Inst Oceanog, Al Marszalka Pilsudskiego 46, PL-81836 Gdynia, Poland</t>
  </si>
  <si>
    <t>University of Gothenburg; Fahrenheit Universities; University of Gdansk</t>
  </si>
  <si>
    <t>Mazur, AK (corresponding author), Univ Gothenburg, Dept Marine Sci, POB 460, S-40530 Gothenburg, Sweden.</t>
  </si>
  <si>
    <t>akmazur@marine.gu.se</t>
  </si>
  <si>
    <t>Krezel, Adam/I-5433-2012; Wåhlin, Anna/U-3790-2017</t>
  </si>
  <si>
    <t>Krezel, Adam/0000-0002-7930-3009; Wåhlin, Anna/0000-0003-1799-6476</t>
  </si>
  <si>
    <t>University of Gdansk [BW 538-G210-B553-14]; Swedish Institute scholarship; European Space Agency [C1P.5417]</t>
  </si>
  <si>
    <t>University of Gdansk; Swedish Institute scholarship; European Space Agency(European Space Agency)</t>
  </si>
  <si>
    <t>This work was supported by research grant no. BW 538-G210-B553-14, University of Gdansk and it was also part of my research work at University of Gothenburg, thanks to a Swedish Institute scholarship.; ASAR images were provided by European Space Agency for the Cat-1 project C1P.5417.</t>
  </si>
  <si>
    <t>10.1016/j.rse.2016.11.013</t>
  </si>
  <si>
    <t>EJ1YB</t>
  </si>
  <si>
    <t>WOS:000393005400006</t>
  </si>
  <si>
    <t>Fernandes, AS; Mazzei, JL; Oliveira, CG; Evangelista, H; Marques, MRC; Ferraz, ERA; Felzenszwalb, I</t>
  </si>
  <si>
    <t>Fernandes, A. S.; Mazzei, J. L.; Oliveira, C. G.; Evangelista, H.; Marques, M. R. C.; Ferraz, E. R. A.; Felzenszwalb, I.</t>
  </si>
  <si>
    <t>Protection against UV-induced toxicity and lack of mutagenicity of Antarctic Sanionia uncinata</t>
  </si>
  <si>
    <t>TOXICOLOGY</t>
  </si>
  <si>
    <t>IUTOX 9th Congress of Toxicology in Developing Countries (CTDC) / 19th Brazilian Congress of Toxicology (CBTox)</t>
  </si>
  <si>
    <t>NOV, 2015</t>
  </si>
  <si>
    <t>Natal, BRAZIL</t>
  </si>
  <si>
    <t>Sanionia uncinata; Phenolic compounds; Free-radical scavenging; Sun protection factor; Photomutagenicity</t>
  </si>
  <si>
    <t>POLYCYCLIC AROMATIC-HYDROCARBONS; ANTIOXIDANT ACTIVITY; PHOTOCHEMICAL GENOTOXICITY; PHENOLIC-COMPOUNDS; DNA-DAMAGE; PHOTOMUTAGENICITY; EXTRACTS; MOSS; PHOTOGENOTOXICITY; PHOTOTOXICITY</t>
  </si>
  <si>
    <t>Antarctica moss Sanionia uncinata (Hedw.) Loeske is exposed in situ to damaging levels of ultraviolet (UV) radiation. This moss has the ability to respond to UV radiation exposure producing secondary metabolites such as flavonoids, and has been recommended as a potential source of photoprotective compounds and antioxidants. The aim of the present paper was to investigate the free-radical scavenging activity and mutagenic and photomutagenic properties of methanolic (ME), hydroethanolic (HE) and ethanolic (EE) extracts of S. uncinata. The phenolic contents were evaluated by high-performance liquid chromatography (HPLC) and spectrophotometry. The findings showed that ME and EE presented the highest phenolic contents and inhibited free radical-scavenging activity against 2,2'-diphenyl-1 picrylhydrazyl (DPPH) and the HPLC analysis indicated several classes of phenolic acids and flavonoids. The sun protection factors (SPF) were determined by an in vitro method and the results showed significant values. The SPF values of BZ-3 at 50 mu g/mL increased significantly in association with ME, HE and EE. The extracts did not induce mutagenicity in auxotrophic Salmonella typhimurium histidine and photomutagenicity was not detected in the TA102 and TA104 strains after exposure to UV-A at doses of up to 6.5.1/cm(2) for the TA102 strain and up to 0.24, J/cm(2) for the TA104 strain. In addition, with the exception of ME, all the extracts induced photoprotective effects in the presence of the TA104 strain at 0.04 J/cm(2). The present results suggest that S. uncinata extracts did not induce photomutation and showed promise for photoprotection against the photobiological and ROS-inducing effects of the UV-A radiation. (C) 2016 Elsevier Ireland Ltd. All rights reserved.</t>
  </si>
  <si>
    <t>[Fernandes, A. S.; Oliveira, C. G.; Evangelista, H.; Felzenszwalb, I.] Univ Estado Rio De Janeiro, Lab Environm Mutagenesis, Dept Biophys &amp; Biometry, Roberto Alcantra Gomes Biol Inst, Rio De Janeiro, RJ, Brazil; [Mazzei, J. L.] Fundacao Oswaldo Cruz, Farmanguinhos, Rio De Janeiro, RJ, Brazil; [Marques, M. R. C.] Univ Estado Rio De Janeiro, Inst Chem, Rio De Janeiro, RJ, Brazil; [Ferraz, E. R. A.] Univ Fed Fluminense, Sch Pharm, Rua Mario Viana 523, Niteroi, RJ, Brazil</t>
  </si>
  <si>
    <t>Universidade do Estado do Rio de Janeiro; Fundacao Oswaldo Cruz; Universidade do Estado do Rio de Janeiro; Universidade Federal Fluminense</t>
  </si>
  <si>
    <t>Ferraz, ERA (corresponding author), Univ Fed Fluminense, Sch Pharm, Rua Mario Viana 523, Niteroi, RJ, Brazil.</t>
  </si>
  <si>
    <t>elisaavelino@id.uff.br</t>
  </si>
  <si>
    <t>Marques, Monica/K-6064-2015; Felzenszwalb, Israel/AAH-4915-2020; Fernandes, Andreia/G-3806-2018; Mazzei, José Luiz/A-5947-2011; Evangelista, Heitor/C-7561-2013</t>
  </si>
  <si>
    <t>Marques, Monica/0000-0001-6906-8327; Felzenszwalb, Israel/0000-0003-1677-197X; Mazzei, José Luiz/0000-0002-2009-0053; Ferraz, Elisa/0000-0002-5029-8146; Fernandes, Andreia/0000-0002-5258-8139</t>
  </si>
  <si>
    <t>CNPq (Brasilia, Brazil); Faperj (Rio de Janeiro, Brazil)</t>
  </si>
  <si>
    <t>CNPq (Brasilia, Brazil)(Conselho Nacional de Desenvolvimento Cientifico e Tecnologico (CNPQ)); Faperj (Rio de Janeiro, Brazil)(Fundacao Carlos Chagas Filho de Amparo a Pesquisa do Estado do Rio De Janeiro (FAPERJ))</t>
  </si>
  <si>
    <t>The authors wish to thank Dr. Antonio Batista Pereira for identifying the mosses. This work was supported by CNPq (Brasilia, Brazil) and Faperj (Rio de Janeiro, Brazil). We also thank PROANTAR and INCT-Criosfera for allowing sampling in Antarctica.</t>
  </si>
  <si>
    <t>ELSEVIER IRELAND LTD</t>
  </si>
  <si>
    <t>CLARE</t>
  </si>
  <si>
    <t>ELSEVIER HOUSE, BROOKVALE PLAZA, EAST PARK SHANNON, CO, CLARE, 00000, IRELAND</t>
  </si>
  <si>
    <t>0300-483X</t>
  </si>
  <si>
    <t>Toxicology</t>
  </si>
  <si>
    <t>10.1016/j.tox.2016.05.021</t>
  </si>
  <si>
    <t>Pharmacology &amp; Pharmacy; Toxicology</t>
  </si>
  <si>
    <t>EJ9DL</t>
  </si>
  <si>
    <t>WOS:000393526700016</t>
  </si>
  <si>
    <t>Keenan, KA; Grove, TJ; Oldham, CA; O'Brien, KM</t>
  </si>
  <si>
    <t>Keenan, Kelly A.; Grove, Theresa J.; Oldham, Corey A.; O'Brien, Kristin M.</t>
  </si>
  <si>
    <t>Characterization of mitochondrial glycerol-3-phosphate acyltransferase in notothenioid fishes</t>
  </si>
  <si>
    <t>COMPARATIVE BIOCHEMISTRY AND PHYSIOLOGY B-BIOCHEMISTRY &amp; MOLECULAR BIOLOGY</t>
  </si>
  <si>
    <t>Mitochondria; Phospholipids; Fishes; Cold adaptation</t>
  </si>
  <si>
    <t>FATTY-ACID-COMPOSITION; ANTARCTIC FISH; COLD ADAPTATION; TRIACYLGLYCEROL SYNTHESIS; CHIONODRACO-HAMATUS; ACTIVE-SITE; MUSCLE; ENZYMES; IDENTIFICATION; TEMPERATURE</t>
  </si>
  <si>
    <t>Hearts of Antarctic icefishes (suborder Notothenioidei, family Channichthyidae) have higher densities of mitochondria, and mitochondria have higher densities of phospholipids, compared to red-blooded notothenioids. Glycerol-3-phosphate acyltransferase (GPAT) catalyzes the rate-limiting step in glycerolipid biosynthesis. There are four isoforms of GPAT in vertebrates; GPAT1 and GPAT2 are localized to the outer mitochondria] membrane, whereas GPAT3 and GPAT4 are localized to the endoplasmic reticulum membrane. We hypothesized that transcript levels of GPAT1 and/or GPAT2 would mirror densities of mitochondrial phospholipids and be higher in the icefish Chaenocephalus aceratus compared to the red-blooded species Notothenia coriiceps. Transcript levels of GPAT1 were quantified in heart ventricles and liver using qRT-PCR. Additionally, GPAT1 cDNA was sequenced in the Antarctic notothenioids, C. aceratus and N. coriiceps, and in the sub-Antarctic notothenioid, Eleginops madovinus, to identify amino acid substitutions that may maintain GPAT1 function at cold temperature. Transcript levels of GPAT1 were higher in liver compared to heart ventricles but were not significantly different between the two species. In contrast, transcripts of GPAT2 were only detected in ventricle where they were 6.6 fold higher in C aceratus compared to N. coriiceps. These data suggest GPAT1 may be more important for synthesizing triacylglycerol, whereas GPAT2 may regulate synthesis of phospholipids. GPAT1 amino acid sequences are highly conserved among the three notothenioids with 97.9-98.7% identity. Four amino acid substitutions within the cytosolic region of Antarctic notothenioid GPAT1 may maintain conformational changes necessary for binding and catalysis at cold temperature. (C) 2016 Elsevier Inc. All rights reserved.</t>
  </si>
  <si>
    <t>[Keenan, Kelly A.; Oldham, Corey A.; O'Brien, Kristin M.] Univ Alaska Fairbanks, Inst Arctic Biol, POB 757000, Fairbanks, AK 99775 USA; [Grove, Theresa J.] Valdosta State Univ, Dept Biol, Valdosta, GA 31698 USA</t>
  </si>
  <si>
    <t>University of Alaska System; University of Alaska Fairbanks; University System of Georgia; Valdosta State University</t>
  </si>
  <si>
    <t>O'Brien, KM (corresponding author), Univ Alaska Fairbanks, Inst Arctic Biol, POB 757000, Fairbanks, AK 99775 USA.</t>
  </si>
  <si>
    <t>kmobrien@alaska.edu</t>
  </si>
  <si>
    <t>National Science Foundation [ANT-0741301]</t>
  </si>
  <si>
    <t>We thank the Masters and Crew of the ARSV Laurence M. Gould and the Raytheon support staff at the US Antarctic Research Station, Palmer Station. Funding for this work was provided by a grant from the National Science Foundation (ANT-0741301 to KMO).</t>
  </si>
  <si>
    <t>1096-4959</t>
  </si>
  <si>
    <t>1879-1107</t>
  </si>
  <si>
    <t>COMP BIOCHEM PHYS B</t>
  </si>
  <si>
    <t>Comp. Biochem. Physiol. B-Biochem. Mol. Biol.</t>
  </si>
  <si>
    <t>10.1016/j.cbpb.2016.11.001</t>
  </si>
  <si>
    <t>Biochemistry &amp; Molecular Biology; Zoology</t>
  </si>
  <si>
    <t>EJ3CP</t>
  </si>
  <si>
    <t>WOS:000393089300002</t>
  </si>
  <si>
    <t>Zhou, FF; Fang, KY; Zhang, F; Li, YJ</t>
  </si>
  <si>
    <t>Zhou, Feifei; Fang, Keyan; Zhang, Fen; Li, Yingjun</t>
  </si>
  <si>
    <t>Interdecadal moisture patterns and teleconnections in Monsoonal Asia over the past seven centuries</t>
  </si>
  <si>
    <t>interdecadal timescales; moisture teleconnections; Monsoonal Asia Drought Atlas; self-organizing map; during the past seven centuries</t>
  </si>
  <si>
    <t>TIBETAN PLATEAU; DROUGHT VARIABILITY; SURFACE-TEMPERATURE; SPATIAL-PATTERNS; NORTH-AMERICA; CHINA; PRECIPITATION; PACIFIC; OSCILLATION; CLIMATE</t>
  </si>
  <si>
    <t>Interdecadal (10- to 100-year oscillation) moisture variations over the Monsoonal Asia (MA) is highly variable across regions and time, which are relatively less understood due to the shortness of the instrumental data of a few decades. In this study, comprehensive investigations on the spatiotemporal distributions of the interdecadal moisture variations over MA as well as their evolution from prior to the industrial era were conducted utilizing the tree-ring based drought reconstructions, i.e. the Monsoonal Asia Drought Atlas. Nine interdecadal moisture patterns in MA are identified using the self-organizing map based on the ensemble empirical mode decomposition. To further investigate these interdecadal moisture patterns, we aggregated the selected nine nodes into four patterns using a hierarchical clustering approach. Among them, Pattern 1 stands for a teleconnection between the Northeast MA and the Indian Peninsula, and Pattern 2 represents a dipole pattern between the Southern and Northern MA. We find that Pattern 1 may be linked with the dynamics of the Antarctic Oscillation that can modulate the strength of the Asian summer monsoon through meridional teleconnections. Pattern 2 is mainly driven by the elevated El Nino-Southern Oscillation variance and the zonal 'Silk Road Pattern' to bridge this interdecadal modulation.</t>
  </si>
  <si>
    <t>[Zhou, Feifei; Fang, Keyan; Li, Yingjun] Fujian Normal Univ, Key Lab Humid Subtrop Ecogeog Proc MOE, Fuzhou 350007, Peoples R China; [Fang, Keyan] Chinese Acad Sci, Inst Geol &amp; Geophys, Key Lab Cenozo Geol &amp; Environm, Beijing, Peoples R China; [Zhang, Fen] Lanzhou Univ, Key Lab Western Chinas Environm Syst MOE, Lanzhou, Peoples R China</t>
  </si>
  <si>
    <t>Fujian Normal University; Chinese Academy of Sciences; Institute of Geology &amp; Geophysics, CAS; Lanzhou University</t>
  </si>
  <si>
    <t>Fang, KY (corresponding author), Fujian Normal Univ, Key Lab Humid Subtrop Ecogeog Proc MOE, Fuzhou 350007, Peoples R China.</t>
  </si>
  <si>
    <t>kfang@fjnu.edu.cn</t>
  </si>
  <si>
    <t>li, yingjun/HJB-0161-2022</t>
  </si>
  <si>
    <t>10.1002/joc.4745</t>
  </si>
  <si>
    <t>EJ7PQ</t>
  </si>
  <si>
    <t>WOS:000393415100023</t>
  </si>
  <si>
    <t>Bi, T; An, JC; Yang, J; Liu, SL</t>
  </si>
  <si>
    <t>Bi, Tong; An, Jiachun; Yang, Jian; Liu, Shulun</t>
  </si>
  <si>
    <t>A modified Klobuchar model for single-frequency GNSS users over the polar region</t>
  </si>
  <si>
    <t>Broadcast ionospheric model; Modified Klobuchar model; Polar region; Single-frequency single-point positioning (SPP)</t>
  </si>
  <si>
    <t>IONOSPHERIC MODELS; DELAY</t>
  </si>
  <si>
    <t>For single-frequency Global Navigation Satellite System (GNSS) users, it is necessary to select a simple and effective broadcast ionospheric model to mitigate the ionospheric delay, which is one of the most serious error sources in GNSS measurement. The widely used Global Positioning System (GPS) Klobuchar model can achieve better performance in mid-latitudes, however, this model is not applicable in high-latitudes due to the more complex ionospheric structure over the polar region. Under the premise of no additional coefficients, a modified Klobuchar model is established for single-frequency GNSS users over the polar region by improving the nighttime term and the amplitude of the cosine term. The performance of the new model is validated by different ionospheric models and their applications in single-frequency single-point positioning, during different seasons and different levels of solar activities. The new model can reduce the ionospheric error by 60% over the polar region, while the GPS-Klobuchar even increases the ionospheric error in many cases. Over the polar region, the single-frequency SPP error using the new model is approximately 3 m in vertical direction and 1 m in horizontal direction, which is superior to GPS-Klobuchar. This study suggests that the modified Klobuchar model is more accurate to depict the polar ionosphere and could be used to achieve better positioning accuracy for single-frequency GNSS users over the polar region. (C) 2016 COSPAR. Published by Elsevier Ltd. All rights reserved.</t>
  </si>
  <si>
    <t>[Bi, Tong; An, Jiachun; Liu, Shulun] Wuhan Univ, Chinese Antarctic Ctr Surveying &amp; Mapping, Wuhan 430079, Peoples R China; [Yang, Jian] Wuhan Univ Technol, Sch Civil Engn &amp; Architecture, Wuhan 430079, Peoples R China</t>
  </si>
  <si>
    <t>Wuhan University; Wuhan University of Technology</t>
  </si>
  <si>
    <t>bitong@chinare.cn; jcan@whu.edu.cn; realmilanyj@163.com; 354204390@qq.com</t>
  </si>
  <si>
    <t>An, Jiachun/ABG-4275-2020</t>
  </si>
  <si>
    <t>China Natural Science Fund [41231064]</t>
  </si>
  <si>
    <t>China Natural Science Fund</t>
  </si>
  <si>
    <t>The authors would like to acknowledge the International GNSS Service (IGS) and The Polar Earth Observing Networks (POLENET) for providing the GNSS data. This research was supported by China Natural Science Fund (No. 41231064).</t>
  </si>
  <si>
    <t>10.1016/j.asr.2016.10.029</t>
  </si>
  <si>
    <t>EI7MX</t>
  </si>
  <si>
    <t>WOS:000392683400010</t>
  </si>
  <si>
    <t>Vignon, E; Genthon, C; Barral, H; Amory, C; Picard, G; Gallée, H; Casasanta, G; Argentini, S</t>
  </si>
  <si>
    <t>Vignon, Etienne; Genthon, Christophe; Barral, Helene; Amory, Charles; Picard, Ghislain; Gallee, Hubert; Casasanta, Giampietro; Argentini, Stefania</t>
  </si>
  <si>
    <t>Momentum- and Heat-Flux Parametrization at Dome C, Antarctica: A Sensitivity Study</t>
  </si>
  <si>
    <t>BOUNDARY-LAYER METEOROLOGY</t>
  </si>
  <si>
    <t>Antarctic Plateau; Model parametrizations; Roughness length; Stable boundary layer; Turbulent fluxes</t>
  </si>
  <si>
    <t>ATMOSPHERIC SURFACE-LAYER; SCALAR TRANSFER-COEFFICIENTS; BOUNDARY-LAYER; EAST ANTARCTICA; ENERGY BALANCE; TEMPERATURE INVERSION; PROFILE RELATIONSHIPS; SNOW ACCUMULATION; ROUGHNESS LENGTHS; SELF-CORRELATION</t>
  </si>
  <si>
    <t>An extensive meteorological observational dataset at Dome C, East Antarctic Plateau, enabled estimation of the sensitivity of surface momentum and sensible heat fluxes to aerodynamic roughness length and atmospheric stability in this region. Our study reveals that (1) because of the preferential orientation of snow micro-reliefs (sastrugi), the aerodynamic roughness length varies by more than two orders of magnitude depending on the wind direction; consequently, estimating the turbulent fluxes with a realistic but constant of 1 mm leads to a mean friction velocity bias of in near-neutral conditions; (2) the dependence of the ratio of the roughness length for heat to on the roughness Reynolds number is shown to be in reasonable agreement with previous models; (3) the wide range of atmospheric stability at Dome C makes the flux very sensitive to the choice of the stability functions; stability function models presumed to be suitable for stable conditions were evaluated and shown to generally underestimate the dimensionless vertical temperature gradient; as these models differ increasingly with increases in the stability parameter z / L, heat flux and friction velocity relative differences reached when ; (4) the shallowness of the stable boundary layer is responsible for significant sensitivity to the height of the observed temperature and wind data used to estimate the fluxes. Consistent flux results were obtained with atmospheric measurements at heights up to 2 m. Our sensitivity study revealed the need to include a dynamical parametrization of roughness length over Antarctica in climate models and to develop new parametrizations of the surface fluxes in very stable conditions, accounting, for instance, for the divergence in both radiative and turbulent fluxes in the first few metres of the boundary layer.</t>
  </si>
  <si>
    <t>[Vignon, Etienne; Genthon, Christophe; Amory, Charles; Picard, Ghislain; Gallee, Hubert] Univ Grenoble Alpes, CNRS, Lab Glaciol &amp; Geophys Environm, Grenoble, France; [Barral, Helene] Univ Grenoble Alpes, CNRS, Lab Etude Transferts Hydrol &amp; Environm, Grenoble, France; [Casasanta, Giampietro; Argentini, Stefania] CNR, Inst Atmospher Sci &amp; Climate, Rome, Italy</t>
  </si>
  <si>
    <t>Communaute Universite Grenoble Alpes; Universite Grenoble Alpes (UGA); Centre National de la Recherche Scientifique (CNRS); Universite de Toulouse; Universite Toulouse III - Paul Sabatier; Centre National de la Recherche Scientifique (CNRS); Institut de Recherche pour le Developpement (IRD); Communaute Universite Grenoble Alpes; Institut National Polytechnique de Grenoble; Universite Grenoble Alpes (UGA); Consiglio Nazionale delle Ricerche (CNR); Istituto di Scienze dell'Atmosfera e del Clima (ISAC-CNR)</t>
  </si>
  <si>
    <t>Vignon, E (corresponding author), Univ Grenoble Alpes, CNRS, Lab Glaciol &amp; Geophys Environm, Grenoble, France.</t>
  </si>
  <si>
    <t>Picard, Ghislain/D-4246-2013</t>
  </si>
  <si>
    <t>Picard, Ghislain/0000-0003-1475-5853; Amory, Charles/0000-0002-5906-4303; VIGNON, Etienne/0000-0003-3801-9367</t>
  </si>
  <si>
    <t>INSU; OSUG</t>
  </si>
  <si>
    <t>INSU(Centre National de la Recherche Scientifique (CNRS)); OSUG(Centre National de la Recherche Scientifique (CNRS))</t>
  </si>
  <si>
    <t>The authors thank the three anonymous reviewers for their insightful comments. This research was supported by INSU (programs LEFE CLAPA and GABLS4) and OSUG (GLACIOCLIM observatory). Logistical support by the French (IPEV) and Italian (PNRA) polar agencies through 'programme CALVA' (1013) and the 'CoMPASs project' is gratefully acknowledged. We are particularly grateful to the Concordia Research Station winter-over staff who maintain the instruments year round. The authors thank the BSRN network and Christian Lanconelli for dissemination of the 2010 radiation data, Alessandro Conidi for having provided the recent sonic thermo-anemometer data, Helene Freville for Dome C photographs and Frederic Hourdin, Eric Bazile, Patrick Lemoigne, Fleur Couvreux, Olivier Traulle, Bas van de Wiel and Ivo van Hooijdonk for fruitful discussions. Further information on the CALVA meteorological program is available at 'http://lgge.osug.fr/similar to genthon/calva/home.shtml'.</t>
  </si>
  <si>
    <t>0006-8314</t>
  </si>
  <si>
    <t>1573-1472</t>
  </si>
  <si>
    <t>BOUND-LAY METEOROL</t>
  </si>
  <si>
    <t>Bound.-Layer Meteor.</t>
  </si>
  <si>
    <t>10.1007/s10546-016-0192-3</t>
  </si>
  <si>
    <t>EI4WU</t>
  </si>
  <si>
    <t>WOS:000392495200008</t>
  </si>
  <si>
    <t>Hughes, JM; Stewart, J; Lyle, JM; McAllister, J; Stocks, JR; Suthers, IM</t>
  </si>
  <si>
    <t>Hughes, Julian M.; Stewart, John; Lyle, Jeremy M.; McAllister, Jaime; Stocks, Jerom R.; Suthers, Iain M.</t>
  </si>
  <si>
    <t>Influence of latitudinal variation in environmental gradients and population structure on the demography of a widespread pelagic fish, Arripis trutta (Forster, 1801)</t>
  </si>
  <si>
    <t>ENVIRONMENTAL BIOLOGY OF FISHES</t>
  </si>
  <si>
    <t>Arripidae; Age structure; Size composition; East Australian Current; Growth; Age validation</t>
  </si>
  <si>
    <t>AUSTRALIAN SALMON; CLIMATE-CHANGE; QUALITY-CONTROL; AGE VALIDATION; LIFE-HISTORY; GROWTH-RATES; EAST-COAST; MOVEMENTS; STOCK; SIZE</t>
  </si>
  <si>
    <t>Knowledge of the influence of both spatial and temporal environmental gradients on life history traits and population demographics is a critical requirement in the management of exploited fish populations. This study examined variation in the demographics of Arripis trutta, an economically-important pelagic fish species with a broad latitudinal distribution in the waters of coastal south-eastern (SE) Australia, a region dominated by the influence of the East Australian Current (EAC). A validated ageing protocol was first developed using sectioned sagittal otoliths, which in turn permitted examination of latitudinal variation in A. trutta growth, size compositions and age compositions. The von Bertalanffy growth function parameters for A. trutta in SE Australia were estimated to be L (a) = 63.20 +/- 0.37 cm fork length (FL), k = 0.26 +/- 0.01 yr(-1) and t (o) = -0.14 +/- 0.03 yr, with a maximum estimated age of 12.7 years. Growth was shown to be faster with decreasing latitude likely due to a simple relationship with the latitudinal gradient in water temperature; fastest growth occurring in northern NSW and slowest growth occurring in Tasmania. Latitudinal patterns in growth were remarkably similar to those previously reported for this species, despite age being estimated using scale readings some 40 years ago. This consistency in latitudinal growth patterns of a temperate fish can be attributed to the life history-related movements undertaken by A. trutta in this region. This temporally-consistent movement pattern is supported by the spatial gradient in the size and age composition of A. trutta sampled from different latitudes in both the current and historical research, whereby numbers of large and old fish increase progressively from Tasmania to northern NSW. These results highlight the need to consider the potential for spatial size- or age-structuring in the development of sampling designs and interpretation of results for any study examining spatial or temporal variation in demographic parameters of exploited fish populations.</t>
  </si>
  <si>
    <t>[Hughes, Julian M.; Stewart, John] New South Wales Dept Primary Ind, Sydney Inst Marine Sci, Bldg 19,Chowder Bay Rd, Mosman, NSW 2088, Australia; [Hughes, Julian M.; Stocks, Jerom R.; Suthers, Iain M.] Univ New South Wales, Fisheries &amp; Marine Environm Res Facil, Sch Biol Earth &amp; Environm Sci, Sydney, NSW 2052, Australia; [Stewart, John; Lyle, Jeremy M.; McAllister, Jaime] Univ Tasmania, Inst Marine &amp; Antarctic Studies, Private Bag 49, Hobart, Tas 7001, Australia; [Stocks, Jerom R.] New South Wales Dept Primary Ind, Batemans Bay Fisheries Ctr, POB 17, Batemans Bay, NSW 2536, Australia</t>
  </si>
  <si>
    <t>NSW Department of Primary Industries; Sydney Institute of Marine Science; University of New South Wales Sydney; University of Tasmania; NSW Department of Primary Industries</t>
  </si>
  <si>
    <t>Hughes, JM (corresponding author), New South Wales Dept Primary Ind, Sydney Inst Marine Sci, Bldg 19,Chowder Bay Rd, Mosman, NSW 2088, Australia.</t>
  </si>
  <si>
    <t>Julian.Hughes@dpi.nsw.gov.au</t>
  </si>
  <si>
    <t>Stewart, John/N-7330-2016; Lyle, Jeremy/J-7170-2014; Stocks, Jerom/N-9315-2016; Hughes, Julian/D-2695-2017; Suthers, Iain/C-4559-2008</t>
  </si>
  <si>
    <t>Lyle, Jeremy/0000-0001-9670-5854; Stocks, Jerom/0000-0001-6425-8869; Hughes, Julian/0000-0002-0884-8386; Suthers, Iain/0000-0002-9340-7461</t>
  </si>
  <si>
    <t>Fisheries Research and Development Corporation (FRDC) [2006/018]; NSW Recreational Saltwater Fishing Trust; NSW Department of Primary Industries</t>
  </si>
  <si>
    <t>Fisheries Research and Development Corporation (FRDC)(Fisheries R&amp;D Corp); NSW Recreational Saltwater Fishing Trust; NSW Department of Primary Industries</t>
  </si>
  <si>
    <t>We thank Ashley Fowler, David Feary and two anonymous reviewers for constructive comments on earlier drafts of this manuscript. We are grateful to the commercial salmon fishers who collected the fish to be used in this study: Harry Mitchelson (Victoria), Alf Patane (northern NSW), Stuart Richey (Tasmania), and Gary Warren (southern NSW). This study was funded by the Fisheries Research and Development Corporation (FRDC Project No. 2006/018), the NSW Recreational Saltwater Fishing Trust and the NSW Department of Primary Industries. It was carried out under NSW Animal Care and Ethics Permit No. 09/07</t>
  </si>
  <si>
    <t>0378-1909</t>
  </si>
  <si>
    <t>1573-5133</t>
  </si>
  <si>
    <t>ENVIRON BIOL FISH</t>
  </si>
  <si>
    <t>Environ. Biol. Fishes</t>
  </si>
  <si>
    <t>10.1007/s10641-016-0565-y</t>
  </si>
  <si>
    <t>EI2EI</t>
  </si>
  <si>
    <t>WOS:000392299100004</t>
  </si>
  <si>
    <t>Khim, BK; Song, B; Cho, HG; Williams, T; Escutia, C</t>
  </si>
  <si>
    <t>Khim, Boo-Keun; Song, Buhan; Cho, Hyen Goo; Williams, Trevor; Escutia, Carlota</t>
  </si>
  <si>
    <t>Late Neogene sediment properties in the Wilkes Land continental rise (IODP Exp. 318 Hole U1359A), East Antarctica</t>
  </si>
  <si>
    <t>GEOSCIENCES JOURNAL</t>
  </si>
  <si>
    <t>biogenic opal; NGR; clay mineralogy; sea ice; East Antarctic Ice Sheet; Wilkes Land; IODP</t>
  </si>
  <si>
    <t>CLAY-MINERAL ASSEMBLAGES; ICE-SHEET; SOUTHERN-OCEAN; BIOGENIC OPAL; MCMURDO SOUND; PRYDZ BAY; ROSS SEA; MARGIN; PLIOCENE; ACCUMULATION</t>
  </si>
  <si>
    <t>On the basis of the variations of sediment properties such as biogenic opal, grain size, natural gamma radiation (NGR), and clay mineralogy, we differentiate two types of late Neogene marine sediments that record paleoclimate changes associated with the growth and retreat of the East Antarctic Ice Sheet (EAIS) and associated changes in sea ice cover. The first type of sediments are massive muds characterized by high biogenic opal (30 similar to 55%), low NGR (15 similar to 30 counts per second (cps)), large mean grain size (&gt; 8.3 mu m), and low smectite/(illite + chlorite) [S/(I + C)] ratios (similar to 0.2). We interpret these sediments as the result from deposition by either turbiditic or contouritic processes during glacial conditions. All these sediment properties indicate that the Wilkes Land continental rise recorded late Neogene paleoclimatic changes in terms of surface water productivity, sediment provenance and transport pathway, and depositional processes that are related to the growth and retreat of EAIS. In addition, the decreased maxima of biogenic opal content at Hole U1359A highlights the temporal climatic change between the late Pliocene (similar to 2.0 Ma to similar to 3.7 Ma) and the early Pliocene to late Miocene (similar to 3.7 Ma to similar to 6.3 Ma), confirming the important role of sea ice to the surface water productivity associated with the global cooling trend in the East Antarctica.</t>
  </si>
  <si>
    <t>[Khim, Boo-Keun; Song, Buhan] Pusan Natl Univ, Dept Oceanog, Busan 46241, South Korea; [Cho, Hyen Goo] Gyeongsang Natl Univ, Dept Earth Environm Sci, Jinju 52828, South Korea; [Williams, Trevor] Columbia Univ, Lamont Doherty Earth Observ, Palisades, NY 10964 USA; [Escutia, Carlota] Univ Granada, Inst Andaluz Ciencias Tierra, CSIC, Armilla 18100, Spain</t>
  </si>
  <si>
    <t>Pusan National University; Gyeongsang National University; Columbia University; University of Granada; Consejo Superior de Investigaciones Cientificas (CSIC); CSIC - Instituto Andaluz de Ciencias de la Tierra (IACT)</t>
  </si>
  <si>
    <t>Khim, BK (corresponding author), Pusan Natl Univ, Dept Oceanog, Busan 46241, South Korea.</t>
  </si>
  <si>
    <t>bkkhim@pusan.ac.kr</t>
  </si>
  <si>
    <t>Cho, Hyengoo/Q-9899-2019; Williams, Trevor/L-7670-2014; Escutia, Carlota/B-8614-2015</t>
  </si>
  <si>
    <t>Escutia, Carlota/0000-0002-4932-8619</t>
  </si>
  <si>
    <t>KOPRI [PP16010, PE 17030]</t>
  </si>
  <si>
    <t>KOPRI(Korea Polar Research Institute of Marine Research Placement (KOPRI))</t>
  </si>
  <si>
    <t>This study was carried out by K-IODP program through the Ministry of Oceans and Fisheries (Korea) and partly by KOPRI (grant PP16010 and PE 17030). Constructive comments by reviewers are greatly appreciated to improve the data interpretation.</t>
  </si>
  <si>
    <t>GEOLOGICAL SOCIETY KOREA</t>
  </si>
  <si>
    <t>NEW BLD RM 813, KSTC, 835-4, YEOKSAM-DONG, KANGNAM-GU, SEOUL, 135-703, SOUTH KOREA</t>
  </si>
  <si>
    <t>1226-4806</t>
  </si>
  <si>
    <t>1598-7477</t>
  </si>
  <si>
    <t>GEOSCI J</t>
  </si>
  <si>
    <t>Geosci. J.</t>
  </si>
  <si>
    <t>10.1007/s12303-016-0037-6</t>
  </si>
  <si>
    <t>EI2VM</t>
  </si>
  <si>
    <t>WOS:000392346500002</t>
  </si>
  <si>
    <t>Smith, GG; Poole, AJ; King, PC; Battaglene, S; Fitzgibbon, Q; de Nys, R</t>
  </si>
  <si>
    <t>Smith, Gregory G.; Poole, Andrew J.; King, Peter C.; Battaglene, Stephen; Fitzgibbon, Quinn; de Nys, Rocky</t>
  </si>
  <si>
    <t>The release and uptake of metals from potential biofilm inhibition products during spiny lobster (Sagmariasus verreauxi, H. Milne Edwards 1851) culture</t>
  </si>
  <si>
    <t>crustacean; spiny lobster; heavy metal; phyllosoma; Sagmariasus verreauxi; moult deformity</t>
  </si>
  <si>
    <t>SOUTHERN ROCK LOBSTER; JASUS-EDWARDSII; COLD SPRAY; PHYLLOSOMA LARVAE; PANULIRUS-ORNATUS; COPPER; SURVIVAL; ZINC; CRUSTACEA; JUVENILE</t>
  </si>
  <si>
    <t>Zinc (Zn) and copper (Cu) are strong inhibitors of bacterial biofilms in aqueous solutions, but are known toxins of crustaceans. A new metal application method; cold-sprayed metal embedment, known to modulate metal release, was tested for its applications in crustacean larval culture systems. Cold-spray technology allows metal particles to bond to plastics, while modulating metal ion release and biocide activity to the substrate boundary. In this study, Eastern spiny lobster (Sagmariasus verreauxi) larvae (phyllosoma) were cultured in the presence of cold-sprayed Zn and Cu metal surfaces. Metal loss was monitored gravimetrically on embedded surfaces, assessment of water ion concentrations and analysis of phyllosoma body content were undertaken. Phyllosoma moulting, deformity and mortality patterns were monitored. Cold-sprayed Zn- and Cu-embedded surfaces were depleted with losses of 0.69% and 31.2% noted respectively. Culture water concentrations of these metals were elevated and accumulation by phyllosoma occurred. Water Zn concentrations of 18.5 mu g L-1 were associated with chronic eyestalk moult deformities; the first report of Zn causing a non-lethal moult deformity in crustacean larvae. The Cu surface lost a third of its metal mass with a water concentration of 40 mu g L-1 causing acute toxicity and localization of composite granules in the midgut gland. Cu associated mortality was noted by Day 2 of culture with a LD 50 experienced by Day 9. Future work on the use of bioactive metals in aquaculture systems will focus on a range of different metal alloys, and improved modulation of ion release mechanisms through increased particle embedment depth and separation.</t>
  </si>
  <si>
    <t>[Smith, Gregory G.; Battaglene, Stephen; Fitzgibbon, Quinn] Univ Tasmania, Inst Marine &amp; Antarct Studies, Hobart, Tas, Australia; [Poole, Andrew J.] CSIRO Mfg Flagship, Geelong, Vic, Australia; [King, Peter C.] CSIRO Mfg Flagship, Melbourne, Vic, Australia; [de Nys, Rocky] James Cook Univ, MACRO Ctr Macroalgal Resources &amp; Biotechnol, Coll Marine &amp; Environm Sci, Townsville, Qld, Australia</t>
  </si>
  <si>
    <t>University of Tasmania; Commonwealth Scientific &amp; Industrial Research Organisation (CSIRO); Commonwealth Scientific &amp; Industrial Research Organisation (CSIRO); Melbourne Genomics Health Alliance; James Cook University</t>
  </si>
  <si>
    <t>Smith, GG (corresponding author), Univ Tasmania, Inst Marine &amp; Antarct Studies, Hobart, Tas, Australia.</t>
  </si>
  <si>
    <t>gregory.smith@utas.edu.au</t>
  </si>
  <si>
    <t>Battaglene, Stephen C/H-9683-2014; King, Peter C/B-9311-2008; de Nys, Rocky/D-6741-2012; Smith, Gregory/C-9263-2013</t>
  </si>
  <si>
    <t>King, Peter C/0000-0003-1837-5479; de Nys, Rocky/0000-0003-3869-4928; Poole, Andrew/0000-0001-9584-6452; Fitzgibbon, Quinn/0000-0002-1104-3052; Smith, Gregory/0000-0002-8677-1230</t>
  </si>
  <si>
    <t>Australian Research Council Industrial Transformation Research HUB [IH120100032]; Australian Research Council [IH120100032] Funding Source: Australian Research Council</t>
  </si>
  <si>
    <t>Australian Research Council Industrial Transformation Research HUB(Australian Research Council); Australian Research Council(Australian Research Council)</t>
  </si>
  <si>
    <t>The authors thank the Australian Antarctic Division for use of their scanning electron microscopy facilities and the technical assistance of electron microscopist Rick van den Enden. We would also like to thank CSIRO manufacturing flagship for use of facilities and the assistance of their staff to produce the cold-sprayed materials used in this study. IMAS technical staff; Anna Overwetter, Derek Cropp, Bryan Choa and Reham Negm were invaluable to undertaking this study. This research was supported by the Australian Research Council Industrial Transformation Research HUB (project number IH120100032). The views expressed herein are those of the authors and are not necessarily those of the Australian Research Council.</t>
  </si>
  <si>
    <t>10.1111/are.12907</t>
  </si>
  <si>
    <t>EH7NT</t>
  </si>
  <si>
    <t>WOS:000391960400021</t>
  </si>
  <si>
    <t>C</t>
  </si>
  <si>
    <t>Suparta, W; Nor, WNAWM</t>
  </si>
  <si>
    <t>Suparta, Wayan; Nor, Wan Nur Arina Wan Mohd</t>
  </si>
  <si>
    <t>GPS Total Electron Content Variation During the Occurrence of Atmospheric Lightning Over Antarctica</t>
  </si>
  <si>
    <t>ADVANCED SCIENCE LETTERS</t>
  </si>
  <si>
    <t>Proceedings Paper</t>
  </si>
  <si>
    <t>International Conference on Education (ICOED)</t>
  </si>
  <si>
    <t>APR 12-14, 2016</t>
  </si>
  <si>
    <t>Jakarta, INDONESIA</t>
  </si>
  <si>
    <t>GPS TEC; Lightning; Solar Activity; Antarctica</t>
  </si>
  <si>
    <t>This paper characterizes GPS total electron content (TEC) during the occurrence of lightning in Antarctic Peninsula during the year 2013. The observation was conducted using ground-based GPS receivers at O'Higgins (OHI3), Rothera (ROTH) and Palmer (PALM). The GPS TEC response was investigated during lightning events. The increment of Delta TEC 0.2 to 0.4 TECU was observed for lightning energy less than 10 million rms during low geomagnetic activity. Meanwhile, an increase of Delta TEC 0.4 to 1.0 TECU is observed for lightning energy more than 10 million rms during unsettled to active storm. It is identified that the response of TEC can be observed similar to 0.25 hour before the lightning event. Moreover, TEC during equinox and solstice events is shown an increment of 0.7 to 1.9 TECU, which is 38% higher compared with lightning activity.</t>
  </si>
  <si>
    <t>[Suparta, Wayan; Nor, Wan Nur Arina Wan Mohd] Univ Kebangsaan Malaysia, Inst Climate Change, Space Sci Ctr ANGKASA, Bangi 43600, Selangor Darul, Malaysia</t>
  </si>
  <si>
    <t>Suparta, W (corresponding author), Univ Kebangsaan Malaysia, Inst Climate Change, Space Sci Ctr ANGKASA, Bangi 43600, Selangor Darul, Malaysia.</t>
  </si>
  <si>
    <t>SUPARTA, WAYAN/K-3110-2013</t>
  </si>
  <si>
    <t>SUPARTA, WAYAN/0000-0002-6193-1867</t>
  </si>
  <si>
    <t>Ministry of Science, Technology and Innovation Malaysia (MOSTI) under Flagship Program [ZF-2014-016]</t>
  </si>
  <si>
    <t>Ministry of Science, Technology and Innovation Malaysia (MOSTI) under Flagship Program</t>
  </si>
  <si>
    <t>This work is supported by Ministry of Science, Technology and Innovation Malaysia (MOSTI) under Flagship Program: ZF-2014-016 grant. The authors would like to thank Scripps Orbit Permanent Array Center (SOPAC) for archiving GPS data, Astronomisches Institut University of Bern (AIUB) for CODE data, World Data Centre (WDC) for Geomagnetism, Kyoto for geomagnetic activity data.</t>
  </si>
  <si>
    <t>AMER SCIENTIFIC PUBLISHERS</t>
  </si>
  <si>
    <t>VALENCIA</t>
  </si>
  <si>
    <t>26650 THE OLD RD, STE 208, VALENCIA, CA 91381-0751 USA</t>
  </si>
  <si>
    <t>1936-6612</t>
  </si>
  <si>
    <t>1936-7317</t>
  </si>
  <si>
    <t>ADV SCI LETT</t>
  </si>
  <si>
    <t>Adv. Sci. Lett.</t>
  </si>
  <si>
    <t>10.1166/asl.2017.8380</t>
  </si>
  <si>
    <t>Conference Proceedings Citation Index - Science (CPCI-S)</t>
  </si>
  <si>
    <t>GD9EA</t>
  </si>
  <si>
    <t>WOS:000430814700134</t>
  </si>
  <si>
    <t>Suparta, W; Zainudin, SK</t>
  </si>
  <si>
    <t>Suparta, Wayan; Zainudin, Siti Khalijah</t>
  </si>
  <si>
    <t>Interaction Between Global Positioning System Tropospheric Delay and Lightning Strike Frequency</t>
  </si>
  <si>
    <t>Tropospheric Delay; Lightning Strike; TroWav; ZTD ANFIS</t>
  </si>
  <si>
    <t>GPS tropospheric delay is important in meteorological studies and lightning is one of the phenomena that occur in the atmosphere that has prevented its effects. This paper aimed to study the response of zenith tropospheric delay (ZTD) towards the lightning strike in Antarctic Peninsula. The frequency of lightning on a daily basis are selected in a 30 minutes' time frame in 2013 between latitude of 60 degrees S to 80 degrees S and longitude of 50 degrees W to 90 degrees W where the lightning strike mostly occurred. The ZTD values in this work are derived by using the TroWav (ZTD(G)) and ZTD ANFIS (ZTD(A)) while the zenith path delay (ZPD) from NASA are used as a reference data to compare the ZTDs derived from the two models. Results show that the ZTD from selected stations show a good relationship with ZPD from NASA. A total of 36 strikes occurred in 2013 with the most strikes occurring on May 20th and the least strikes on January 31st. The calculated ZTD show the longest strike was on January 17th with length 2.32 m while ZTD for May 20th was 2.30 m. This implies that the interaction between ZTD and frequency of lightning strike is variable, whereby the ZTD is affected by the lightning strike energy and not just the amount of lightning strikes.</t>
  </si>
  <si>
    <t>[Suparta, Wayan; Zainudin, Siti Khalijah] Univ Kebangsaan Malaysia, Inst Climate Change, Space Sci Ctr ANGKASA, Bangi 43600, Selangor Darul, Malaysia; [Suparta, Wayan] Univ Malaya, NARC, Kuala Lumpur 50603, Malaysia</t>
  </si>
  <si>
    <t>Universiti Kebangsaan Malaysia; Universiti Malaya</t>
  </si>
  <si>
    <t>Suparta, W (corresponding author), Univ Kebangsaan Malaysia, Inst Climate Change, Space Sci Ctr ANGKASA, Bangi 43600, Selangor Darul, Malaysia.;Suparta, W (corresponding author), Univ Malaya, NARC, Kuala Lumpur 50603, Malaysia.</t>
  </si>
  <si>
    <t>Ministry of Science, Technology and Innovation (MOSTI) Flagship Program [ZF-2014-016]</t>
  </si>
  <si>
    <t>Ministry of Science, Technology and Innovation (MOSTI) Flagship Program</t>
  </si>
  <si>
    <t>This work is supported by Ministry of Science, Technology and Innovation (MOSTI) Flagship Program, under the ZF-2014-016 grant. The GPS, surface meteorological data and zenith path delay were provided by SOPAC, BAS and NASA, respectively. The authors would like to send their appreciation to Kemal Maulana Alhasa for developing the algorithm of ZTD ANFIS (ZTDA) and to Siti Katrina Zulkeple who help to proofread this paper.</t>
  </si>
  <si>
    <t>10.1166/asl.2017.8386</t>
  </si>
  <si>
    <t>WOS:000430814700157</t>
  </si>
  <si>
    <t>Urbanczyk, M; Góra, J; Latajka, R; Sewald, N</t>
  </si>
  <si>
    <t>Urbanczyk, Malgorzata; Gora, Jerzy; Latajka, Rafal; Sewald, Norbert</t>
  </si>
  <si>
    <t>Antifreeze glycopeptides: from structure and activity studies to current approaches in chemical synthesis</t>
  </si>
  <si>
    <t>AMINO ACIDS</t>
  </si>
  <si>
    <t>Antifreeze glycopeptides; AFGP; Structure-activity relationship; Solid-phase peptide synthesis; Hydration shell dynamics; Terahertz spectroscopy</t>
  </si>
  <si>
    <t>SOLID-PHASE SYNTHESIS; RECRYSTALLIZATION INHIBITION-ACTIVITY; ICE RECRYSTALLIZATION; POLAR FISH; GLYCOPROTEIN ANALOGS; ANTARCTIC FISH; WATER DYNAMICS; AFGP ANALOGS; PROTEIN; GROWTH</t>
  </si>
  <si>
    <t>Antifreeze glycopeptides (AFGPs) are a class of biological antifreeze agents found predominantly in Arctic and Antarctic species of fish. They possess the ability to regulate ice nucleation and ice crystal growth, thus creating viable life conditions at temperatures below the freezing point of body fluids. AFGPs usually consist of 4-55 repetitions of the tripeptide unit Ala-Ala-Thr that is O-glycosylated at the threonine side chains with beta-D-galactosyl-(1 -&gt; 3)-alpha-N-acetyl-D-galactosamine. Due to their interesting properties and high antifreeze activity, they have many potential applications, e.g., in food industry and medicine. Current research is focused towards understanding the relationship between the structural preferences and the activity of the AFGPs, as well as developing time and cost efficient ways of synthesis of this class of molecules. Recent computational studies in conjunction with experimental results from NMR and THz spectroscopies were a possible breakthrough in understanding the mechanism of action of AFGPs. At the moment, as a result of these findings, the focus of research is shifted towards the analysis of behaviour of the hydration shell around AFGPs and the impact of water-dynamics retardation caused by AFGPs on ice crystal growth. In the field of organic synthesis of AFGP analogues, most of the novel protocols are centered around solid-phase peptide synthesis and multiple efforts are made to optimize this approach. In this review, we present the current state of knowledge regarding the structure and activity of AFGPs, as well as approaches to organic synthesis of these molecules with focus on the most recent developments.</t>
  </si>
  <si>
    <t>[Urbanczyk, Malgorzata; Gora, Jerzy; Latajka, Rafal] Wroclaw Univ Sci &amp; Technol, Fac Chem, Dept Organ &amp; Pharmaceut Technol, Wybrzeze St Wyspianskiego 29, PL-50370 Wroclaw, Poland; [Sewald, Norbert] Univ Bielefeld, Dept Chem, Organ Chem 3, Univ Str 25, D-33615 Bielefeld, Germany</t>
  </si>
  <si>
    <t>Wroclaw University of Science &amp; Technology; University of Bielefeld</t>
  </si>
  <si>
    <t>Latajka, R (corresponding author), Wroclaw Univ Sci &amp; Technol, Fac Chem, Dept Organ &amp; Pharmaceut Technol, Wybrzeze St Wyspianskiego 29, PL-50370 Wroclaw, Poland.;Sewald, N (corresponding author), Univ Bielefeld, Dept Chem, Organ Chem 3, Univ Str 25, D-33615 Bielefeld, Germany.</t>
  </si>
  <si>
    <t>rafal.latajka@pwr.edu.pl; norbert.sewald@uni-bielefeld.de</t>
  </si>
  <si>
    <t>Sewald, Norbert/A-2541-2012</t>
  </si>
  <si>
    <t>Sewald, Norbert/0000-0002-0309-2655; Latajka, Rafal/0000-0003-2943-2838</t>
  </si>
  <si>
    <t>DAAD [57063993]; Wroclaw Centre of Biotechnology; The Leading National Research Center (KNOW); Heinrich Hertz Foundation</t>
  </si>
  <si>
    <t>DAAD(Deutscher Akademischer Austausch Dienst (DAAD)); Wroclaw Centre of Biotechnology; The Leading National Research Center (KNOW); Heinrich Hertz Foundation</t>
  </si>
  <si>
    <t>The authors acknowledge the support from DAAD (Project 57063993), Wroclaw Centre of Biotechnology, The Leading National Research Center (KNOW) for years 2014-2018 and Heinrich Hertz Foundation.</t>
  </si>
  <si>
    <t>0939-4451</t>
  </si>
  <si>
    <t>1438-2199</t>
  </si>
  <si>
    <t>Amino Acids</t>
  </si>
  <si>
    <t>10.1007/s00726-016-2368-z</t>
  </si>
  <si>
    <t>EN2UP</t>
  </si>
  <si>
    <t>WOS:000395866000001</t>
  </si>
  <si>
    <t>Achieving Consultative Party Status</t>
  </si>
  <si>
    <t>10.1017/S0954102016000651</t>
  </si>
  <si>
    <t>WOS:000396346500001</t>
  </si>
  <si>
    <t>Riley, TR; Flowerdew, MJ; Pankhurst, RJ; Leat, PT; Millar, IL; Fanning, CM; Whitehouse, MJ</t>
  </si>
  <si>
    <t>Riley, T. R.; Flowerdew, M. J.; Pankhurst, R. J.; Leat, P. T.; Millar, I. L.; Fanning, C. M.; Whitehouse, M. J.</t>
  </si>
  <si>
    <t>A revised geochronology of Thurston Island, West Antarctica, and correlations along the proto-Pacific margin of Gondwana</t>
  </si>
  <si>
    <t>granite; Hf isotopes; Marie Byrd Land; volcanic; zircon</t>
  </si>
  <si>
    <t>MARIE-BYRD-LAND; EASTERN ELLSWORTH LAND; U-PB GEOCHRONOLOGY; HF-ISOTOPE; ZIRCON GEOCHRONOLOGY; BASEMENT ROCKS; NEW-ZEALAND; BREAK-UP; LU-HF; PENINSULA</t>
  </si>
  <si>
    <t>The continental margin of Gondwana preserves a record of long-lived magmatism from the Andean Cordillera to Australia. The crustal blocks of West Antarctica form part of this margin, with Palaeozoic-Mesozoic magmatism particularly well preserved in the Antarctic Peninsula and Marie Byrd Land. Magmatic events on the intervening Thurston Island crustal block are poorly defined, which has hindered accurate correlations along the margin. Six samples are dated here using U-Pb geochronology and cover the geological history on Thurston Island. The basement gneisses from Morgan Inlet have a protolith age of 349 +/- 2Ma and correlate closely with the Devonian-Carboniferous magmatism of Marie Byrd Land and New Zealand. Triassic (240-220 Ma) magmatism is identified at two sites on Thurston Island, with Hf isotopes indicating magma extraction from Mesoproterozoic-age lower crust. Several sites on Thurston Island preserve rhyolitic tuffs that have been dated at 182 Ma and are likely to correlate with the successions in the Antarctic Peninsula, particularly given the pre-break-up position of the Thurston Island crustal block. Silicic volcanism was widespread in Patagonia and the Antarctic Peninsula at similar to 183Ma forming the extensive Chon Aike Province. The most extensive episode of magmatism along the active margin took place during the mid-Cretaceous. This Cordillera ' flare-up ' event of the Gondwana margin is also developed on Thurston Island with granitoid magmatism dated in the interval 110-100Ma.</t>
  </si>
  <si>
    <t>[Riley, T. R.; Flowerdew, M. J.; Leat, P. T.] British Antarctic Survey, NERC, High Cross,Madingley Rd, Cambridge CB3 0ET, England; [Flowerdew, M. J.] Cambridge Arctic Shelf Programme, 181A Huntingdon Rd, Cambridge CB3 0DH, England; [Pankhurst, R. J.; Millar, I. L.] British Geol Survey, Keyworth, Notts, England; [Leat, P. T.] Univ Leicester, Dept Geol, Leicester LE1 7RH, Leics, England; [Fanning, C. M.] Australian Natl Univ, Res Sch Earth Sci, Canberra, ACT 0200, Australia; [Whitehouse, M. J.] Swedish Museum Nat Hist, Box 50007, SE-10405 Stockholm, Sweden</t>
  </si>
  <si>
    <t>UK Research &amp; Innovation (UKRI); Natural Environment Research Council (NERC); NERC British Antarctic Survey; University of Cambridge; UK Research &amp; Innovation (UKRI); Natural Environment Research Council (NERC); NERC British Geological Survey; University of Leicester; Australian National University; Swedish Museum of Natural History</t>
  </si>
  <si>
    <t>Riley, TR (corresponding author), British Antarctic Survey, NERC, High Cross,Madingley Rd, Cambridge CB3 0ET, England.</t>
  </si>
  <si>
    <t>Flowerdew, Michael/0000-0002-9710-2593; Whitehouse, Martin/0000-0003-2227-577X; Riley, Teal/0000-0002-3333-5021</t>
  </si>
  <si>
    <t>Natural Environmental Research Council; Natural Environment Research Council [bas0100029, nigl010001] Funding Source: researchfish; NERC [bas0100029, nigl010001] Funding Source: UKRI</t>
  </si>
  <si>
    <t>Natural Environmental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</si>
  <si>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study is part of the British Antarctic Survey Polar Science for Planet Earth programme, funded by the Natural Environmental Research Council. The samples were collected as part of a joint UK/USA research programme in 1989/1990 to investigate the tectonic history of West Antarctica. Kerstin Linden and Lev Ilyinsky are thanked for their assistance at the NORDSIM facility (NORDSIM contribution number: 459). The authors would also like to thank the reviewers for their comments.</t>
  </si>
  <si>
    <t>10.1017/S0954102016000341</t>
  </si>
  <si>
    <t>WOS:000396346500006</t>
  </si>
  <si>
    <t>Flexas, MM; Arias, MR; Ojeda, MA</t>
  </si>
  <si>
    <t>Flexas, Mar M.; Arias, Mariano R.; Ojeda, Miguel A.</t>
  </si>
  <si>
    <t>Hydrography and dynamics of Port Foster, Deception Island, Antarctica</t>
  </si>
  <si>
    <t>coastal-trapped waves; currents; tides</t>
  </si>
  <si>
    <t>COASTAL-TRAPPED WAVES; SOUTH SHETLAND ISLANDS; CURRENTS; ECOSYSTEM</t>
  </si>
  <si>
    <t>The circulation and water masses of Port Foster, Deception Island, were studied using conductivity-temperature-depth stations inside and outside the semi-enclosed bay and an array of bottom temperature sensors moored around the perimeter of the bay over two weeks in the summer of 2012. Inside Port Foster, the water column is divided into two layers separated by a temperature-forced, seasonal pycnocline at similar to 40-60m. The circulation of the upper layer is in an anticlockwise direction, with mean geostrophic currents of similar to 0.04-0.10ms(-1). The lower layer, from similar to 60 m to the seabed, shows coastal-trapped waves travelling in a clockwise direction, possibly triggered by local wind gusts. Local sea ice melt in areas surrounding the underwater hot springs of Pendulum Cove appears as a fresh, warm anomaly down to 30m.</t>
  </si>
  <si>
    <t>[Flexas, Mar M.] CALTECH, Jet Prop Lab, 4800 Oak Grove Dr, Pasadena, CA 91109 USA; [Arias, Mariano R.] Univ Extremadura, Fac Ciencias, Ave Elvas S-N, Badajoz 06006, Spain; [Ojeda, Miguel A.] CMIMA CSIC, Unidad Tecnol Marina, Passeig Maritim Barceloneta 37-39, Barcelona 08003, Spain; [Flexas, Mar M.] CALTECH, 1200 East Calif Blvd, Pasadena, CA 91125 USA</t>
  </si>
  <si>
    <t>National Aeronautics &amp; Space Administration (NASA); NASA Jet Propulsion Laboratory (JPL); California Institute of Technology; Universidad de Extremadura; Consejo Superior de Investigaciones Cientificas (CSIC); CSIC - Centro Mediterraneo de Investigaciones Marinas y Ambientales (CMIMA); CSIC - Unidad de Tecnologia Marina (UTM); California Institute of Technology</t>
  </si>
  <si>
    <t>Flexas, MM (corresponding author), CALTECH, Jet Prop Lab, 4800 Oak Grove Dr, Pasadena, CA 91109 USA.;Flexas, MM (corresponding author), CALTECH, 1200 East Calif Blvd, Pasadena, CA 91125 USA.</t>
  </si>
  <si>
    <t>marf@caltech.edu</t>
  </si>
  <si>
    <t>Flexas, Mar/GOV-3308-2022</t>
  </si>
  <si>
    <t>Flexas, Mar/0000-0002-0617-3004</t>
  </si>
  <si>
    <t>Spanish Research and Innovation (I+D+i) Program [CTM2009-08287-E/ANT, CTM2010-09635-E, CTM2011-14056-E]; NASA</t>
  </si>
  <si>
    <t>Spanish Research and Innovation (I+D+i) Program; NASA(National Aeronautics &amp; Space Administration (NASA))</t>
  </si>
  <si>
    <t>We thank Manuel Berrocoso and the Laboratory of Astronomy, Geodesy and Cartography of the University of Cadiz (LAGC, Spain), in particular Amos de Gil and Luis Miguel Peci, for their help in building the temperature moorings and for providing the highresolution elevation chart of Deception Island. We wish to thank CO Jaime Cervera, officers and crew on board RV Hesperides and CO Enrique Valdes, officers and crew on board RV Las Palmas for their help in making the oceanographic cruises successful. We are grateful to the military personnel at the Gabriel de Castilla Spanish Base for their support in the deployment and recovery of the bottom temperature sensors; the Spanish Marine Hydrographic Institute (IHM), and especially Captain Daniel Gonzalez-Aller and his crew, for providing the high-resolution bathymetry of Port Foster; the Spanish Meteorological Agency (AEMET) for providing the meteorological data from station WMO-89070; and Rafael Benitez for his help with Fig. 1. This work was supported by the Spanish Research and Innovation (I+D+i) Program, through grant numbers CTM2009-08287-E/ANT, CTM2010-09635-E and CTM2011- 14056-E, and by the NASA Postdoctoral Program administered by Oak Ridge Associated Universities. This research was carried out at the Jet Propulsion Laboratory, California Institute of Technology, under a contract with NASA. This is a contribution to the ECCOIcES project funded by the NASA Modeling, Analysis, and Prediction (MAP) programme. We are grateful to two anonymous reviewers and to the editor for their detailed comments that greatly improved the original manuscript. This work is dedicated to Dr Pablo Sangra Inciarte, outstanding scientist and inspiring teacher.</t>
  </si>
  <si>
    <t>10.1017/S0954102016000444</t>
  </si>
  <si>
    <t>WOS:000396346500009</t>
  </si>
  <si>
    <t>Amin, M; Adams, M; Bolch, CJS; Burke, CM</t>
  </si>
  <si>
    <t>Amin, Muhamad; Adams, Mark; Bolch, Christopher J. S.; Burke, Christopher M.</t>
  </si>
  <si>
    <t>In vitro screening of lactic acid bacteria isolated from gastrointestinal tract of Atlantic Salmon (Salmo salar) as probiont candidates</t>
  </si>
  <si>
    <t>AQUACULTURE INTERNATIONAL</t>
  </si>
  <si>
    <t>Antimicrobial activity; Lactic acid bacteria; Pathogens; Probiotics</t>
  </si>
  <si>
    <t>ONCORHYNCHUS-MYKISS WALBAUM; RAINBOW-TROUT; IDENTIFICATION; AQUACULTURE; GROWTH; FISH; MICROBIOTA; GUT; COLONIZATION; LACTOBACILLI</t>
  </si>
  <si>
    <t>A total of 20 lactic acid bacteria (LAB) were isolated from the gastrointestinal tracts of Atlantic salmon (Salmo salar) and screened for antimicrobial activity against six fish pathogens using either a microtiter plate assay or a well diffusion assay. The results indicated that three LAB exhibited antimicrobial activity against at least two pathogens. Based on their partial 16S ribosomal deoxyribonucleic acid (16S rDNA) sequences, these isolates were identified as Lactobacillus farraginis, Pediococcus acidilactici, and P. pentosaceus. In addition, these LAB were able to tolerate the simulated gastrointestinal tract conditions (stomach and intestine), had a good adhesion capacity to intestinal mucus as well as were able to grow in intestinal mucus of Atlantic salmon. These results suggest that these LAB are potential probionts in aquaculture. However, further studies are required to evaluate probiotic properties in aquatic animals.</t>
  </si>
  <si>
    <t>[Amin, Muhamad; Adams, Mark; Bolch, Christopher J. S.; Burke, Christopher M.] Univ Tasmania, IMAS, Launceston, Tas 7250, Australia; [Amin, Muhamad] Univ 45 Mataram, Fac Fisheries, West Nusa Tenggara, Indonesia</t>
  </si>
  <si>
    <t>University of Tasmania; Universitas Mataram</t>
  </si>
  <si>
    <t>Amin, M (corresponding author), Univ Tasmania, IMAS, Launceston, Tas 7250, Australia.</t>
  </si>
  <si>
    <t>muhamad.amin@utas.edu.au</t>
  </si>
  <si>
    <t>Amin, muhamad/IQU-3321-2023; Bolch, Christopher J/J-7619-2014; Adams, Mark/P-7598-2019; Amin, Muhamad/R-4343-2019</t>
  </si>
  <si>
    <t>Amin, muhamad/0000-0002-7633-8388; Adams, Mark/0000-0002-5737-5474; Amin, Muhamad/0000-0002-7633-8388</t>
  </si>
  <si>
    <t>Australia Award Scholarship (AAS); Institute for Marine and Antarctic Studies (IMAS), an institute of the University of Tasmania</t>
  </si>
  <si>
    <t>Australia Award Scholarship (AAS) given to the first author is acknowledged. This work was supported by the Institute for Marine and Antarctic Studies (IMAS), an institute of the University of Tasmania.</t>
  </si>
  <si>
    <t>0967-6120</t>
  </si>
  <si>
    <t>1573-143X</t>
  </si>
  <si>
    <t>AQUACULT INT</t>
  </si>
  <si>
    <t>Aquac. Int.</t>
  </si>
  <si>
    <t>10.1007/s10499-016-0045-6</t>
  </si>
  <si>
    <t>EK9MQ</t>
  </si>
  <si>
    <t>WOS:000394249000034</t>
  </si>
  <si>
    <t>Hughes, KA; Ashton, GV</t>
  </si>
  <si>
    <t>Hughes, Kevin A.; Ashton, Gail V.</t>
  </si>
  <si>
    <t>Breaking the ice: the introduction of biofouling organisms to Antarctica on vessel hulls</t>
  </si>
  <si>
    <t>AQUATIC CONSERVATION-MARINE AND FRESHWATER ECOSYSTEMS</t>
  </si>
  <si>
    <t>marine bioinvasion; alien species; shipping; invertebrates; introduction; climate change; dispersal; polar regions; sea ice</t>
  </si>
  <si>
    <t>BIOLOGICAL INVASIONS; BIODIVERSITY; TRANSPORT; GROWTH</t>
  </si>
  <si>
    <t>Few reports exist that describe marine non-native species in the Southern Ocean and near-shore waters around the Antarctic continent. Nevertheless, Antarctica's isolated marine communities, which show high levels of endemism, may be vulnerable to invasion by anthropogenically introduced species from outside Antarctica via vessel hull biofouling. Hull surveys of the British Antarctic Survey's RRS James Clark Ross were undertaken between 2007 and 2014 at Rothera Research Station on the Antarctic Peninsula (Lat. 67 degrees 34'S; Long. 68 degrees 07'W) to investigate levels of biofouling. In each case, following transit through scouring sea-ice, over 99% of the vessel hull was free of macroscopic fouling communities. However, in some surveys microbial/algal biofilms, balanomorph barnacles and live individuals of the cosmopolitan pelagic barnacle, Conchoderma auritum were found in the vicinity of intake ports, demonstrating the potential for non-native species to be transported to Antarctica on vessel hulls. Increasing ship traffic volumes and declining duration of sea ice in waters to the north and west of the Antarctic Peninsula mean the region may be at increased risk of non-native species introductions. Locations at particular risk may include the waters around popular visitor sites, such as Goudier Island, Neko Harbour, Whalers Bay, Cuverville Island and Half Moon Island, and around northern peninsula research stations. Simple and cost-effective mitigation measures, such as intentionally moving transiting ships briefly through available offshore sea ice to scour off accessible biofouling communities, may substantially reduce hull-borne propagule pressure to the region. Better quantification of the risk of marine non-native species introductions posed by vessel hulls to both Arctic and Antarctic environments, as sea ice patterns and shipping traffic volumes change, will inform the development of appropriate regional and international management responses. Copyright (c) 2016 The Authors. Published by Wiley Periodicals, Inc.</t>
  </si>
  <si>
    <t>[Hughes, Kevin A.; Ashton, Gail V.] British Antarctic Survey, Nat Environm Res Council, High Cross,Madingley Rd, Cambridge CB3 0ET, England; [Ashton, Gail V.] Smithsonian Environm Res Ctr, Romberg Tiburon Ctr, Tiburon, CA USA</t>
  </si>
  <si>
    <t>UK Research &amp; Innovation (UKRI); Natural Environment Research Council (NERC); NERC British Antarctic Survey; Smithsonian Institution; Smithsonian Environmental Research Center</t>
  </si>
  <si>
    <t>Hughes, KA (corresponding author), British Antarctic Survey, Nat Environm Res Council, High Cross,Madingley Rd, Cambridge CB3 0ET, England.</t>
  </si>
  <si>
    <t>Ashton, Gail/0000-0001-5884-3383</t>
  </si>
  <si>
    <t>NERC [NEJ007501/1]; NERC [bas010011] Funding Source: UKRI; Natural Environment Research Council [bas010011] Funding Source: researchfish</t>
  </si>
  <si>
    <t>This paper is a contribution to the SCAR State of the Antarctic Ecosystem (AntEco) research programme. The authors are supported by NERC core funding to the British Antarctic Survey's Polar Science for Planet Earth programmes 'Biodiversity, Evolution and Adaptation' and 'Environment Office - Long Term Monitoring and Survey' (EO-LTMS) and a NERC grant to the British Antarctic Survey (NEJ007501/1). The authors thank the Master and crew of the RRS James Clark Ross and the Rothera Research Station Dive Team. The authors are grateful to Oliva Martin-Sanchez (MAGIC) and Deirdre Kelly for help in the production of the figures and to David Barnes for early discussions on survey design and species identification. Two anonymous reviewers are thanked for their insightful comments.</t>
  </si>
  <si>
    <t>1052-7613</t>
  </si>
  <si>
    <t>1099-0755</t>
  </si>
  <si>
    <t>AQUAT CONSERV</t>
  </si>
  <si>
    <t>Aquat. Conserv.-Mar. Freshw. Ecosyst.</t>
  </si>
  <si>
    <t>10.1002/aqc.2625</t>
  </si>
  <si>
    <t>Environmental Sciences; Marine &amp; Freshwater Biology; Water Resources</t>
  </si>
  <si>
    <t>Environmental Sciences &amp; Ecology; Marine &amp; Freshwater Biology; Water Resources</t>
  </si>
  <si>
    <t>EL8VK</t>
  </si>
  <si>
    <t>WOS:000394898200013</t>
  </si>
  <si>
    <t>Iizuka, Y; Miyamoto, A; Hori, A; Matoba, S; Furukawa, R; Saito, T; Fujita, S; Hirabayashi, M; Yamaguchi, S; Fujita, K; Takeuchi, N</t>
  </si>
  <si>
    <t>Iizuka, Yoshinori; Miyamoto, Atsushi; Hori, Akira; Matoba, Sumito; Furukawa, Ryoto; Saito, Takeshi; Fujita, Shuji; Hirabayashi, Motohiro; Yamaguchi, Satoru; Fujita, Koji; Takeuchi, Nozomu</t>
  </si>
  <si>
    <t>A firn densification process in the high accumulation dome of southeastern Greenland</t>
  </si>
  <si>
    <t>ICE-SHEET; METEOROLOGICAL OBSERVATIONS; ANTARCTICA; ELEVATION; RECORDS; CORE; SITE</t>
  </si>
  <si>
    <t>We examine a firn core from a dome in southeast Greenland that exhibits distinct firn densification. The ice was-20.9 degrees C at 20 m depth, and the core gives an average accumulation rate of 1.0 m w.e. yr(-1) in water equivalent. However, the close-off density of 830 kg m(-3) occurs at 83.4-86.8 m depth, which is about 20-m shallower than that obtained from two empirical models. Where the density p &gt; 750 kg m(-3), the densification appears faster than that from the empirical models. As a result, compared to the empirical coefficient, the actual compactive viscosity coefficient is nonlinear and decreases at p &gt; 750 kg m(-3), indicating that the fun with a higher density is softer than that from the empirical result. We argue here that the high accumulation rate creates a high overburden pressure in a short time. Thus, the relative softness of the firn may arise from (1) there being not enough time to form bonds between grains as strong as those in a lower accumulation-rate area, and similarly, (2) the dislocation density in the firn being relatively high.</t>
  </si>
  <si>
    <t>[Iizuka, Yoshinori; Matoba, Sumito; Furukawa, Ryoto; Saito, Takeshi] Hokkaido Univ, Inst Low Temp Sci, Kita Ku, Kita 19 Jo,Nishi 8 Chome, Sapporo, Hokkaido 0600819, Japan; [Miyamoto, Atsushi] Hokkaido Univ, Inst Adv Higher Educ, Kita Ku, Kita 17 Jo,Nishi 8 Chome, Sapporo, Hokkaido 0600817, Japan; [Hori, Akira] Kitami Inst Technol, 165 Koen Cho, Kitami, Hokkaido 0908507, Japan; [Fujita, Shuji; Hirabayashi, Motohiro] Natl Inst Polar Res, 10-3 Midori Cho, Tachikawa, Tokyo 1908518, Japan; [Yamaguchi, Satoru] Natl Res Inst Earth Sci &amp; Disaster Resilience, Nagaoka, Niigata 9400821, Japan; [Fujita, Koji] Nagoya Univ, Grad Sch Environm Studies, Chikusa Ku, F3-1 200 Furo Cho, Nagoya, Aichi 4648601, Japan; [Takeuchi, Nozomu] Chiba Univ, Dept Earth Sci, Inage Ku, 1-33 Yayoicho, Chiba, Chiba 2638522, Japan</t>
  </si>
  <si>
    <t>Hokkaido University; Hokkaido University; Kitami Institute of Technology; Research Organization of Information &amp; Systems (ROIS); National Institute of Polar Research (NIPR) - Japan; National Research Institute for Earth Science &amp; Disaster Resilience; Nagoya University; Chiba University</t>
  </si>
  <si>
    <t>Iizuka, Y (corresponding author), Hokkaido Univ, Inst Low Temp Sci, Kita Ku, Kita 19 Jo,Nishi 8 Chome, Sapporo, Hokkaido 0600819, Japan.;Miyamoto, A (corresponding author), Hokkaido Univ, Inst Adv Higher Educ, Kita Ku, Kita 17 Jo,Nishi 8 Chome, Sapporo, Hokkaido 0600817, Japan.</t>
  </si>
  <si>
    <t>iizuka@lowtem.hokudai.ac.jp; miyamoto@owtem.hokudai.ac.jp</t>
  </si>
  <si>
    <t>Fujita, Koji/E-6104-2010; Matoba, Sumito/A-4073-2012; Fujita, Shuji/A-7884-2016; SAITO, TAKESHI/E-5950-2012; Takeuchi, Nozomu/Q-7869-2016; Iizuka, Yoshinori/D-9112-2012</t>
  </si>
  <si>
    <t>Fujita, Koji/0000-0003-3753-4981; Matoba, Sumito/0000-0003-2214-4649; Takeuchi, Nozomu/0000-0002-3267-5534; Iizuka, Yoshinori/0000-0001-7241-6062</t>
  </si>
  <si>
    <t>MEXT/JSPS KAKENHI [26257201, 16K12573]; Institute of Low Temperature Science, Hokkaido University; Readership program of the Institute of Low Temperature Science, Hokkaido University; National Institute of Polar Research [27-13]; Grants-in-Aid for Scientific Research [15K12194, 26400460, 16K12573, 17H01621, 16H01772, 26247078] Funding Source: KAKEN</t>
  </si>
  <si>
    <t>MEXT/JSPS KAKENHI(Ministry of Education, Culture, Sports, Science and Technology, Japan (MEXT)Japan Society for the Promotion of ScienceGrants-in-Aid for Scientific Research (KAKENHI)); Institute of Low Temperature Science, Hokkaido University; Readership program of the Institute of Low Temperature Science, Hokkaido University; National Institute of Polar Research(National Institute of Polar Research (NIPR) - Japan); Grants-in-Aid for Scientific Research(Ministry of Education, Culture, Sports, Science and Technology, Japan (MEXT)Japan Society for the Promotion of ScienceGrants-in-Aid for Scientific Research (KAKENHI))</t>
  </si>
  <si>
    <t>We are grateful to the drilling team of SE-Dome ice. The paper was significantly improved as a result of comments by two anonymous referees and the handling by Scientific Editor Dr. A. Jennings, to whom we are greatly indebted. This study was supported by MEXT/JSPS KAKENHI Grant Number 26257201 and 16K12573, Joint Research Program of the Institute of Low Temperature Science, Hokkaido University, and the Readership program of the Institute of Low Temperature Science, Hokkaido University. The analysis of tritium concentration was supported by National Institute of Polar Research through General Collaboration Project no. 27-13. This study is partly responsible for ArCS (Arctic Challenge for Sustainability Project; PI Shin Sugiyama)</t>
  </si>
  <si>
    <t>10.1657/AAAR0016-034</t>
  </si>
  <si>
    <t>WOS:000394918000002</t>
  </si>
  <si>
    <t>Liao, C; Zhuang, QL</t>
  </si>
  <si>
    <t>Liao, Chang; Zhuang, Qianlai</t>
  </si>
  <si>
    <t>Quantifying the role of permafrost distribution in groundwater and surface water interactions using a three-dimensional hydrological model</t>
  </si>
  <si>
    <t>This study uses a three-dimensional groundwater flow model to investigate groundwater dynamics and groundwater-surface water (GW-SW) interactions considering the effects of permafrost distribution for the Tanana Flats Basin in interior Alaska. The Parameter ESTimation (PEST) code is used to calibrate the model with observed stream discharge data. A 36-year MODLFOW-USG regional simulation shows the following. (1) Permafrost impedes groundwater movement in all directions and through taliks provides a major pathway to connect the groundwater and surface water systems. More than 80% of the vertical groundwater flow occurs within the permafrost-free zones. (2) Permafrost holds a significant amount of water that cannot be easily released through groundwater movements; however, water above the permafrost table has much higher renewal rates than deep groundwater. (3) Groundwater upwelling supports the base flow for the Tanana River and its tributaries throughout the year and feeds water to the wetland ecosystems at the Tanana Flats through unfrozen zones. Stream leakage is also highly correlated with stream discharge. Our study suggests that cold regional hydrological cycle studies should consider the effects of permafrost distribution under future warming conditions. This study provides a robust three-dimensional hydrological modeling tool that can be applied for the regions underlain with either continuous or discontinuous permafrost.</t>
  </si>
  <si>
    <t>[Liao, Chang; Zhuang, Qianlai] Purdue Univ, Dept Earth Atmospher &amp; Planetary Sci, 550 Stadium Mall Dr, W Lafayette, IN 47907 USA; [Zhuang, Qianlai] Purdue Univ, Dept Agron, 915 West State St, W Lafayette, IN 47907 USA</t>
  </si>
  <si>
    <t>Purdue University System; Purdue University; Purdue University System; Purdue University</t>
  </si>
  <si>
    <t>Zhuang, QL (corresponding author), Purdue Univ, Dept Earth Atmospher &amp; Planetary Sci, 550 Stadium Mall Dr, W Lafayette, IN 47907 USA.;Zhuang, QL (corresponding author), Purdue Univ, Dept Agron, 915 West State St, W Lafayette, IN 47907 USA.</t>
  </si>
  <si>
    <t>qzhuang@purdue.edu</t>
  </si>
  <si>
    <t>Liao, Chang/AEJ-7716-2022</t>
  </si>
  <si>
    <t>Liao, Chang/0000-0002-7348-8858</t>
  </si>
  <si>
    <t>10.1657/AAAR0016-022</t>
  </si>
  <si>
    <t>WOS:000394918000007</t>
  </si>
  <si>
    <t>Kim, BM; Choi, H; Kim, SJ; Choi, W</t>
  </si>
  <si>
    <t>Kim, Baek-Min; Choi, Hyesun; Kim, Seong-Joong; Choi, Wookap</t>
  </si>
  <si>
    <t>Amplitude-Dependent Relationship Between the Southern Annular Mode and the El Nino Southern Oscillation in Austral Summer</t>
  </si>
  <si>
    <t>Southern Hemisphere sub-polar jet (SPJ); Southern Annular Mode (SAM); El Nino Southern Oscillation (ENSO); transient eddy forcing</t>
  </si>
  <si>
    <t>SURFACE-TEMPERATURE; EDDY FEEDBACK; HEMISPHERE CIRCULATION; WAVE-BREAKING; SEA-ICE; VARIABILITY; CLIMATE; IMPACT; OCEAN; ENSO</t>
  </si>
  <si>
    <t>Co-variability between the Southern Annular Mode (SAM) and the El Nino Southern Oscillation (ENSO) during the austral summer is examined, and it is found that there exists an apparent co-variability of a negative (positive) SAM during the mature period of El Nino (La Nina). However, this co-variability is largely controlled by the small number of strong ENSO cases. When strong ENSO cases are excluded, the correlation becomes nonsignificant. This behavior in the relationship between SAM and ENSO is supported by a series of general circulation model experiments with prescribed sea surface temperature boundary conditions that represent the incremental strengthening of El Nino (La Nina) conditions. The modeled Antarctic sub-polar jet exhibits similar behavior to that identified through observational analysis. Marked changes in both the magnitude and position of the sub-polar jet are largely controlled by particularly strong transient eddy forcing. Planetary wave forcing plays only a minor role in the co-variability, but it can explain in part the asymmetric response of the sub-polar jet between El Nino and La Nina.</t>
  </si>
  <si>
    <t>[Kim, Baek-Min; Choi, Hyesun; Kim, Seong-Joong] Korea Polar Res Inst, POB 32, Incheon 21990, South Korea; [Choi, Hyesun; Choi, Wookap] Seoul Natl Univ, Sch Earth &amp; Environm Sci, Seoul, South Korea</t>
  </si>
  <si>
    <t>Korea Polar Research Institute (KOPRI); Seoul National University (SNU)</t>
  </si>
  <si>
    <t>Kim, SJ (corresponding author), Korea Polar Res Inst, POB 32, Incheon 21990, South Korea.</t>
  </si>
  <si>
    <t>seongjkim@kopri.re.kr</t>
  </si>
  <si>
    <t>Investigation of Climate Change Mechanism by Observation and Simulation of Polar Climate for the Past and Present of the Korea Polar Research Institute. [PE16010]</t>
  </si>
  <si>
    <t>Investigation of Climate Change Mechanism by Observation and Simulation of Polar Climate for the Past and Present of the Korea Polar Research Institute.</t>
  </si>
  <si>
    <t>This work was supported by the project Investigation of Climate Change Mechanism by Observation and Simulation of Polar Climate for the Past and Present (PE16010) of the Korea Polar Research Institute.</t>
  </si>
  <si>
    <t>10.1007/s13143-017-0007-6</t>
  </si>
  <si>
    <t>EP1GS</t>
  </si>
  <si>
    <t>WOS:000397134000009</t>
  </si>
  <si>
    <t>Wang, P; Li, YM; Zhang, QH; Yang, QH; Zhang, L; Liu, FB; Fu, JJ; Meng, WY; Wang, D; Sun, HZ; Zheng, SC; Hao, YF; Liang, Y; Jiang, GB</t>
  </si>
  <si>
    <t>Wang, Pu; Li, Yingming; Zhang, Qinghua; Yang, Qinghua; Zhang, Lin; Liu, Fubin; Fu, Jianjie; Meng, Wenying; Wang, Dou; Sun, Huizhong; Zheng, Shucheng; Hao, Yanfen; Liang, Yong; Jiang, Guibin</t>
  </si>
  <si>
    <t>Three-year monitoring of atmospheric PCBs and PBDEs at the Chinese Great Wall Station, West Antarctica: Levels, chiral signature, environmental behaviors and source implication</t>
  </si>
  <si>
    <t>ATMOSPHERIC ENVIRONMENT</t>
  </si>
  <si>
    <t>PCBs; PBDEs; Antarctic air; Chiral signature; Temperature dependence; Gas/particle partitioning</t>
  </si>
  <si>
    <t>PERSISTENT ORGANIC POLLUTANTS; POLYBROMINATED DIPHENYL ETHERS; KING GEORGE ISLAND; LONG-RANGE TRANSPORT; ORGANOCHLORINE PESTICIDES; POLYCHLORINATED-BIPHENYLS; ENANTIOMERIC SIGNATURES; AIR; 3,3'-DICHLOROBIPHENYL; PREDICTION</t>
  </si>
  <si>
    <t>A three-year monitoring campaign (Jan 2011-2014) of polychlorinated biphenyl (PCBs) and poly-brominated diphenyl ethers (PBDEs) was conducted using a high-volume air sampler at the Chinese Great Wall Station in King George Island, West Antarctica. The results showed that the Sigma 20PCB and Sigma 27PBDE concentrations (gas + particle) were 5.87-72.7 pg m(-3) and 0.60-16.1 pg m(-3), respectively. The lighter congeners especially PCB-11 (a non-Aroclor congener) dominated Sigma(20)PCBs, while BDE-209 made a significant contribution to Sigma 27PBDEs apart from the lighter congeners (e.g., BDE-28 and -17). The chiral signature indicated nonracemic residues of chiral PCBs in the samples, suggesting potential influence of the secondary source, i.e. air-seawater exchange, on the atropisomer composition of chiral PCBs in air. Lighter PCBs (excluding PCB-11) showed significant temperature dependence in 2011 and 2012, reflecting the influence of revolatilization emission from the local surface. However, the shallow slopes of the regression lines for gaseous concentrations of POPs against reciprocal temperature (1/T) suggested long-range atmospheric transport (LRAT) as an important pathway for both PCBs and PBDEs into the Antarctic environment. Furthermore, correlations and ratios between different signature congeners deriving from the technical formulations indicated a local source of Deca-BDE and photodegradation of higher brominated BDEs. The gas/particle partitioning of POPs was also evaluated and the newly developed steady-state-based model generally showed a better performance than the equilibrium-state based model. However, the former still underestimated the partitioning of most PCBs (log K-OA &lt;11) in particle phase, implying that further optimization is necessary when using it for those compounds with lower log K-OA. (C) 2016 Elsevier Ltd. All rights reserved.</t>
  </si>
  <si>
    <t>[Wang, Pu; Li, Yingming; Zhang, Qinghua; Fu, Jianjie; Meng, Wenying; Wang, Dou; Sun, Huizhong; Zheng, Shucheng; Hao, Yanfen; Jiang, Guibin] Chinese Acad Sci, Res Ctr Ecoenvironm Sci, State Key Lab Environm Chem &amp; Ecotoxicol, Beijing 100085, Peoples R China; [Zhang, Qinghua; Meng, Wenying; Wang, Dou; Sun, Huizhong; Zheng, Shucheng; Hao, Yanfen; Jiang, Guibin] Univ Chinese Acad Sci, Beijing 100049, Peoples R China; [Zhang, Qinghua; Liang, Yong] Jianghan Univ, Inst Environm &amp; Hlth, Wuhan 430056, Peoples R China; [Yang, Qinghua; Zhang, Lin; Liu, Fubin] Natl Marine Environm Forecasting Ctr, Key Lab Res Marine Hazards Forecasting, Beijing 100081, Peoples R China</t>
  </si>
  <si>
    <t>Chinese Academy of Sciences; Research Center for Eco-Environmental Sciences (RCEES); Chinese Academy of Sciences; University of Chinese Academy of Sciences, CAS; Jianghan University; National Marine Environmental Forecasting Center</t>
  </si>
  <si>
    <t>Zhang, QH (corresponding author), Chinese Acad Sci, Res Ctr Ecoenvironm Sci, State Key Lab Environm Chem &amp; Ecotoxicol, Beijing 100085, Peoples R China.</t>
  </si>
  <si>
    <t>qhzhang@rcees.ac.cn</t>
  </si>
  <si>
    <t>Liang, Yong/AAB-3942-2021; Fu, Jianjie/ABI-2640-2020; liu, yuchen/GYQ-6286-2022; zhang, qinghua/HMP-3611-2023; ZHANG, XUCHEN/KBB-7989-2024</t>
  </si>
  <si>
    <t>zhang, qinghua/0000-0002-9707-4051;</t>
  </si>
  <si>
    <t>National Natural Science Foundation of China [41276195, 21477155, 41676183]; Chinese Academy of Sciences [XDB14010100, YSW2013B01]; National Basic Research Program of China [2015CB453101]; State Oceanic Administration, P.R. China [13/14GW05]</t>
  </si>
  <si>
    <t>National Natural Science Foundation of China(National Natural Science Foundation of China (NSFC)); Chinese Academy of Sciences(Chinese Academy of Sciences); National Basic Research Program of China(National Basic Research Program of China); State Oceanic Administration, P.R. China</t>
  </si>
  <si>
    <t>This study was jointly supported by National Natural Science Foundation of China (41276195, 21477155 and 41676183), Chinese Academy of Sciences (XDB14010100 and YSW2013B01), the National Basic Research Program of China (2015CB453101) and the State Oceanic Administration, P.R. China (13/14GW05). The paper has benefited greatly from comments by three unknown referees. We greatly thank Drs. Thanh Wang and Dawei Geng from MTM Research Center, Orebro University for revising this manuscript. We also thank Chinese Arctic and Antarctic Ministration for the arrangement during Chinese Antarctic Expedition.</t>
  </si>
  <si>
    <t>1352-2310</t>
  </si>
  <si>
    <t>1873-2844</t>
  </si>
  <si>
    <t>ATMOS ENVIRON</t>
  </si>
  <si>
    <t>Atmos. Environ.</t>
  </si>
  <si>
    <t>10.1016/j.atmosenv.2016.11.036</t>
  </si>
  <si>
    <t>EI8PU</t>
  </si>
  <si>
    <t>WOS:000392770700039</t>
  </si>
  <si>
    <t>Stuart-Smith, RD; Edgar, GJ; Barrett, NS; Bates, AE; Baker, SC; Bax, NJ; Becerro, MA; Berkhout, J; Blanchard, JL; Brock, DJ; Clark, GF; Cooper, AT; Davis, TR; Day, PB; Duffy, E; Holmes, TH; Howe, SA; Jordan, A; Kininmonth, S; Knott, NA; Lefcheck, JS; Ling, SD; Parr, A; Strain, E; Sweatman, H; Thomson, R</t>
  </si>
  <si>
    <t>Stuart-Smith, Rick D.; Edgar, Graham J.; Barrett, Neville S.; Bates, Amanda E.; Baker, Susan C.; Bax, Nicholas J.; Becerro, Mikel A.; Berkhout, Just; Blanchard, Julia L.; Brock, Daniel J.; Clark, Graeme F.; Cooper, Antonia T.; Davis, Tom R.; Day, Paul B.; Duffy, Emmett; Holmes, Thomas H.; Howe, Steffan A.; Jordan, Alan; Kininmonth, Stuart; Knott, Nathan A.; Lefcheck, Jonathan S.; Ling, Scott D.; Parr, Amanda; Strain, Elisabeth; Sweatman, Hugh; Thomson, Russell</t>
  </si>
  <si>
    <t>Assessing National Biodiversity Trends for Rocky and Coral Reefs through the Integration of Citizen Science and Scientific Monitoring Programs</t>
  </si>
  <si>
    <t>BIOSCIENCE</t>
  </si>
  <si>
    <t>Convention on Biological Diversity; state of the environment; ecological indicator; Marine Trophic Index; community temperature index</t>
  </si>
  <si>
    <t>MARINE PROTECTED AREAS; SIZE-BASED INDICATORS; FISH COMMUNITY; EXPLOITED FISH; RANGE SHIFTS; CLIMATE; CONSERVATION; IMPACTS; SCALE; INDEX</t>
  </si>
  <si>
    <t>Reporting progress against targets for international biodiversity agreements is hindered by a shortage of suitable biodiversity data. We describe a cost-effective system involving Reef Life Survey citizen scientists in the systematic collection of quantitative data covering multiple phyla that can underpin numerous marine biodiversity indicators at high spatial and temporal resolution. We then summarize the findings of a continentaland decadal-scale State of the Environment assessment for rocky and coral reefs based on indicators of ecosystem state relating to fishing, ocean warming, and invasive species and describing the distribution of threatened species. Fishing impacts are widespread, whereas substantial warming-related change affected some regions between 2005 and 2015. Invasive species are concentrated near harbors in southeastern Australia, and the threatened-species index is highest for the Great Australian Bight and Tasman Sea. Our approach can be applied globally to improve reporting against biodiversity targets and enhance public and policymakers' understanding of marine biodiversity trends.</t>
  </si>
  <si>
    <t>[Stuart-Smith, Rick D.; Edgar, Graham J.; Barrett, Neville S.; Bax, Nicholas J.; Berkhout, Just; Blanchard, Julia L.; Cooper, Antonia T.; Day, Paul B.; Kininmonth, Stuart; Ling, Scott D.] Univ Tasmania, Inst Marine &amp; Antarct Studies, Hobart, Tas 7001, Australia; [Bates, Amanda E.] Univ Southampton, Natl Oceanog Ctr Southampton, Ocean &amp; Earth Sci, Southampton SO9 5NH, Hants, England; [Baker, Susan C.] Univ Tasmania, Sch Biol Sci, Hobart, Tas 7001, Australia; [Becerro, Mikel A.] CSIC, IPNA, Nat Prod &amp; Agrobiol Inst, BITES Lab, San Cristobal la Laguna, Tenerife, Spain; [Brock, Daniel J.] South Australias Dept Environm Water &amp; Nat Resour, Sci Monitoring &amp; Knowledge Branch, Adelaide, SA, Australia; [Clark, Graeme F.] Univ New South Wales, Sch Biol Earth &amp; Environm Sci, Sydney, NSW, Australia; [Davis, Tom R.] Southern Cross Univ, Natl Marine Sci Ctr, Coffs Harbour, NSW 2480, Australia; [Duffy, Emmett] Smithsonian Inst, Tennenbaum Marine Observ Network, Washington, DC USA; [Holmes, Thomas H.] Marine Sci Program, Dept Parks &amp; Wildlife, Sci &amp; Conservat Div, Kensington, NSW, Australia; [Holmes, Thomas H.] Univ Western Australia, Oceans Inst, Crawley, Australia; [Howe, Steffan A.] Parks Victoria, Melbourne, Vic, Australia; [Jordan, Alan] Marine Ecosyst Res New South Wales Dept, Primary Ind, Nelson Bay, Sydney, NSW, Australia; [Knott, Nathan A.] Marine Ecosyst Res New South Wales Dept, Primary Ind, Huskisson, NSW, Australia; [Lefcheck, Jonathan S.] Coll William &amp; Mary, Virginia Inst Marine Sci, Dept Biol Sci, Gloucester Point, VA USA; [Parr, Amanda] Parks Australia Kingston, Hobart, Australia; [Strain, Elisabeth] Sydney Inst Marine Sci, Mosman, NSW, Australia; [Sweatman, Hugh] Australian Inst Marine Sci, Townsville, Qld, Australia; [Thomson, Russell] Univ Western Sydney, Ctr Res Math, Sch Comp Engn &amp; Math, Penrith, NSW, Australia</t>
  </si>
  <si>
    <t>University of Tasmania; University of Southampton; NERC National Oceanography Centre; University of Tasmania; Consejo Superior de Investigaciones Cientificas (CSIC); CSIC - Instituto de Productos Naturales y Agrobiologia (IPNA); University of New South Wales Sydney; Southern Cross University; Smithsonian Institution; Smithsonian National Museum of Natural History; University of Western Australia; William &amp; Mary; Virginia Institute of Marine Science; Sydney Institute of Marine Science; Australian Institute of Marine Science; Western Sydney University</t>
  </si>
  <si>
    <t>Stuart-Smith, RD (corresponding author), Univ Tasmania, Inst Marine &amp; Antarct Studies, Hobart, Tas 7001, Australia.</t>
  </si>
  <si>
    <t>rstuarts@utas.edu.au</t>
  </si>
  <si>
    <t>Stuart-Smith, Rick D/M-1829-2013; Blanchard, Julia L/E-4919-2010; Knott, Nathan/AAA-8888-2019; Edgar, Graham/AAY-3797-2020; Baker, Susan/O-8482-2019; Becerro, Mikel/ABC-9478-2021; Kininmonth, Stuart/N-9299-2013; Baker, Susan C/F-9307-2011; Stuart-Smith, Rick/I-5214-2019; Lefcheck, Jonathan/H-8768-2019; Bates, Amanda E./ABD-6874-2021; Bax, Nicholas/A-2321-2012; Clark, Graeme/M-6448-2017; Thomson, Russell/H-5653-2012; Ling, Scott/J-7161-2014; Strain, Elisabeth/U-3520-2017; Davis, Thomas/T-5803-2017; Barrett, Neville/J-7593-2014</t>
  </si>
  <si>
    <t>Stuart-Smith, Rick D/0000-0002-8874-0083; Knott, Nathan/0000-0002-7873-0412; Edgar, Graham/0000-0003-0833-9001; Baker, Susan/0000-0002-7593-0267; Becerro, Mikel/0000-0002-6047-350X; Kininmonth, Stuart/0000-0001-9198-3396; Stuart-Smith, Rick/0000-0002-8874-0083; Lefcheck, Jonathan/0000-0002-8787-1786; Bates, Amanda E./0000-0002-0198-4537; Berkhout, Just/0000-0002-1656-4535; Blanchard, Julia/0000-0003-0532-4824; Bax, Nicholas/0000-0002-9697-4963; Clark, Graeme/0000-0002-0230-6631; Thomson, Russell/0000-0003-4949-4120; Ling, Scott/0000-0002-5544-8174; Strain, Elisabeth/0000-0003-2165-9544; Duffy, J. Emmett/0000-0001-8595-6391; Davis, Thomas/0000-0003-0199-2024; Barrett, Neville/0000-0002-6167-1356</t>
  </si>
  <si>
    <t>Commonwealth Environment Research Facilities Program; Australian Research Council (ARC); Institute for Marine and Antarctic Studies; Marine Biodiversity Hub; Australian Government's National Environmental Science Programme (NESP); Ian Potter Foundation, Parks Australia, CoastWest; WA State NRM program; Royalties for Regions program; wide range of state agencies in temperate Australia; Department of Environment, Water, and Natural Resources (South Australia); Parks and Wildlife Service (Tasmania); Marine Parks Authority (New South Wales); Department of Parks and Wildlife (Western Australia); ARC; Fisheries Research and Development Corporation; Department of Primary Industries, Parks, Water, and Environment (Tasmania); Australian Institute of Marine Science; NESP</t>
  </si>
  <si>
    <t>Commonwealth Environment Research Facilities Program; Australian Research Council (ARC)(Australian Research Council); Institute for Marine and Antarctic Studies; Marine Biodiversity Hub; Australian Government's National Environmental Science Programme (NESP)(Australian Government); Ian Potter Foundation, Parks Australia, CoastWest; WA State NRM program; Royalties for Regions program; wide range of state agencies in temperate Australia; Department of Environment, Water, and Natural Resources (South Australia); Parks and Wildlife Service (Tasmania); Marine Parks Authority (New South Wales); Department of Parks and Wildlife (Western Australia); ARC(Australian Research Council); Fisheries Research and Development Corporation; Department of Primary Industries, Parks, Water, and Environment (Tasmania); Australian Institute of Marine Science; NESP</t>
  </si>
  <si>
    <t>We thank the many Reef Life Survey (RLS) divers who participated in data collection and provide ongoing expertise and commitment to the program, as well as University of Tasmania staff including Marlene Davey, Justin Hulls, Elizabeth Oh, and Jemina Stuart-Smith. Development of RLS was supported by the former Commonwealth Environment Research Facilities Program, whereas analyses were supported by the Australian Research Council (ARC), the Institute for Marine and Antarctic Studies, and the Marine Biodiversity Hub, a collaborative partnership supported through the Australian Government's National Environmental Science Programme (NESP). Additional funding and support for field surveys were provided by grants from the Ian Potter Foundation, Parks Australia, CoastWest, the WA State NRM program, and the Royalties for Regions program. The LTMPA surveys were supported by a wide range of state agencies in temperate Australia, including the Department of Environment, Water, and Natural Resources (South Australia); the Parks and Wildlife Service (Tasmania); the Marine Parks Authority (New South Wales); the Department of Parks and Wildlife (Western Australia); the ARC; a the Fisheries Research and Development Corporation; Department of Primary Industries, Parks, Water, and Environment (Tasmania); and the Institute for Marine and Antarctic Studies. The AIMS LTMP was supported by the Australian Institute of Marine Science and NESP.</t>
  </si>
  <si>
    <t>0006-3568</t>
  </si>
  <si>
    <t>1525-3244</t>
  </si>
  <si>
    <t>Bioscience</t>
  </si>
  <si>
    <t>10.1093/biosci/biw180</t>
  </si>
  <si>
    <t>EO7UO</t>
  </si>
  <si>
    <t>WOS:000396895800007</t>
  </si>
  <si>
    <t>de Pablo, MA; Ramos, M; Molina, A</t>
  </si>
  <si>
    <t>de Pablo, M. A.; Ramos, M.; Molina, A.</t>
  </si>
  <si>
    <t>Snow cover evolution, on 2009-2014, at the Limnopolar Lake CALM-S site on Byers Peninsula, Livingston Island, Antarctica</t>
  </si>
  <si>
    <t>Permafrost; Active layer; Snow cover; Ground surface temperature; Antarctica; CALM</t>
  </si>
  <si>
    <t>GROUND SURFACE-TEMPERATURE; MONITORING PERIGLACIAL PROCESSES; ACTIVE LAYER THICKNESS; THERMAL REGIME; TEMPORAL VARIABILITY; MARITIME ANTARCTICA; N-FACTOR; PERMAFROST; CLIMATE; VEGETATION</t>
  </si>
  <si>
    <t>In February 2009, a new Circumpolar Active Layer Monitoring (CALM) site was established in the Limnopolar Lake drainage basin, in Byers Peninsula, Livingston Island (South Shetland Archipelago), Antarctica (62 degrees 38' 59.1 '' S, 61 degrees 06'16.9 '' W). The first results from active layer thickness and thermal monitoring reported interannual variations, without relevant changes in the air temperature conditions, leaving the snow cover as the most suitable agent controlling the reported changes. Here we study in detail the snow cover evolution on thickness, timing and duration during the 2009-2014 period, by the analysis of mean daily air and ground surface temperature, as well as the snow depth monitored in a stake. Freezing indexes, n-factor, and snow indexes calculations were analyzed to establish the effects of snow cover on the ground thermal regime. The evolution of the snow cover during the 2009-2014 period resulted in about similar snow depths, with mean values of about 45 cm. The snow onset remained about constant with small variations of 10 days in early March. However, the snow offset had significant variations, increasing in more than 60 days in the last three years. This delay on the snow offset resulted in an increase in the snow cover duration from 267 (2011) to 338 (2014) days. Air temperature seems not to be strongly involved in this snow cover timing variation since the highest variation on this period of the maximum and mean annual temperatures only diminished, about 1.6 degrees and 0.5 degrees C respectively, but remaining constant the minimum temperatures (between -12 degrees and -18 degrees C). In consequence, the surface temperature evolved to become less variable along the year directly related to the annual snow layer duration, trending to longer zero curtain periods. In conclusion, the increase in the snow duration is resulting in a reduction of the thaw period in the ground, but remaining similar snow cover onset dates. The consequent decrease in the snow-free period each year could result in a thinner active layer. (C) 2016 Elsevier B.V. All rights reserved.</t>
  </si>
  <si>
    <t>[de Pablo, M. A.; Molina, A.] Univ Alcala, Dept Geol Geog &amp; Environm, Madrid, Spain; [Ramos, M.] Univ Alcala, Dept Math &amp; Phys, Madrid, Spain</t>
  </si>
  <si>
    <t>Universidad de Alcala; Universidad de Alcala</t>
  </si>
  <si>
    <t>de Pablo, MA (corresponding author), Univ Alcala, Dept Geol Geog &amp; Medio Ambiente, Fac Biol Ciencias Ambient &amp; Quim, Edificio Ciencias,Campus Cient Tecnol, Madrid 28871, Spain.</t>
  </si>
  <si>
    <t>miguelangel.depablo@uah.es</t>
  </si>
  <si>
    <t>Ramos, Miguel/K-2230-2014; Molina, Antonio/E-4698-2010; De Pablo, Miguel Ángel/J-6442-2014; Molina, Antonio/AAE-1314-2020</t>
  </si>
  <si>
    <t>Ramos, Miguel/0000-0003-3648-6818; De Pablo, Miguel Ángel/0000-0002-4496-2741; Molina, Antonio/0000-0002-5038-2022</t>
  </si>
  <si>
    <t>Spanish Government [CTM2014-50521-R, CTM2011-15565-E, CTM2009-10165]</t>
  </si>
  <si>
    <t>Spanish Government(Spanish Government)</t>
  </si>
  <si>
    <t>Authors thank the Spanish Polar Program, Unit of Marine Technology from Spanish National Research Council, as well as to the Spanish Army and Spanish Navy crews involved on Antarctic Campaigns for made possible the continuous data acquirement on Byers Peninsula between 2009 and 2015. Our special thanks go to the mountain guides Hilo Moreno, Juan Carlos Jimenez, Arkaitz Yurrita, Inaki Irastorza and David Hita, for their help in different field campaigns on Byers International Refuge, and on the permafrost monitoring station maintenance, as well as to the leader and the entire crew of the Juan Carlos I Spanish Antarctic Station. This research was possible thanks to the financial support of PERMATHERMAL, PERMASNOW (CTM2014-50521-R), ANTARPERMA (CTM2011-15565-E), and PERMAPLANET (CTM2009-10165) research projects from the Spanish Government.</t>
  </si>
  <si>
    <t>10.1016/j.catena.2016.06.002</t>
  </si>
  <si>
    <t>EG0PE</t>
  </si>
  <si>
    <t>WOS:000390733900004</t>
  </si>
  <si>
    <t>Oliva, M; Hrbacek, F; Ruiz-Fernández, J; de Pablo, MA; Vieira, G; Ramos, M; Antoniades, D</t>
  </si>
  <si>
    <t>Oliva, Marc; Hrbacek, Filip; Ruiz-Fernandez, Jesus; Angel de Pablo, Miguel; Vieira, Goncalo; Ramos, Miguel; Antoniades, Dermot</t>
  </si>
  <si>
    <t>Active layer dynamics in three topographically distinct in Byers Peninsula (Livingston Island, Antarctica)</t>
  </si>
  <si>
    <t>Active layer; Topography; Snow cover; Byers Peninsula; Antarctica</t>
  </si>
  <si>
    <t>SOUTH-SHETLAND ISLANDS; GROUND SURFACE-TEMPERATURE; THERMAL REGIME; SNOW COVER; THICKNESS PREDICTION; PERMAFROST; CLIMATE; VARIABILITY; DEGLACIATION; VEGETATION</t>
  </si>
  <si>
    <t>Topography exerts a key role in controlling permafrost distribution in areas where mean annual temperatures are slightly negative. One such case is the low-altitude environments of Maritime Antarctica, where permafrost is sporadic to discontinuous below 20-40 m asl and continuous at higher areas and active layer dynamics are thus strongly conditioned by geomorphological setting. In January 2014 we installed three sites for monitoring active layer temperatures across Byers Peninsula (Livingston Island, South Shetland Islands) at elevations between 45 and 100 in. The sites are situated in lake catchments (lakes Escondido, Cerro Negro, and Domo) that have different geomorphological and topographical conditions. Our objective was to examine the role of topography and microclimatic conditions in determining the active layer thermal regime in order to identify the factors that control geomorphic processes in these lake catchments. At each site a set of loggers was installed to monitor air temperature (AT), snow thickness (SwT) and soil temperature (ST) down to 80 cm depth. Mean annual air temperatures (MAAT) showed similar values in the three sites (-2.7 to -2.6 degrees C) whereas soil temperatures showed varying active layer thicknesses at the three catchments. The ground thermal regime was strongly controlled by soil properties and snow cover thickness and duration, which is influenced by local topography. Geomorphological processes operating at the lake catchment scale control lacustrine sedimentation processes, and both are dependent on the combination of topographical and climatic conditions. Therefore, the interpretation of lake sediment records from these three lakes requires that soil thermal regime and snow conditions at each site be taken into account in order to properly isolate the geomorphological, environmental and climatic signals preserved in these lake records. (C) 2016 Elsevier B.V. All rights reserved.</t>
  </si>
  <si>
    <t>[Oliva, Marc; Vieira, Goncalo] Univ Lisbon, Ctr Geog Studies IGOT, Alameda Univ, P-1600214 Lisbon, Portugal; [Hrbacek, Filip] Masaryk Univ, Dept Geog, Brno, Czech Republic; [Ruiz-Fernandez, Jesus] Univ Oviedo, Dept Geog, Oviedo, Spain; [Angel de Pablo, Miguel] Univ Alcala De Henares, Dept Geol Geog &amp; Environm, Madrid, Spain; [Ramos, Miguel] Univ Alcala De Henares, Dept Math &amp; Phys, Madrid, Spain; [Antoniades, Dermot] Univ Laval, Dept Geog, Quebec City, PQ G1K 7P4, Canada; [Antoniades, Dermot] Univ Laval, Ctr Northern Studies CEN, Quebec City, PQ G1K 7P4, Canada</t>
  </si>
  <si>
    <t>Universidade de Lisboa; Masaryk University Brno; University of Oviedo; Universidad de Alcala; Universidad de Alcala; Laval University; Laval University</t>
  </si>
  <si>
    <t>Oliva, M (corresponding author), Univ Lisbon, Ctr Geog Studies IGOT, Alameda Univ, P-1600214 Lisbon, Portugal.</t>
  </si>
  <si>
    <t>Vieira, Goncalo/G-5958-2010; Ramos, Miguel/K-2230-2014; Hrbacek, Filip/ABG-4319-2020; De Pablo, Miguel Ángel/J-6442-2014; Oliva, Marc/K-5423-2014</t>
  </si>
  <si>
    <t>Vieira, Goncalo/0000-0001-7611-3464; Ramos, Miguel/0000-0003-3648-6818; Hrbacek, Filip/0000-0001-5032-9216; De Pablo, Miguel Ángel/0000-0002-4496-2741; Antoniades, Dermot/0000-0001-6629-4839; Oliva, Marc/0000-0001-6521-6388</t>
  </si>
  <si>
    <t>research project HOLOANTAR (Holocene environmental change in the Maritime Antarctic. Interactions between permafrost and the lacustrine environment) - Portuguese Science and Technology Foundation [PTDC/CTE-GIX/119582/2010]; Portuguese Polar Program (PROPOLAR) - Portuguese Science and Technology Foundation; AXA Research Fund; Masaryk University [MUNI/A/1370/2014]; Brazilian Antarctic Program; Chilean Antarctic Program; Fundação para a Ciência e a Tecnologia [PTDC/CTE-GIX/119582/2010] Funding Source: FCT</t>
  </si>
  <si>
    <t>research project HOLOANTAR (Holocene environmental change in the Maritime Antarctic. Interactions between permafrost and the lacustrine environment) - Portuguese Science and Technology Foundation; Portuguese Polar Program (PROPOLAR) - Portuguese Science and Technology Foundation; AXA Research Fund(AXA Research Fund); Masaryk University; Brazilian Antarctic Program; Chilean Antarctic Program; Fundação para a Ciência e a Tecnologia(Fundacao para a Ciencia e a Tecnologia (FCT))</t>
  </si>
  <si>
    <t>This research was supported by the research project HOLOANTAR (PTDC/CTE-GIX/119582/2010) (Holocene environmental change in the Maritime Antarctic. Interactions between permafrost and the lacustrine environment) and the Portuguese Polar Program (PROPOLAR), both funded by the Portuguese Science and Technology Foundation. The first author acknowledges the AXA Research Fund sponsoring of his research activities in Antarctica. The work of Filip Hrbacek was supported by the Masaryk University project MUNI/A/1370/2014: Global environmental changes in time and space. Field activities were supported by the Brazilian and Chilean Antarctic Programs.</t>
  </si>
  <si>
    <t>10.1016/j.catena.2016.07.011</t>
  </si>
  <si>
    <t>WOS:000390733900005</t>
  </si>
  <si>
    <t>Ferreira, A; Vieira, G; Ramos, M; Nieuwendam, A</t>
  </si>
  <si>
    <t>Ferreira, Alice; Vieira, Goncalo; Ramos, Miguel; Nieuwendam, Alexandre</t>
  </si>
  <si>
    <t>Ground temperature and permafrost distribution in Hurd Peninsula (Livingston Island, Maritime Antarctic): An assessment using freezing indexes and TTOP modelling</t>
  </si>
  <si>
    <t>Permafrost; Snow; N-factor; TTOP; Maritime Antarctica; Livingston Island</t>
  </si>
  <si>
    <t>SOUTH SHETLAND ISLANDS; ACTIVE-LAYER THICKNESS; KUPARUK RIVER-BASIN; JAMES-ROSS-ISLAND; THERMAL STATE; BYERS PENINSULA; TEMPORAL VARIABILITY; MOUNTAIN PERMAFROST; CLIMATE-CHANGE; SNOW COVER</t>
  </si>
  <si>
    <t>The Western Antarctic Peninsula region shows mean annual air temperatures ranging from -4 to -2 degrees C. Due to its proximity to the climatic threshold of permafrost, and evidence of recent changes in regional air temperatures, this is a crucial area to analyse climate-ground interactions. Freezing indexes and n-factors from contrasting topographic locations in Hurd Peninsula (Livingston Island) are analysed to assess the influence of snow cover on soil's thermal regime. The snow pack duration, thickness and physical properties are key in determining the thermal characteristics and spatial distribution of permafrost. The Temperature at the Top Of the Permafrost (TTOP) model uses freezing and thawing indexes, n-factors and thermal conductivity of the ground, as factors representing ground-atmosphere interactions and provides a framework to understand permafrost conditions and distribution. Eight sites were used to calculate TTOP and evaluate its accuracy. They encompass different geological, morphological and climatic conditions selected to identify site-specific ground thermal regime controls. Data was collected in the freezing seasons of 2007 and 2009 for air, surface and ground, temperatures, as well as snow thickness. TTOP model results from sites located between 140 and 275 m a.s.l were very close to observational data, with differences varying from 0.05 to 0.4 degrees C, which are smaller than instrumental error. TTOP results for 36 m a.s.l confirm that permafrost is absent at low altitude and thermal offsets for rock areas show values between 0.01 and 0.48 degrees C indicating a small effect of latent heat, as well as of advection. (C) 2016 Published by Elsevier B.V.</t>
  </si>
  <si>
    <t>[Ferreira, Alice; Vieira, Goncalo; Nieuwendam, Alexandre] Univ Lisbon, IGOT, Ctr Geog Studies, Rua Branca Edmee Marques, P-1600276 Lisbon, Portugal; [Ramos, Miguel] Univ Alcala de Henares, E-28871 Alcala De Henares, Spain</t>
  </si>
  <si>
    <t>Universidade de Lisboa; Universidad de Alcala</t>
  </si>
  <si>
    <t>Ferreira, A (corresponding author), Univ Lisbon, IGOT, Ctr Geog Studies, Rua Branca Edmee Marques, P-1600276 Lisbon, Portugal.</t>
  </si>
  <si>
    <t>alice.ferreira@campus.ul.pt</t>
  </si>
  <si>
    <t>Vieira, Goncalo/G-5958-2010; Ramos, Miguel/K-2230-2014</t>
  </si>
  <si>
    <t>Vieira, Goncalo/0000-0001-7611-3464; Ramos, Miguel/0000-0003-3648-6818</t>
  </si>
  <si>
    <t>Fundacao para a Ciencia e a Tecnologia (FCT) [PTDC/AAG-GLO/3908/2012]; Portuguese Polar Program; FCT; Caixa Geral de Depositos; Fundação para a Ciência e a Tecnologia [PTDC/AAG-GLO/3908/2012] Funding Source: FCT</t>
  </si>
  <si>
    <t>Fundacao para a Ciencia e a Tecnologia (FCT)(Fundacao para a Ciencia e a Tecnologia (FCT)); Portuguese Polar Program; FCT(Fundacao para a Ciencia e a Tecnologia (FCT)); Caixa Geral de Depositos; Fundação para a Ciência e a Tecnologia(Fundacao para a Ciencia e a Tecnologia (FCT))</t>
  </si>
  <si>
    <t>The authors thank the Portuguese Polar Program, Bulgarian Antarctic Institute and Spanish Antarctic Program for logistical support, and especially to the personnel of the St Kliment Ohridsky and Juan Carlos I stations. This research has been funded by the Fundacao para a Ciencia e a Tecnologia (FCT) in the framework of the project Permafrost and Climate Change in the Antarctic Peninsula (PERMANTAR-3, PTDC/AAG-GLO/3908/2012) and the Portuguese Polar Program. Alice Ferreira was supported by a PhD grant of the FCT and by grants of the Caixa Geral de Depositos and the Portuguese Polar Program. The three anonymous reviewers are thanked for their comments on the manuscript, which contributed to highlight some issues and allowed for significant improvements in its final version.</t>
  </si>
  <si>
    <t>10.1016/j.catena.2016.08.027</t>
  </si>
  <si>
    <t>WOS:000390733900006</t>
  </si>
  <si>
    <t>Schaefer, CEGR; Pereira, TTC; Almeida, ICC; Michel, RFM; Corrêa, GR; Figueiredo, LPS; Ker, JC</t>
  </si>
  <si>
    <t>Schaefer, Carlos E. G. R.; Pereira, Thiago T. C.; Almeida, Ivan C. C.; Michel, Roberto F. M.; Correa, Guilherme R.; Figueiredo, Luana P. S.; Ker, Joao C.</t>
  </si>
  <si>
    <t>Penguin activity modify the thermal regime of active layer in Antarctica: A case study from Hope Bay</t>
  </si>
  <si>
    <t>Permafrost; Ground temperature; Omithogenic soils; Penguin rookery</t>
  </si>
  <si>
    <t>KING GEORGE ISLAND; GROUND SURFACE-TEMPERATURE; PERMAFROST DISTRIBUTION; MARITIME ANTARCTICA; PENINSULA; CRYOSOLS; CLASSIFICATION; VARIABILITY; SOILS</t>
  </si>
  <si>
    <t>Monitoring permafrost and active layer is essential for prognostic research of future climate scenarios. Although biotic factors have a prominent role in active layer behavior, apart from vegetation effects, their influence remains little investigated. It is generally assumed that frozen ground exerts influence on nesting fauna, whereas, on the other hand, land colonization by birds, such as penguins can also interfere with the soil thermal regime. However, to our knowledge, no studies report on permafrost and active layer regime changes under penguin activity. We present a comparative study of two adjacent sites located in Hope Bay, one representing an active penguin rookery -S1, and another, an adjacent abandoned site currently vegetated-S2. Soil temperature and water content, and air temperature were monitored hourly from 2009 to 2011. Current penguin activity and the resulting deposition of guano during spring and summer in S1 is an important factor for explaining the higher number of thaw degree days due to direct physical impact and chemical reactions caused by rapid guano decomposition. In the vegetated S2 site, the snow pack listed longer, showing the highest mean minimum temperature and larger thermal insulation, as well as larger FDD than those found in the bare soil of the active rookery (S1), and lower n-F, due to greater thermal insulation. Penguins played a significant role in changing the active layer depth and thermal regime, and represent a neglected actor on the ground thermal regime in Antarctic terrestrial environments. (C) 2016 Elsevier B.V. All rights reserved.</t>
  </si>
  <si>
    <t>[Schaefer, Carlos E. G. R.; Ker, Joao C.] Univ Fed Vicosa, Dept Solos, Nucl Terrantar INCT, Ave PH Rolfs S-N, Vicosa, MG, Brazil; [Pereira, Thiago T. C.; Figueiredo, Luana P. S.] Univ Estado Minas Gerais, Dept Ciencias Exatas &amp; Terra, Ave Prof Mario Palmerio 1001, Frutal, MG, Brazil; [Almeida, Ivan C. C.] Inst Fed Norte de Minas Gerais, Ave Luiz Boali S-N, Teofilo Otoni, MG, Brazil; [Michel, Roberto F. M.] Univ Estadual Santa Cruz, Depe Ciencias Agr &amp; Ambientais, Rodovia Jorge Amado,Km 16, Ilheus, BA, Brazil; [Correa, Guilherme R.] Univ Fed Uberlandia, Inst Geog, Ave Joao Naves Avila 2121, Uberlandia, MG, Brazil</t>
  </si>
  <si>
    <t>Universidade Federal de Vicosa; Universidade do Estado de Minas Gerais; Universidade Estadual de Santa Cruz; Universidade Federal de Uberlandia</t>
  </si>
  <si>
    <t>Pereira, TTC (corresponding author), Univ Estado Minas Gerais, Dept Ciencias Exatas &amp; Terra, Ave Prof Mario Palmerio 1001, Frutal, MG, Brazil.</t>
  </si>
  <si>
    <t>thiago.solos@gmail.com</t>
  </si>
  <si>
    <t>Michel, Roberto Ferreira Machado/H-4578-2016; Schaefer, Carlos Ernesto/AAY-4977-2020</t>
  </si>
  <si>
    <t>Michel, Roberto Ferreira Machado/0000-0001-5951-4610; Ernesto Goncalves Reynaud Schaefer, Carlos/0000-0001-7060-1598; Ernesto Goncalves Reynaud Schaefer, Carlos/0000-0001-5735-3227</t>
  </si>
  <si>
    <t>National Council for Scientific and Technological Development (CNPq) [556546/2009-1]; Minas Gerais State Research Foundation (FAPEMIG) [CAG 367/2009]</t>
  </si>
  <si>
    <t>National Council for Scientific and Technological Development (CNPq)(Conselho Nacional de Desenvolvimento Cientifico e Tecnologico (CNPQ)); Minas Gerais State Research Foundation (FAPEMIG)(Fundacao de Amparo a Pesquisa do Estado de Minas Gerais (FAPEMIG))</t>
  </si>
  <si>
    <t>The authors acknowledge the financial support of the National Council for Scientific and Technological Development (CNPq) (grant number 556546/2009-1) and the Minas Gerais State Research Foundation (FAPEMIG) (CAG 367/2009) and the Brazilian Navy for the logistic support during the Antarctic expeditions. We thank the personnel at the Hope Bay (Esperanza) Station for their hospitality. Prof. Carlos Schaefer thanks CAPES for granting a sabbatical at the Scott Polar Research Institute (University of Cambridge, UK). This is a contribution of INCT-Criosfera-Terrantar Group.</t>
  </si>
  <si>
    <t>10.1016/j.catena.2016.07.021</t>
  </si>
  <si>
    <t>WOS:000390733900008</t>
  </si>
  <si>
    <t>Hrbácek, F; Nyvlt, D; Láska, K</t>
  </si>
  <si>
    <t>Hrbacek, Filip; Nyvlt, Daniel; Laska, Kamil</t>
  </si>
  <si>
    <t>Active layer thermal dynamics at two lithologically different sites on James Ross Island, Eastern Antarctic Peninsula</t>
  </si>
  <si>
    <t>Active layer thermal regime; Ground temperature; Lithological properties; Active layer thickness; Air temperature; Antarctic Peninsula</t>
  </si>
  <si>
    <t>GROUND SURFACE-TEMPERATURE; KING GEORGE ISLAND; LIVINGSTON ISLAND; ULU PENINSULA; MARITIME ANTARCTICA; BYERS PENINSULA; SNOW COVER; PERMAFROST; ICE; VEGETATION</t>
  </si>
  <si>
    <t>The active layer thermal regime was studied at two sites with different lithological properties located on James Ross Island, eastern Antarctic Peninsula, to assess the main driving factors. The Abernethy Flats site (41 m a.s.l.) is located in Cretaceous calcareous sandstones and siltstones of the Santa Marta Formation. In contrast, the Berry Hill slopes site (56 m) is composed of muddy to intermediate diamictites, tuffaceous siltstones to fine-grained sandstones of the Mendel Formation. The data of air temperature at 2 m and ground temperature at two 75-cm-deep profiles were analysed for the period 1 January 2012, to 31 December 2014. Small differences were found when comparing mean air temperatures and ground temperatures at 5, 50 and 75 cm depths, in the period 2012-2014. While the mean air temperatures varied between -7.7 degrees C and -7.0 degrees C, the average ground temperatures oscillated between -6.6 degrees C and -6.1 degrees C at 5 cm; -6.7 degrees C and -6.0 degrees C at 50 cm; and -6.9 degrees C and -6.0 degrees C at 75 cm at Abernethy Flats and Berry Hill slopes, respectively. The increasing difference of ground temperature with depth, and a significant difference in active layer thickness- 52 to 64 cm at Abernethy Flats and 85 to 90 cm at Berry Hill slopes, respectively - suggests the significant effect of lithology. The higher proportion of fine particles and more thermally conductive minerals, together with higher water saturation, has been found to be fundamental for higher active layer thickness documented at Berry Hill slopes. (C) 2016 Elsevier B.V. All rights reserved.</t>
  </si>
  <si>
    <t>[Hrbacek, Filip; Nyvlt, Daniel; Laska, Kamil] Masaryk Univ, Dept Geog, Fac Sci, Kotlarska 2, CS-61137 Brno, Czech Republic; [Nyvlt, Daniel] Czech Geol Survey, Brno Branch, Leitnerova 22, Brno 65869, Czech Republic</t>
  </si>
  <si>
    <t>Masaryk University Brno; Czech Geological Survey</t>
  </si>
  <si>
    <t>Hrbacek, F (corresponding author), Masaryk Univ, Dept Geog, Fac Sci, Kotlarska 2, CS-61137 Brno, Czech Republic.</t>
  </si>
  <si>
    <t>hrbacekfilip@gmail.com</t>
  </si>
  <si>
    <t>Hrbacek, Filip/ABG-4319-2020; Laska, Kamil/L-7875-2013; Nyvlt, Daniel/J-6504-2019</t>
  </si>
  <si>
    <t>Hrbacek, Filip/0000-0001-5032-9216; Laska, Kamil/0000-0002-5199-9737; Nyvlt, Daniel/0000-0002-6876-490X</t>
  </si>
  <si>
    <t>Masaryk University [MUNI/A/1315/2015]; project, Employment of Best Young Scientists for International Cooperation Empowerment from European Social Fund [CZ.1.07/2.3.00/30.0037]; state budget of the Czech Republic</t>
  </si>
  <si>
    <t>Masaryk University; project, Employment of Best Young Scientists for International Cooperation Empowerment from European Social Fund; state budget of the Czech Republic</t>
  </si>
  <si>
    <t>We thank the Johann Gregor Mendel Station infrastructure for logistical support. We are very grateful to the members of the summer expeditions in 2011-2015 for their company and field assistance on JRI. The work was supported by the Masaryk University project MUNI/A/1315/2015. The work of DN on this paper has been supported by the project, Employment of Best Young Scientists for International Cooperation Empowerment (CZ.1.07/2.3.00/30.0037) co-financed from European Social Fund and the state budget of the Czech Republic. We also acknowledge the suggestions and comments on earlier drafts of the manuscript provided by Marc Oliva and constructive comments of both journal reviewers.</t>
  </si>
  <si>
    <t>10.1016/j.catena.2016.06.020</t>
  </si>
  <si>
    <t>WOS:000390733900009</t>
  </si>
  <si>
    <t>Cardile, V; Graziano, ACE; Avola, R; Piovano, M; Russo, A</t>
  </si>
  <si>
    <t>Cardile, V.; Graziano, A. C. E.; Avola, R.; Piovano, M.; Russo, A.</t>
  </si>
  <si>
    <t>Potential anticancer activity of lichen secondary metabolite physodic acid</t>
  </si>
  <si>
    <t>CHEMICO-BIOLOGICAL INTERACTIONS</t>
  </si>
  <si>
    <t>Lichen compounds; Depsidones; Polyphenols; Melanoma cells; Apoptosis; Hsp70; Reactive oxygen species</t>
  </si>
  <si>
    <t>PROSTATE-CANCER CELLS; USNIC ACID; PROTOLICHESTERINIC ACID; ROS PRODUCTION; BREAST-CANCER; DNA-DAMAGE; APOPTOSIS; MECHANISMS; CYTOTOXICITY; MITOCHONDRIA</t>
  </si>
  <si>
    <t>Secondary metabolites present in lichens, which comprise aliphatic, cycloaliphatic, aromatic and terpenic compounds, are unique with respect to those of higher plants and show interesting biological and pharmacological activities. However, only a few of these compounds, have been assessed for their effectiveness against various in vitro cancer models. In the present study, we investigated the cytotoxicity of three lichen secondary metabolites (atranorin, gyrophoric acid and physodic acid) on A375 melanoma cancer cell line. The tested compounds arise from different lichen species collected in different areas of Continental and Antarctic Chile. The obtained results confirm the major efficiency of depsidones. In fact, depsides atranorin and gyrophoric acid, showed a lower activity inhibiting the melanoma cancer cells only at more high concentrations. Whereas the depsidone physodic acid, showed a dose-response relationship in the range of 6.25-50 mu M concentrations in A375 cells, activating an apoptotic process, that probably involves the reduction of Hsp70 expression. Although the molecular mechanism, by which apoptosis is induced by physodic acid remains unclear, and of course further studies are needed, the results here reported confirm the promising biological properties of depsidone compounds, and may offer a further impulse to the development of analogues with more powerful efficiency against melanoma cells. (C) 2016 Elsevier Ireland Ltd. All rights reserved.</t>
  </si>
  <si>
    <t>[Cardile, V.; Graziano, A. C. E.; Avola, R.] Univ Catania, Physiol Sect, Dept Biomed &amp; Biotechnol Sci, Vle A Doria 6, I-95125 Catania, Italy; [Piovano, M.] Univ Tecn Federico Santa Maria, Dept Chem, Casilla 110-V, Valparaiso, Chile; [Russo, A.] Univ Catania, Biochem Sect, Dept Drug Sci, Vle A Doria 6, I-95125 Catania, Italy</t>
  </si>
  <si>
    <t>University of Catania; Universidad Tecnica Federico Santa Maria; University of Catania</t>
  </si>
  <si>
    <t>Russo, A (corresponding author), Univ Catania, Biochem Sect, Dept Drug Sci, Vle A Doria 6, I-95125 Catania, Italy.</t>
  </si>
  <si>
    <t>alrusso@unict.it</t>
  </si>
  <si>
    <t>Cardile, Venera/ISU-6869-2023; loreto, carla/AAC-2711-2019; Avola, Rosanna/Y-4329-2018; Graziano, Adriana Carol Eleonora/J-9952-2016</t>
  </si>
  <si>
    <t>Avola, Rosanna/0000-0002-3094-2416; Graziano, Adriana Carol Eleonora/0000-0003-1652-9577</t>
  </si>
  <si>
    <t>0009-2797</t>
  </si>
  <si>
    <t>1872-7786</t>
  </si>
  <si>
    <t>CHEM-BIOL INTERACT</t>
  </si>
  <si>
    <t>Chem.-Biol. Interact.</t>
  </si>
  <si>
    <t>10.1016/j.cbi.2016.12.007</t>
  </si>
  <si>
    <t>Biochemistry &amp; Molecular Biology; Pharmacology &amp; Pharmacy; Toxicology</t>
  </si>
  <si>
    <t>EK6XV</t>
  </si>
  <si>
    <t>WOS:000394070500005</t>
  </si>
  <si>
    <t>Sonnekus, MJ; Bornman, TG; Campbell, EE</t>
  </si>
  <si>
    <t>Sonnekus, Martinus J.; Bornman, Thomas G.; Campbell, Eileen E.</t>
  </si>
  <si>
    <t>Phytoplankton and nutrient dynamics of six South West Indian Ocean seamounts</t>
  </si>
  <si>
    <t>Deep chlorophyll maximum; Euphotic zone; South West Indian Ridge; Madagascar Plateau; Subtropical convergence zone; Agulhas Return Current</t>
  </si>
  <si>
    <t>DEEP CHLOROPHYLL MAXIMUM; AZORES NE ATLANTIC; COMMUNITY STRUCTURE; MESOSCALE EDDIES; RESOURCE LIMITATION; SUBTROPICAL GYRE; CONDOR SEAMOUNT; ORGANIC-MATTER; COBB SEAMOUNT; FRONTAL ZONES</t>
  </si>
  <si>
    <t>A survey of six seamounts and two transects through the subtropical convergence zone (SCZ) in the South Indian Ocean in November and December 2009 showed a strong latitudinal gradient from the subtropics to the Sub-Antarctic Front. Concentrations of oxygen, nitrate, nitrite, soluble reactive phosphorous as well as phytoplankton biomass (measured as chlorophyll alpha) increased while salinity and temperature decreased with an increase in latitude. These differences resulted in significant differences between seamounts. The chlorophyll a maximum became shallower at higher latitudes, changing from a depth of similar to 85 m in the subtropics to similar to 35 m over the seamounts and in the SCZ. The mixed layer depth also increased from similar to 50 m in the subtropics to similar to 100 m at higher latitude stations. The N:P and N:Si ratio indicated that NO3- was limiting at all the seamounts except one, at which SiO4 was the limiting nutrient. The phytoplankton community also showed a latitudinal gradient with decreasing diversity and a change in dominance from dinoflagellates in the tropics to diatoms towards the SCZ. The dominant diatom genus of the survey (&gt; 50% of the cell counts) was Pseudo-nitzschia. Nutrients exhibited an inverse linear relationship with temperature and salinity. The oligotrophic subtropical areas differed from the mesotrophic seamounts in temperature while waters over seamounts north and south of the Agulhas Return Current (ARC) differed in salinity. The phytoplankton (148 taxa) responded to these differences, showing three communities: subtropical seamount phytoplankton (Atlantis Seamount, Walters Seamount and off-mount samples), phytoplankton of the waters north of the ARC (Melville Bank, Sapmer Bank, Middle of What Seamount) and phytoplankton south of the ARC (Coral Seamount, SCZ1) characterised by a bloom of Phaeocystis antarctica. The environmental drivers most strongly linked to these observed differences were nitrate, temperature and oxygen. These environmental drivers displayed a clear latitudinal gradient unaffected by mesoscale variability of the ARC eddy field and allowing the three phytoplankton communities to persist. Phytoplankton biomass was enhanced in the shallow (&lt; 200 m) seamount waters, although the speed of the currents indicates an allochthonous origin.</t>
  </si>
  <si>
    <t>[Sonnekus, Martinus J.; Bornman, Thomas G.; Campbell, Eileen E.] Nelson Mandela Metropolitan Univ, Dept Bot, POB 77000, ZA-6070 Port Elizabeth, South Africa; [Bornman, Thomas G.] South African Environm Observat Network, Elwandle Coastal Node,POB 77000, ZA-6070 Port Elizabeth, South Africa</t>
  </si>
  <si>
    <t>Nelson Mandela University; National Research Foundation - South Africa; South African Environmental Observation Network (SAEON)</t>
  </si>
  <si>
    <t>Bornman, TG (corresponding author), South African Environm Observat Network, Elwandle Coastal Node,POB 77000, ZA-6070 Port Elizabeth, South Africa.</t>
  </si>
  <si>
    <t>tommy@saeon.ac.za</t>
  </si>
  <si>
    <t>Bornman, Thomas George/V-7794-2019</t>
  </si>
  <si>
    <t>Bornman, Thomas George/0000-0003-1868-479X; Sonnekus, Martinus/0000-0002-0348-0359</t>
  </si>
  <si>
    <t>International Union for the Conservation of Nature and Natural Resources (IUCN); Global Environmental Facility (GEF); United Nations Development Programme (UNDP); Agulhas and Somali Current Large Marine Ecosystem (ASCLME) Project; EAF Nansen Project; Natural Environment Research Council (NERC); African Coelacanth Ecosystem Programme (ACEP) of the Department of Science and Technology (DST); National Research Foundation (NRF) [UID 72338]; Zoological Society of London (ZSL); Natural Environment Research Council [NE/F005504/1] Funding Source: researchfish; NERC [NE/F005504/1] Funding Source: UKRI</t>
  </si>
  <si>
    <t>International Union for the Conservation of Nature and Natural Resources (IUCN); Global Environmental Facility (GEF); United Nations Development Programme (UNDP); Agulhas and Somali Current Large Marine Ecosystem (ASCLME) Project; EAF Nansen Project; Natural Environment Research Council (NERC)(UK Research &amp; Innovation (UKRI)Natural Environment Research Council (NERC)); African Coelacanth Ecosystem Programme (ACEP) of the Department of Science and Technology (DST); National Research Foundation (NRF); Zoological Society of London (ZSL); Natural Environment Research Council(UK Research &amp; Innovation (UKRI)Natural Environment Research Council (NERC)); NERC(UK Research &amp; Innovation (UKRI)Natural Environment Research Council (NERC))</t>
  </si>
  <si>
    <t>The following entities are thanked for funding the project and contributing to the research cruise on board the R/V Dr Fridtjof Nansen: The International Union for the Conservation of Nature and Natural Resources (IUCN), Global Environmental Facility (GEF), United Nations Development Programme (UNDP), Agulhas and Somali Current Large Marine Ecosystem (ASCLME) Project, EAF Nansen Project, Zoological Society of London (ZSL), Natural Environment Research Council (NERC) and the African Coelacanth Ecosystem Programme (ACEP) of the Department of Science and Technology (DST). Our appreciation also goes to the officers and crew of the R/V Dr Fridtjof Nansen. We are also grateful to the Botany Department of the Nelson Mandela Metropolitan University (NMMU), and the South African Institute for Aquatic Biodiversity (SAIAB) for the use of their laboratories. The National Research Foundation (NRF) is acknowledged for providing South Africa / Poland bilateral collaborative research funding (Grant UID 72338) to visit the Department of Paleoceanography at the University of Szczecin. The assistance provided by Prof Andrzej Witkowski and Przemek Dgbek in the identification of the diatoms is especially appreciated.</t>
  </si>
  <si>
    <t>10.1016/j.dsr2.2016.12.008</t>
  </si>
  <si>
    <t>EM3QC</t>
  </si>
  <si>
    <t>WOS:000395228700005</t>
  </si>
  <si>
    <t>Prebble, JG; Reichgelt, T; Mildenhall, DC; Greenwood, DR; Raine, JI; Kennedy, EM; Seebeck, HC</t>
  </si>
  <si>
    <t>Prebble, Joseph G.; Reichgelt, Tammo; Mildenhall, Dallas C.; Greenwood, David R.; Raine, J. Ian; Kennedy, Elizabeth M.; Seebeck, Hannu C.</t>
  </si>
  <si>
    <t>Terrestrial climate evolution in the Southwest Pacific over the past 30 million years</t>
  </si>
  <si>
    <t>pollen; paleoclimate; Neogene; bioclimatic analysis; New Zealand</t>
  </si>
  <si>
    <t>ANTARCTIC ICE-SHEET; NEW-ZEALAND CLIMATE; EARLY MIOCENE; SOUTHERN-OCEAN; NEOGENE; DIVERSITY; PLIOCENE; PALEOGEOGRAPHY; HISTORY; EAST</t>
  </si>
  <si>
    <t>A reconstruction of terrestrial temperature and precipitation for the New Zealand landmass over the past 30 million years is produced using pollen data from &gt;2000 samples lodged in the New Zealand Fossil Record Electronic Database and modern climate data of nearest living relatives. The reconstruction reveals a warming trend through the late Oligocene to early Miocene, peak warmth in the middle Miocene, and stepwise cooling through the late Neogene. Whereas the regional signal in our reconstruction includes a similar to 5-10 degrees northward tectonic drift, as well as an increase in high altitude biomes due to late Neogene and Pliocene uplift of the Southern Alps, the pattern mimics inferred changes in global ice extent, which suggests that global drivers played a major role in shaping local vegetation. Importantly, seasonal temperature estimates indicate low seasonality during the middle Miocene, and that subsequent Neogene cooling was largely due to cooler winters. We suggest that this may reflect increased Subantarctic influence on New Zealand vegetation as the climate cooled. (C) 2016 Elsevier B.V. All rights reserved.</t>
  </si>
  <si>
    <t>[Prebble, Joseph G.; Mildenhall, Dallas C.; Raine, J. Ian; Kennedy, Elizabeth M.; Seebeck, Hannu C.] GNS Sci, POB 30-368, Lower Hutt, New Zealand; [Reichgelt, Tammo] Columbia Univ, Lamont Doherty Earth Observ, POB 1000, Palisades, NY 10964 USA; [Greenwood, David R.] Brandon Univ, Dept Biol, 270 18th St, Brandon, MB R7A 6A9, Canada</t>
  </si>
  <si>
    <t>GNS Science - New Zealand; Columbia University; Brandon University</t>
  </si>
  <si>
    <t>Prebble, JG (corresponding author), GNS Sci, POB 30-368, Lower Hutt, New Zealand.</t>
  </si>
  <si>
    <t>j.prebble@gns.cri.nz</t>
  </si>
  <si>
    <t>Greenwood, David R./C-2758-2008; Raine, James I/D-5124-2009</t>
  </si>
  <si>
    <t>Greenwood, David R./0000-0002-8569-9695; Reichgelt, Tammo/0000-0001-8652-5489</t>
  </si>
  <si>
    <t>GNS core - New Zealand Government; GNS core; NSERC [2016-04337]</t>
  </si>
  <si>
    <t>GNS core - New Zealand Government; GNS core; NSERC(Natural Sciences and Engineering Research Council of Canada (NSERC))</t>
  </si>
  <si>
    <t>JGP, DCM, JIR and EMK were supported by the GNS core funded Global Change through Time Programme, funded by the New Zealand Government, JGP and HS also received support from the GNS core funded Strategic Development Programme. DRG was supported by NSERC (2016-04337). The authors gratefully acknowledge the use of data from the New Zealand Fossil Record Electronic Database. We thank the following colleagues at GNS Science: Richard Thomas for FRED database management, David Harte for discussions on data manipulation, Martin Crundwell for discussion on regional Miocene marine records, Chris Hollis and Richard Levy for comments on an earlier draft. We thank Bob Spicer and an anonymous reviewer for thoughtful review comments that improved this manuscript.</t>
  </si>
  <si>
    <t>10.1016/j.epsl.2016.11.006</t>
  </si>
  <si>
    <t>EJ1YM</t>
  </si>
  <si>
    <t>WOS:000393006500013</t>
  </si>
  <si>
    <t>Clarke, LJ; Beard, JM; Swadling, KM; Deagle, BE</t>
  </si>
  <si>
    <t>Clarke, Laurence J.; Beard, Jason M.; Swadling, Kerrie M.; Deagle, Bruce E.</t>
  </si>
  <si>
    <t>Effect of marker choice and thermal cycling protocol on zooplankton DNA metabarcoding studies</t>
  </si>
  <si>
    <t>cytochrome oxidase subunit I; environmental DNA; metabarcoding; mitochondrial 16S ribosomal DNA; nuclear 18S rDNA; zooplankton</t>
  </si>
  <si>
    <t>MARINE; BIODIVERSITY; SAMPLES; PCR; DIVERSITY; SEQUENCES; BARCODE; REGION</t>
  </si>
  <si>
    <t>DNA metabarcoding is a promising approach for rapidly surveying biodiversity and is likely to become an important tool for measuring ecosystem responses to environmental change. Metabarcoding markers need sufficient taxonomic coverage to detect groups of interest, sufficient sequence divergence to resolve species, and will ideally indicate relative abundance of taxa present. We characterized zooplankton assemblages with three different metabarcoding markers (nuclear 18S rDNA, mitochondrial COI, and mitochondrial 16S rDNA) to compare their performance in terms of taxonomic coverage, taxonomic resolution, and correspondence between morphology-and DNA-based identification. COI amplicons sequenced on separate runs showed that operational taxonomic units representing &gt;0.1% of reads per sample were highly reproducible, although slightly more taxa were detected using a lower annealing temperature. Mitochondrial COI and nuclear 18S showed similar taxonomic coverage across zooplankton phyla. However, mitochondrial COI resolved up to threefold more taxa to species compared to 18S. All markers revealed similar patterns of beta-diversity, although different taxa were identified as the greatest contributors to these patterns for 18S. For calanoid copepod families, all markers displayed a positive relationship between biomass and sequence reads, although the relationship was typically strongest for 18S. The use of COI for metabarcoding has been questioned due to lack of conserved primer-binding sites. However, our results show the taxonomic coverage and resolution provided by degenerate COI primers, combined with a comparatively well-developed reference sequence database, make them valuable metabarcoding markers for biodiversity assessment.</t>
  </si>
  <si>
    <t>[Clarke, Laurence J.; Swadling, Kerrie M.; Deagle, Bruce E.] Univ Tasmania, Antarctic Climate &amp; Ecosyst Cooperat Res Ctr, Hobart, Tas, Australia; [Clarke, Laurence J.; Deagle, Bruce E.] Australian Antarctic Div, Kingston, Tas, Australia; [Beard, Jason M.; Swadling, Kerrie M.] Univ Tasmania, Inst Marine &amp; Antarctic Studies, Hobart, Tas, Australia</t>
  </si>
  <si>
    <t>University of Tasmania; Antarctic Climate &amp; Ecosystems Cooperative Research Centre (ACE CRC); Australian Antarctic Division; University of Tasmania</t>
  </si>
  <si>
    <t>Clarke, LJ (corresponding author), Univ Tasmania, Antarctic Climate &amp; Ecosyst Cooperat Res Ctr, Hobart, Tas, Australia.</t>
  </si>
  <si>
    <t>laurence.clarke@utas.edu.au</t>
  </si>
  <si>
    <t>Clarke, Laurence/N-3579-2017; Deagle, Bruce E/R-2999-2019</t>
  </si>
  <si>
    <t>Clarke, Laurence/0000-0002-0844-4453; Deagle, Bruce E/0000-0001-7651-3687; Swadling, Kerrie/0000-0002-7620-841X</t>
  </si>
  <si>
    <t>Fisheries Research and Development Corporation [2014/031]; Winifred Violet Scott Foundation; Australian Antarctic Science [4313]</t>
  </si>
  <si>
    <t>Fisheries Research and Development Corporation; Winifred Violet Scott Foundation; Australian Antarctic Science</t>
  </si>
  <si>
    <t>Fisheries Research and Development Corporation, Grant/Award Number: 2014/031; Winifred Violet Scott Foundation; Australian Antarctic Science, Grant/Award Number: 4313</t>
  </si>
  <si>
    <t>10.1002/ece3.2667</t>
  </si>
  <si>
    <t>EL3FD</t>
  </si>
  <si>
    <t>WOS:000394504100009</t>
  </si>
  <si>
    <t>Holan, JR; King, CK; Sfiligoj, BJ; Davis, AR</t>
  </si>
  <si>
    <t>Holan, Jessica R.; King, Catherine K.; Sfiligoj, Bianca J.; Davis, Andrew R.</t>
  </si>
  <si>
    <t>Toxicity of copper to three common subantarctic marine gastropods</t>
  </si>
  <si>
    <t>ECOTOXICOLOGY AND ENVIRONMENTAL SAFETY</t>
  </si>
  <si>
    <t>Metal; Contaminant; Sensitivity; Sublethal; Macquarie Island; Marine gastropods</t>
  </si>
  <si>
    <t>BABYLONIA-LUTOSA LAMARCK; NASSARIUS-FESTIVUS POWYS; SUBTIDAL PROSOBRANCH; METAL CONTAMINANTS; FEEDING-BEHAVIOR; ROCKY SHORES; TRACE-METALS; SHORT-TERM; SENSITIVITY; INVERTEBRATES</t>
  </si>
  <si>
    <t>Investigating the impacts of contamination on high latitude ecosystems includes determining the sensitivity of key taxa to contaminants. Unique characteristics, arising from adaption to cold and stable temperatures has likely resulted in marine biota at the poles being particularly sensitive to contamination in comparison to related species at lower latitudes. We aimed to determine the sensitivity of three species of common and ecologically important subantarctic gastropods to copper. This is the first study to investigate the sensitivity of subantarctic marine gastropods to contamination. We determined sensitivity by exposing each species to a range of copper concentrations by establishing mortality and sublethal endpoints. Sensitivity to copper was highly species specific. Laevilittorina caliginosa was relatively tolerant, with no response at Cu concentrations up to 1488 mu g/L following 7 d of exposure, while two species (Cantharidus capillaceus coruscans and Macguariella hamiltoni) were highly sensitive with 7 d Cu LC50 estimates of 33 mu g/L and 78 mu g/L respectively. In a global comparison of gastropod sensitivity data, these two species were highly sensitive to copper, highlighting the vulnerability of polar ecosystems to contamination.</t>
  </si>
  <si>
    <t>[Holan, Jessica R.; King, Catherine K.; Sfiligoj, Bianca J.] Australian Antarctic Div, Antarctic Conservat &amp; Management, Kingston, Tas 7050, Australia; [Holan, Jessica R.; Davis, Andrew R.] Univ Wollongong, Ctr Sustainable Ecosyst Solut, Wollongong, NSW 2522, Australia; [Holan, Jessica R.; Davis, Andrew R.] Univ Wollongong, Sch Biol Sci, Wollongong, NSW 2522, Australia</t>
  </si>
  <si>
    <t>Australian Antarctic Division; University of Wollongong; University of Wollongong</t>
  </si>
  <si>
    <t>Holan, JR (corresponding author), Australian Antarctic Div, Antarctic Conservat &amp; Management, Kingston, Tas 7050, Australia.</t>
  </si>
  <si>
    <t>jrh951@uowmail.edu.au</t>
  </si>
  <si>
    <t>Davis, Andy/H-3607-2011; Holan, Jessica/J-5399-2019; King, Catherine K/G-7059-2017</t>
  </si>
  <si>
    <t>Davis, Andy/0000-0002-8146-7424; Holan, Jessica/0000-0003-0080-4909; King, Catherine K/0000-0003-3356-0381; Sfiligoj, Bianca/0000-0001-7439-8857</t>
  </si>
  <si>
    <t>Australian Antarctic Science [AAS4100]; Australian Postgraduate Award</t>
  </si>
  <si>
    <t>Australian Antarctic Science; Australian Postgraduate Award(Australian Government)</t>
  </si>
  <si>
    <t>The authors would like to thank the expeditioners to Macquarie Island in 2013/14 for support of this project. Thanks also to A. Cooper for assistance with ICP-OES data and general help throughout project, and to the Marine Research Facilities staff for assistance in maintaining the aquaria. Permits for collections granted by the Department of Primary Industries, Parks, Water and Environment, Tasmania. This work was supported by an Australian Antarctic Science Grant [AAS4100] awarded to C. King and through an Australian Postgraduate Award to J. Holan.</t>
  </si>
  <si>
    <t>0147-6513</t>
  </si>
  <si>
    <t>1090-2414</t>
  </si>
  <si>
    <t>ECOTOX ENVIRON SAFE</t>
  </si>
  <si>
    <t>Ecotox. Environ. Safe.</t>
  </si>
  <si>
    <t>10.1016/j.ecoenv.2016.10.025</t>
  </si>
  <si>
    <t>EG3XI</t>
  </si>
  <si>
    <t>WOS:000390977600010</t>
  </si>
  <si>
    <t>Goordial, J; Davila, A; Greer, CW; Cannam, R; DiRuggiero, J; Mckay, CP; Whyte, LG</t>
  </si>
  <si>
    <t>Goordial, Jacqueline; Davila, Alfonso; Greer, Charles W.; Cannam, Rebecca; DiRuggiero, Jocelyne; McKay, Christopher P.; Whyte, Lyle G.</t>
  </si>
  <si>
    <t>Comparative activity and functional ecology of permafrost soils and lithic niches in a hyper-arid polar desert</t>
  </si>
  <si>
    <t>MCMURDO DRY VALLEYS; ANTARCTIC COLD DESERT; MICROBIAL DIVERSITY; ENDOLITHIC MICROORGANISMS; SUBZERO TEMPERATURES; MINERAL SOILS; COMMUNITIES; GENOME; BACTERIA; MARS</t>
  </si>
  <si>
    <t>Permafrost in the high elevation McMurdo Dry Valleys of Antarctica ranks among the driest and coldest on Earth. Permafrost soils appear to be largely inhospitable to active microbial life, but sandstone lithic microhabitats contain a trophically simple but functional cryptoendolithic community. We used metagenomic sequencing and activity assays to examine the functional capacity of permafrost soils and cryptoendolithic communities in University Valley, one of the most extreme regions in the Dry Valleys. We found metagenomic evidence that cryptoendolithic microorganisms are adapted to the harsh environment and capable of metabolic activity at in situ temperatures, possessing a suite of stress response and nutrient cycling genes to fix carbon under the fluctuating conditions that the sandstone rock would experience during the summer months. We additionally identified genes involved in microbial competition and cooperation within the cryptoendolithic habitat. In contrast, permafrost soils have a lower richness of stress response genes, and instead the metagenome is enriched in genes involved with dormancy and sporulation. The permafrost soils also have a large presence of phage genes and genes involved in the recycling of cellular material. Our results underlie two different habitability conditions under extreme cold and dryness: the permafrost soil which is enriched in traits which emphasize survival and dormancy, rather than growth and activity; and the cryptoendolithic environment that selects for organisms capable of growth under extremely oligotrophic, arid and cold conditions. This study represents the first metagenomic interrogation of Antarctic permafrost and polar cryptoendolithic microbial communities.</t>
  </si>
  <si>
    <t>[Goordial, Jacqueline; Cannam, Rebecca; Whyte, Lyle G.] McGill Univ, Macdonald Campus, Ste Anne De Bellevue, PQ, Canada; [Davila, Alfonso; McKay, Christopher P.] NASA, Ames Res Ctr, Moffett Field, CA USA; [Greer, Charles W.] Natl Res Council Canada, Montreal, PQ, Canada; [DiRuggiero, Jocelyne] Johns Hopkins Univ, Baltimore, MD USA</t>
  </si>
  <si>
    <t>McGill University; National Aeronautics &amp; Space Administration (NASA); NASA Ames Research Center; National Research Council Canada; Johns Hopkins University</t>
  </si>
  <si>
    <t>Goordial, J (corresponding author), McGill Univ, Macdonald Campus, Ste Anne De Bellevue, PQ, Canada.</t>
  </si>
  <si>
    <t>Jacqueline.goordial@mail.mcgill.ca</t>
  </si>
  <si>
    <t>McKay, Christopher/0000-0002-6243-1362; Davila, Alfonso/0000-0002-0977-9909; Goordial, Jacqueline/0000-0001-5005-673X</t>
  </si>
  <si>
    <t>NASA's ASTEP program; Natural Sciences and Engineering Research Council (NSERC) Discovery Grant Program; NSERC Northern Supplements Program; NSERC CREATE Canadian Astrobiology Training Program (CATP); NASA [NNX15AP18G]; National Science foundation [NSF-1556574]; NCBI Sequence Read Archive (SRA) [PRJNA290089]; NASA [NNX15AP18G, 798919] Funding Source: Federal RePORTER</t>
  </si>
  <si>
    <t>NASA's ASTEP program; Natural Sciences and Engineering Research Council (NSERC) Discovery Grant Program(Natural Sciences and Engineering Research Council of Canada (NSERC)); NSERC Northern Supplements Program(Natural Sciences and Engineering Research Council of Canada (NSERC)); NSERC CREATE Canadian Astrobiology Training Program (CATP)(Natural Sciences and Engineering Research Council of Canada (NSERC)); NASA(National Aeronautics &amp; Space Administration (NASA)); National Science foundation(National Science Foundation (NSF)); NCBI Sequence Read Archive (SRA); NASA(National Aeronautics &amp; Space Administration (NASA))</t>
  </si>
  <si>
    <t>This work was supported by NASA's ASTEP program and with field support via NSF/OPP (project B-302-M). Support was provided by the Natural Sciences and Engineering Research Council (NSERC) Discovery Grant Program, NSERC Northern Supplements Program, and NSERC CREATE Canadian Astrobiology Training Program (CATP). Additionally, this work was supported by grant NNX15AP18G from NASA and grant NSF-1556574 from the National Science foundation to JDR. Metagenomic datasets are publically available at MG-RAST (4594281.3, 4594282). Pyrosequencing data has been deposited in the NCBI Sequence Read Archive (SRA) under project PRJNA290089.</t>
  </si>
  <si>
    <t>10.1111/1462-2920.13353</t>
  </si>
  <si>
    <t>WOS:000394973000009</t>
  </si>
  <si>
    <t>Evans, C; Brandsma, J; Pond, DW; Venables, HJ; Meredith, MP; Witte, HJ; Stammerjohn, S; Wilson, WH; Clarke, A; Brussaard, CPD</t>
  </si>
  <si>
    <t>Evans, Claire; Brandsma, Joost; Pond, David W.; Venables, Hugh J.; Meredith, Michael P.; Witte, Harry J.; Stammerjohn, Sharon; Wilson, William H.; Clarke, Andrew; Brussaard, Corina P. D.</t>
  </si>
  <si>
    <t>Drivers of interannual variability in virioplankton abundance at the coastal western Antarctic peninsula and the potential effects of climate change</t>
  </si>
  <si>
    <t>NUCLEIC-ACID CONTENT; AUSTRALIAN SOUTHERN-OCEAN; MELTING GLACIERS FUELS; BACTERIAL-GROWTH RATE; ICE-ZONE WEST; SEA-ICE; MARINE BACTERIOPLANKTON; PHYTOPLANKTON BLOOMS; VIRAL-INFECTION; AQUATIC SYSTEMS</t>
  </si>
  <si>
    <t>An 8-year time-series in the Western Antarctic Peninsula (WAP) with an approximately weekly sampling frequency was used to elucidate changes in virioplankton abundance and their drivers in this climatically sensitive region. Virioplankton abundances at the coastal WAP show a pronounced seasonal cycle with interannual variability in the timing and magnitude of the summer maxima. Bacterioplankton abundance is the most influential driving factor of the virioplankton, and exhibit closely coupled dynamics. Sea ice cover and duration predetermine levels of phytoplankton stock and thus, influence virioplankton by dictating the substrates available to the bacterioplankton. However, variations in the composition of the phytoplankton community and particularly the prominence of Diatoms inferred from silicate drawdown, drive interannual differences in the magnitude of the virioplankton bloom; likely again mediated through changes in the bacterioplankton. Their findings suggest that future warming within the WAP will cause changes in sea ice that will influence viruses and their microbial hosts through changes in the timing, magnitude and composition of the phytoplankton bloom. Thus, the flow of matter and energy through the viral shunt may be decreased with consequences for the Antarctic food web and element cycling.</t>
  </si>
  <si>
    <t>[Evans, Claire; Brandsma, Joost; Witte, Harry J.; Brussaard, Corina P. D.] Royal Netherlands Inst Sea Res, Dept Biol Oceanog, PO Box 59, NL-1790 AB Den Burg, Netherlands; [Pond, David W.; Venables, Hugh J.; Meredith, Michael P.; Clarke, Andrew] NERC, British Antarct Survey, High Cross,Madingley Rd, Cambridge CB3 0ET, England; [Stammerjohn, Sharon] Univ Colorado, Inst Arct &amp; Alpine Res, Boulder, CO USA; [Wilson, William H.] Sir Alister Hardy Fdn Ocean Sci, Lab, Citadel Hill, Plymouth PL1 2PB, Devon, England; [Brussaard, Corina P. D.] Univ Amsterdam, Inst Biodivers &amp; Ecosystem Dynam, Aquat Microbiol, PO Box 94248, NL-1090 GE Amsterdam, Netherlands; [Evans, Claire] Natl Oceanog Ctr, Ocean Biogeochemistry Ecosystems Res Grp, Southampton SO14 3ZH, Hants, England; [Brandsma, Joost] Univ Southampton, Fac Med, Clin &amp; Expt Sci, Southampton SO16 6YD, Hants, England; [Pond, David W.] Scottish Marine Inst, Scottish Assoc Marine Sci, Oban PA37 1QA, Argyll, Scotland</t>
  </si>
  <si>
    <t>Utrecht University; Royal Netherlands Institute for Sea Research (NIOZ); UK Research &amp; Innovation (UKRI); Natural Environment Research Council (NERC); NERC British Antarctic Survey; University of Colorado System; University of Colorado Boulder; University of Amsterdam; NERC National Oceanography Centre; University of Southampton; UHI Millennium Institute</t>
  </si>
  <si>
    <t>Evans, C (corresponding author), Royal Netherlands Inst Sea Res, Dept Biol Oceanog, PO Box 59, NL-1790 AB Den Burg, Netherlands.</t>
  </si>
  <si>
    <t>claire.evans@noc.ac.uk</t>
  </si>
  <si>
    <t>Division for Earth and Life Sciences (ALW) from the Netherlands Organization for Scientific Research (NWO) [851.20.047]; NERC [SAH01001, NE/M018806/1, noc010009, NE/I030062/1, bas0100033] Funding Source: UKRI; Natural Environment Research Council [NE/I030062/1, noc010009, SAH01001, bas0100033] Funding Source: researchfish; Directorate For Geosciences; Division Of Ocean Sciences [1154661] Funding Source: National Science Foundation; Office of Polar Programs (OPP); Directorate For Geosciences [1440435] Funding Source: National Science Foundation</t>
  </si>
  <si>
    <t>Division for Earth and Life Sciences (ALW) from the Netherlands Organization for Scientific Research (NWO)(Netherlands Organization for Scientific Research (NWO)); NERC(UK Research &amp; Innovation (UKRI)Natural Environment Research Council (NERC)); Natural Environment Research Council(UK Research &amp; Innovation (UKRI)Natural Environment Research Council (NERC)); Directorate For Geosciences; Division Of Ocean Sciences(National Science Foundation (NSF)NSF - Directorate for Geosciences (GEO)); Office of Polar Programs (OPP); Directorate For Geosciences(National Science Foundation (NSF)NSF - Directorate for Geosciences (GEO))</t>
  </si>
  <si>
    <t>This work was supported by the Division for Earth and Life Sciences (ALW) with financial input from the Netherlands Organization for Scientific Research (NWO) under grant number 851.20.047. We gratefully acknowledge the British Antarctic Survey's Rothera Research Station Marine Assistants who collected samples and CTD data during the study period, namely Andrew Miller, Paul Mann, Helen Rosetti, Alison Massey, Terri Souster and Simon Reeves. We would also like to thank Peter-Paul Stehouwer and Cees van Slooten for their assistance with the virus counts.</t>
  </si>
  <si>
    <t>10.1111/1462-2920.13627</t>
  </si>
  <si>
    <t>WOS:000394973000030</t>
  </si>
  <si>
    <t>Dang, M; Norregaard, R; Bach, L; Sonne, C; Sondergaard, J; Gustavson, K; Aastrup, P; Nowak, B</t>
  </si>
  <si>
    <t>Dang, Mai; Norregaard, Rasmus; Bach, Lis; Sonne, Christian; Sondergaard, Jens; Gustavson, Kim; Aastrup, Peter; Nowak, Barbara</t>
  </si>
  <si>
    <t>Metal residues, histopathology and presence of parasites in the liver and gills of fourhorn sculpin (Myoxocephalus quadricornis) and shorthorn sculpin (Myoxocephalus scorpius) near a former lead-zinc mine in East Greenland</t>
  </si>
  <si>
    <t>ENVIRONMENTAL RESEARCH</t>
  </si>
  <si>
    <t>Heavy metal; Mining pollution; Histological change; Bioindicator</t>
  </si>
  <si>
    <t>ACID-BASE REGULATION; SALMON SALMO-SALAR; FRESH-WATER FISH; EXPOSURE; POLLUTION; BIOMARKERS; MERCURY; HEALTH; DEFORMITIES; MECHANISMS</t>
  </si>
  <si>
    <t>Fourhorn sculpins (Myoxocephalus quadricornis) and shorthorn sculpins (Myoxocephalus scorpius) have been considered suitable local bioindicators for environmental monitoring studies in the Arctic. Because these species share many characteristics, data from the two species have previously been pooled when assessing marine metal contamination. A chemical and histological study was conducted on fourhorn and shorthorn sculpins collected around a contaminated lead-zinc mine at East Greenland to investigate whether there were any differences in the residues of metals, histopathology and parasites in liver and gills between the two sculpin species. The results demonstrated that concentrations of copper (Cu), zinc (Zn), mercury (Hg) and lead (Pb) were significantly higher in the fourhorn sculpins (p &lt; 0.001) while there were no significant differences for arsenic (As) or cadmium (Cd). Furthermore, density of blood vessel fibrosis (p=0.028), prevalence and density of chondroplasia (p=0.002 and p=0.005, respectively), number of mucin-containing mucous cells (p &lt; 0.001) and chloride cells (p &lt; 0.001) and mean intensity of colonial Peritricha (p &lt; 0.001) were significantly higher in fourhorn sculpin. Based on these results we suggest that pooling the two species when conducting environmental assessments is not recommended as it can lead to incorrect conclusions. We propose that a larger study investigating the biological effects of zinc-lead mining in Greenland is needed.</t>
  </si>
  <si>
    <t>[Dang, Mai; Nowak, Barbara] Univ Tasmania, Inst Marine &amp; Antarctic Studies, Launceston, Tas 7250, Australia; [Norregaard, Rasmus; Bach, Lis; Sonne, Christian; Sondergaard, Jens; Gustavson, Kim; Aastrup, Peter] Aarhus Univ, Fac Sci &amp; Technol, Dept Biosci, ARC, Frederiksborgvej 399,POB 358, DK-4000 Roskilde, Denmark</t>
  </si>
  <si>
    <t>University of Tasmania; Aarhus University</t>
  </si>
  <si>
    <t>Nowak, B (corresponding author), Univ Tasmania, Inst Marine &amp; Antarctic Studies, Launceston, Tas 7250, Australia.</t>
  </si>
  <si>
    <t>B.Nowak@utas.edu.au</t>
  </si>
  <si>
    <t>Sonne, Christian/I-7532-2013; Søndergaard, Jens/AAZ-1079-2020; Gustavson, Kim/J-7851-2013; Bach, Lis/J-6567-2013; Nowak, Barbara/J-7261-2014</t>
  </si>
  <si>
    <t>Sonne, Christian/0000-0001-5723-5263; Søndergaard, Jens/0000-0001-7680-9920; Dang, Mai T. S./0000-0003-2542-120X; Bach, Lis/0000-0003-2891-4202; Gustavson, Kim/0000-0001-8242-0276; Nowak, Barbara/0000-0002-0347-643X; Aastrup, Peter/0000-0003-4258-3358</t>
  </si>
  <si>
    <t>Ministry of Environment and Food of Denmark; Environment Agency for Mineral Resources Activities in Greenland</t>
  </si>
  <si>
    <t>The Ministry of Environment and Food of Denmark and The Environment Agency for Mineral Resources Activities in Greenland are acknowledged for financial support.</t>
  </si>
  <si>
    <t>0013-9351</t>
  </si>
  <si>
    <t>1096-0953</t>
  </si>
  <si>
    <t>ENVIRON RES</t>
  </si>
  <si>
    <t>Environ. Res.</t>
  </si>
  <si>
    <t>10.1016/j.envres.2016.12.007</t>
  </si>
  <si>
    <t>EI3CE</t>
  </si>
  <si>
    <t>WOS:000392366500022</t>
  </si>
  <si>
    <t>Nowara, GB; Burch, P; Gasco, N; Welsford, DC; Lamb, TD; Chazeau, C; Duhamel, G; Pruvost, P; Wotherspoon, S; Candy, SG</t>
  </si>
  <si>
    <t>Nowara, G. B.; Burch, P.; Gasco, N.; Welsford, D. C.; Lamb, T. D.; Chazeau, C.; Duhamel, G.; Pruvost, P.; Wotherspoon, S.; Candy, S. G.</t>
  </si>
  <si>
    <t>Distribution and abundance of skates (Bathyraja spp.) on the Kerguelen Plateau through the lens of the toothfish fisheries</t>
  </si>
  <si>
    <t>Bathyraja sp.; Sub-Antarctic; By-catch; Zero-inflated models; GAM and GLM</t>
  </si>
  <si>
    <t>RAYS; RAJIDAE; SHIFTS</t>
  </si>
  <si>
    <t>Three species of skate, Bathyraja eatonii, B. irrasa and B. murrayi, are commonly taken as incidental by catch in Patagonian toothfish (Dissostichus eleginoides) longline and trawl fisheries, and the mackerel icefish (Champsocephalus gunnari) trawl fishery on the Kerguelen Plateau (KP) in the southern Indian Ocean. Data from fishery observations for 1997-2014 shows that the three skates were widely distributed across the Kerguelen Plateau, showing different spatial distributions, linked mainly with depth. Off Heard Island and McDonald Islands (HIMI), in the southern part of the KP, B. eatonii and B. irrasa were most abundant to the north and northwest of Heard Island, out to the edge of the Australian Exclusive Economic Zone (EEZ), and were caught down to depths of 1790 m and 2059 m respectively. The smallest species, B. murrayi, occurred mainly in the shallower waters down to 550 m, and was most abundant to the north and northeast, close to Heard Island. Around Kerguelen Islands, in the northern part of the KP, skates were most abundant between the 500 m and 1000 m contours circling and extending from the islands. Catch rates were modelled using zero-inflated GAMS and GLMs. The catch rates of skates from the trawl fisheries in the Australian EEZ surrounding Heard Island and McDonald Islands have shown little evidence of depletion on the main trawl fishing grounds, although there is evidence of a decrease in the average total length of B. eatonii. The marine reserves and the conservation measures employed by the Commission for the Conservation of Antarctic Marine Living Resources in the HIMI fisheries, appear to provide effective protection for the skates, at least in the shallower waters where the trawl fisheries operate. B. irrasa taken in the deeper waters where longline fishing occurs have shown a slight decline in catch rate over the years of the HIMI fishery. Although all skates are returned to the water from this fishery, survival rates are unknown and careful monitoring should continue to assess the status of these stocks. There appears to be little change in the abundance of the skate species at Kerguelen in the time period. This study provides the first review of skate by-catch across both the HIMI and Kerguelen fisheries. Ongoing monitoring of species specific by-catch levels and further research to determine the important life history parameters of these species are required, particularly for B. irrasa which is taken in both trawl and longline fisheries. Crown Copyright (C) 2016 Published by Elsevier B.V. All rights reserved.</t>
  </si>
  <si>
    <t>[Nowara, G. B.; Burch, P.; Welsford, D. C.; Lamb, T. D.; Wotherspoon, S.; Candy, S. G.] Australian Antarctic Div, Dept Environm, 203 Channel Highway, Kingston, Tas 7050, Australia; [Burch, P.; Wotherspoon, S.] Univ Tasmania, Inst Marine &amp; Antarct Studies, Private Bag 49, Hobart, Tas 7001, Australia; [Gasco, N.; Chazeau, C.; Duhamel, G.; Pruvost, P.] Sorbonne Univ, Museum Natl Hist Nat, Dept Milieux &amp; Peuplements Aquat, UMR BOREA MNHN CNRS UPMC IRD UCB 7208, CP 26,43 Rue Cuvier, F-75231 Paris 05, France; [Candy, S. G.] SCANDY Stat Modelling Pty Ltd, 70 Burwood Dr, Blackmans Bay, Tas 7052, Australia</t>
  </si>
  <si>
    <t>Australian Antarctic Division; University of Tasmania; Museum National d'Histoire Naturelle (MNHN); Sorbonne Universite</t>
  </si>
  <si>
    <t>Nowara, GB (corresponding author), Australian Antarctic Div, Dept Environm, 203 Channel Highway, Kingston, Tas 7050, Australia.</t>
  </si>
  <si>
    <t>gabrielle.nowara@aad.gov.au</t>
  </si>
  <si>
    <t>Lamb, Trevor D/C-9755-2009; Burch, Paul/GLU-8548-2022; Wotherspoon, Simon J/B-2390-2013; Burch, Paul/J-7641-2014</t>
  </si>
  <si>
    <t>Wotherspoon, Simon J/0000-0002-6947-4445; Burch, Paul/0000-0002-9853-462X; Welsford, Dirk/0000-0001-5379-5052</t>
  </si>
  <si>
    <t>10.1016/j.fishres.2016.07.022</t>
  </si>
  <si>
    <t>EF7FG</t>
  </si>
  <si>
    <t>WOS:000390494900008</t>
  </si>
  <si>
    <t>Sexton, SC; Ward, TM; Huveneers, C</t>
  </si>
  <si>
    <t>Sexton, Stuart C.; Ward, Tim M.; Huveneers, Charlie</t>
  </si>
  <si>
    <t>Characterising the spawning patterns of Jack Mackerel (Trachurus declivis) off eastern Australia to optimise future survey design</t>
  </si>
  <si>
    <t>Small pelagic fishery; Spawning habitat selection; DEPM; Climate change hotspot; Sampling bias</t>
  </si>
  <si>
    <t>ANCHOVY ENGRAULIS-ENCRASICOLUS; EGG-PRODUCTION METHOD; BATCH FECUNDITY; HORSE MACKEREL; BIOMASS; VARIABILITY; CARANGIDAE; CALIFORNIA; FREQUENCY; GROWTH</t>
  </si>
  <si>
    <t>Estimates of spawning biomass obtained using the daily egg productiOn method (DEPM) are used to establish catch limits for Jack Mackerel (Trachurus declivis) off eastern Australia. Information from concurrent ichthyoplankton and adult surveys conducted between Port Stephens, New South Wales and South East Cape, Tasmania during January 2014 was used to assess the environmental factors that determine the spawning patterns of Jack Mackerel. Adults were collected using a modified demersal trawl net deployed during daylight hours. Samples were unbiased with respect to sex, spawning activity and size. Large fish were collected from both the inner shelf and shelf break; spawning fractions and egg densities were high inshore and low offshore. These findings suggest complex spatio-temporal patterns of spawning, different to previous studies suggesting that most spawning occurred at the shelf break (similar to 200 m). Eggs were most abundant in sea surface temperatures (SSTs) of 15-20 degrees C and at depths of &lt;130 m. Future ichthyoplankton surveys should target waters with SSTs of 14-23 degrees C and depths of 30-250 m. Future adult surveys should sample the same range of depths and latitudes as the ichthyoplankton surveys and be structured as systematically as permitted by the availability of habitats suitable for demersal trawling. The DEPM does not provide information about the abundance of non-spawning adults outside the main spawning area. Extending future adult surveys beyond the spawning area would address this limitation by providing estimates of the distribution and relative abundance of adults across the entire range of the population. Findings of this study will help to improve the design of future DEPM surveys. (C) 2016 Elsevier B.V. All rights reserved.</t>
  </si>
  <si>
    <t>[Sexton, Stuart C.; Huveneers, Charlie] Flinders Univ S Australia, Sch Biol Sci, GPO Box 2100, Adelaide, SA 5001, Australia; [Sexton, Stuart C.; Ward, Tim M.] South Australian Res &amp; Dev Inst, POB 120, Henley Beach, SA 5022, Australia</t>
  </si>
  <si>
    <t>Flinders University South Australia; South Australian Research &amp; Development Institute (SARDI)</t>
  </si>
  <si>
    <t>Sexton, SC (corresponding author), Flinders Univ S Australia, Sch Biol Sci, GPO Box 2100, Adelaide, SA 5001, Australia.</t>
  </si>
  <si>
    <t>sext0027@flinders.edu.au</t>
  </si>
  <si>
    <t>WARD, Timothy Mark/KDN-7596-2024</t>
  </si>
  <si>
    <t>WARD, Timothy Mark/0000-0002-9003-2772; Huveneers, Charlie/0000-0001-8937-1358</t>
  </si>
  <si>
    <t>Fisheries Research and Development Corporation (FRDC) [2013/053]; South Australian Research and Development Institute (SARDI); Institute of Marine and Antarctic studies</t>
  </si>
  <si>
    <t>Fisheries Research and Development Corporation (FRDC)(Fisheries R&amp;D Corp); South Australian Research and Development Institute (SARDI); Institute of Marine and Antarctic studies</t>
  </si>
  <si>
    <t>The Fisheries Research and Development Corporation (FRDC) funded the DEPM study (Project No: 2013/053) that provided data for this project. The South Australian Research and Development Institute (SARDI) and Institute of Marine and Antarctic studies provided in-kind support. We thank the masters, crews, owners and staff of the Dell Richey II and FV Western Alliance for their professional and cheerful assistance. Mr Alex Ivey, Dr John Keane, Mr Owen Burnell, Mr Matt Lloyd, Mr Graham Hooper and Mr Lorenzo Andreacchio (SARDI) are thanked for their efforts in the field and the laboratory. Dr Chris Leigh (University of Adelaide) did the histology. Two anonymous reviewers provided comments that improved the quality of the manuscript.</t>
  </si>
  <si>
    <t>10.1016/j.fishres.2016.08.029</t>
  </si>
  <si>
    <t>WOS:000390494900023</t>
  </si>
  <si>
    <t>Jeanniard-du-Dot, T; Guinet, C; Arnould, JPY; Speakman, JR; Trites, AW</t>
  </si>
  <si>
    <t>Jeanniard-du-Dot, Tiphaine; Guinet, Christophe; Arnould, John P. Y.; Speakman, John R.; Trites, Andrew W.</t>
  </si>
  <si>
    <t>Accelerometers can measure total and activity-specific energy expenditures in free-ranging marine mammals only if linked to time-activity budgets</t>
  </si>
  <si>
    <t>FUNCTIONAL ECOLOGY</t>
  </si>
  <si>
    <t>acceleration; Antarctic fur seal; energy expenditure; foraging; metabolic rate; northern fur seal; time-activity budget; VeDBA</t>
  </si>
  <si>
    <t>DOUBLY LABELED WATER; STELLER SEA LIONS; HEART-RATE; OXYGEN-CONSUMPTION; METABOLIC-RATE; BODY ACCELERATION; EUMETOPIAS-JUBATUS; ANIMALS; BEHAVIOR; MODEL</t>
  </si>
  <si>
    <t>1. Energy expenditure is an important component of foraging ecology, but is extremely difficult to estimate in free-ranging animals and depends on how animals partition their time between different activities during foraging. Acceleration data have emerged as a new way to determine energy expenditure at a fine scale but this needs to be tested and validated in wild animals. 2. This study investigated whether vectorial dynamic body acceleration (VeDBA) could accurately predict the energy expended by marine predators during a full foraging trip. We also aimed to determine whether the accuracy of predictions of energy expenditure derived from acceleration increased when partitioned by different types of at-sea activities (i.e. diving, transiting, resting and surface activities). 3. To do so, we equipped 20 lactating northern (Callorhinus ursinus) and 20 lactating Antarctic fur seals (Arctocephalus gazella) with GPS, time-depth recorders and tri-axial accelerometers and obtained estimates of field metabolic rates using the doubly labelled water (DLW) method. VeDBA was derived from tri-axial acceleration, and at-sea activities (diving, transiting, resting and surface activities) were determined using dive depth, tri-axial acceleration and travelling speed. 4. We found that VeDBA did not accurately predict the total energy expended by fur seals during their full foraging trips (R-2 = 0.36). However, the accuracy of VeDBA as a predictor of total energy expenditure increased significantly when foraging trips were partitioned by activity and when activity-specific VeDBA was paired with time-activity budgets (R-2 = 0.70). Activity-specific VeDBA also accurately predicted the energy expenditures of each activity independent of each other (R-2 &gt; 0.85). 5. Our study confirms that acceleration is a promising way to estimate energy expenditures of free-ranging marine mammals at a fine scale never attained before. However, it shows that it needs to be based on the time-activity budgets that make up foraging trips rather than being derived as a single measure of VeDBA applied to entire foraging trips. Our activity-based method provides a cost-effective means to accurately calculate energy expenditures of fur seals using acceleration and time-activity budgets, that can be transfered to studies on other species.</t>
  </si>
  <si>
    <t>[Jeanniard-du-Dot, Tiphaine; Trites, Andrew W.] Univ British Columbia, Inst Oceans &amp; Fisheries, Marine Mammal Res Unit, 2202 Main Mall,AERL Bldg, Vancouver, BC V6T 1Z4, Canada; [Jeanniard-du-Dot, Tiphaine; Guinet, Christophe] CNRS, Ctr Etud Biol Chize, F-79360 Villiers En Bois, France; [Arnould, John P. Y.] Deakin Univ, Sch Life &amp; Environm Sci, 221 Burwood Highway, Burwood, Vic 3125, Australia; [Speakman, John R.] Inst Biol &amp; Environm Sci, Zool Bldg,Tillydrone Ave, Aberdeen AB24 2TZ, Scotland</t>
  </si>
  <si>
    <t>Jeanniard-du-Dot, T (corresponding author), Univ British Columbia, Inst Oceans &amp; Fisheries, Marine Mammal Res Unit, 2202 Main Mall,AERL Bldg, Vancouver, BC V6T 1Z4, Canada.;Jeanniard-du-Dot, T (corresponding author), CNRS, Ctr Etud Biol Chize, F-79360 Villiers En Bois, France.</t>
  </si>
  <si>
    <t>Trites, Andrew/K-5648-2012; John, Speakman R/A-9494-2008; Jeanniard, Tiphaine/ABF-8836-2020; Guinet, Christophe/AAR-8457-2020</t>
  </si>
  <si>
    <t>Institut Paul-Emile Victor; NPRB; NSERC; NOAA; North Pacific Universities Marine Mammal Research Consortium through the North Pacific Marine Science Foundation</t>
  </si>
  <si>
    <t>Institut Paul-Emile Victor; NPRB; NSERC(Natural Sciences and Engineering Research Council of Canada (NSERC)); NOAA(National Oceanic Atmospheric Admin (NOAA) - USA); North Pacific Universities Marine Mammal Research Consortium through the North Pacific Marine Science Foundation</t>
  </si>
  <si>
    <t>We thank Alistair Baylis, Rachel Orben, Michelle Barbieri, Nory El Ksabi and Jade Vacquie Garcia for their help in collecting the data. We are also thankful to the Institut Paul-Emile Victor for their logistic and financial support to the Kerguelen field season and to NPRB and NSERC for funding this project. This study was also supported in part by NOAA and the North Pacific Universities Marine Mammal Research Consortium through the North Pacific Marine Science Foundation. All data were collected under the US NMFS permit # 14329-01, the University of British Columbia animal care permit # A10-0364 and the ethical regulations approval from the French Polar Institute (IPEV).</t>
  </si>
  <si>
    <t>0269-8463</t>
  </si>
  <si>
    <t>1365-2435</t>
  </si>
  <si>
    <t>FUNCT ECOL</t>
  </si>
  <si>
    <t>Funct. Ecol.</t>
  </si>
  <si>
    <t>10.1111/1365-2435.12729</t>
  </si>
  <si>
    <t>EL1IO</t>
  </si>
  <si>
    <t>WOS:000394374100012</t>
  </si>
  <si>
    <t>Held, BW; Blanchette, RA</t>
  </si>
  <si>
    <t>Held, Benjamin W.; Blanchette, Robert A.</t>
  </si>
  <si>
    <t>Deception Island, Antarctica, harbors a diverse assemblage of wood decay fungi</t>
  </si>
  <si>
    <t>FUNGAL BIOLOGY</t>
  </si>
  <si>
    <t>Ascomycota; Basidiomycota; Biodeterioration; Fungal diversity; Historic preservation; Polar biology</t>
  </si>
  <si>
    <t>HISTORIC EXPEDITION HUTS; DARK SEPTATE ENDOPHYTES; ROSS ISLAND; SOFT-ROT; PLANTS; SOILS</t>
  </si>
  <si>
    <t>Very little is known about fungal diversity in Antarctica as compared to other biomes and how these important organisms function in this unusual ecosystem. Perhaps one of the most unusual ecosystems is that of Deception Island; an active volcanic island part of the South Shetland Islands of the Antarctic Peninsula. Here we describe the fungal diversity associated with historic wood from structures on the island, which reveals a diverse fungal assemblage of known wood decay fungi as well as the discovery of undescribed species. The major group of wood decay fungi identified were species of Cadophora and as shown in previous studies in other geographic regions of Antarctica, they caused a soft rot type of decay in the introduced woods. Additionally, unlike other areas of Antarctica that have been studied, filamentous basidiomycetes (Hypochniciellum spp. and Pholiota spp.) were also identified that have different modes of degradation including brown and white rot. Matches of fungal sequences to known species in temperate regions likely introduced on building materials indicates human influences and volcanic activity have greatly impacted fungal diversity. Lahars (mudslides from volcanic activity) have partially buried many of the structures and the buried environment as well as the moist, warm soils provided conditions conducive for fungal growth that are not found in other regions of Antarctica. The diverse assemblage of decay fungi and different forms of wood decomposition add to the difficulty of conserving wooden structures at these important polar heritage sites. (C) 2016 British Mycological Society. Published by Elsevier Ltd. All rights reserved.</t>
  </si>
  <si>
    <t>[Held, Benjamin W.; Blanchette, Robert A.] Univ Minnesota, Dept Plant Pathol, 495 Borlaug Hall,1991 Upper Buford Circle, St Paul, MN 55108 USA</t>
  </si>
  <si>
    <t>University of Minnesota System; University of Minnesota Twin Cities</t>
  </si>
  <si>
    <t>Held, BW (corresponding author), Univ Minnesota, Dept Plant Pathol, 495 Borlaug Hall,1991 Upper Buford Circle, St Paul, MN 55108 USA.</t>
  </si>
  <si>
    <t>bheld@umn.edu</t>
  </si>
  <si>
    <t>Blanchette, Robert A./0000-0003-2819-6511</t>
  </si>
  <si>
    <t>National Science Foundation [0537143]; Directorate For Geosciences; Division Of Polar Programs [0537143] Funding Source: National Science Foundation</t>
  </si>
  <si>
    <t>National Science Foundation(National Science Foundation (NSF)); Directorate For Geosciences; Division Of Polar Programs(National Science Foundation (NSF)NSF - Directorate for Geosciences (GEO))</t>
  </si>
  <si>
    <t>The authors would like to thank Brett Arenz and Andy Graves for assistance in collecting samples, the staff and crew of the Lawrence M. Gould research vessel. This research is supported by National Science Foundation grant #0537143.</t>
  </si>
  <si>
    <t>1878-6146</t>
  </si>
  <si>
    <t>1878-6162</t>
  </si>
  <si>
    <t>FUNGAL BIOL-UK</t>
  </si>
  <si>
    <t>Fungal Biol.</t>
  </si>
  <si>
    <t>10.1016/j.funbio.2016.11.009</t>
  </si>
  <si>
    <t>EJ5MQ</t>
  </si>
  <si>
    <t>WOS:000393262700005</t>
  </si>
  <si>
    <t>Lara, Y; Durieu, B; Cornet, L; Verlaine, O; Rippka, R; Pessi, IS; Misztak, A; Joris, B; Javaux, EJ; Baurain, D; Wilmotte, A</t>
  </si>
  <si>
    <t>Lara, Yannick; Durieu, Benoit; Cornet, Luc; Verlaine, Olivier; Rippka, Rosmarie; Pessi, Igor S.; Misztak, Agnieszka; Joris, Bernard; Javaux, Emmanuelle J.; Baurain, Denis; Wilmotte, Annick</t>
  </si>
  <si>
    <t>Draft Genome Sequence of the Axenic Strain Phormidesmis priestleyi ULC007, a Cyanobacterium Isolated from Lake Bruehwiler (Larsemann Hills, Antarctica)</t>
  </si>
  <si>
    <t>Phormidesmis priestleyi ULC007 is an Antarctic freshwater cyanobacterium. Its draft genome is 5,684,389 bp long. It contains a total of 5,604 protein-encoding genes, of which 22.2% have no clear homologues in known genomes. To date, this draft genome is the first one ever determined for an axenic cyanobacterium from Antarctica.</t>
  </si>
  <si>
    <t>[Lara, Yannick; Durieu, Benoit; Verlaine, Olivier; Pessi, Igor S.; Joris, Bernard; Wilmotte, Annick] Univ Liege, InBioS Ctr Prot Engn, Liege, Belgium; [Cornet, Luc; Misztak, Agnieszka; Baurain, Denis] Univ Liege, InBioS PhytoSYSTEMS, Eukaryot Phylogen, Liege, Belgium; [Cornet, Luc; Javaux, Emmanuelle J.] Univ Liege, UR Geol Palaeobiogeol Bot Palynol, Liege, Belgium; [Rippka, Rosmarie] Inst Pasteur, CNRS, Unite Cyanobacteries, Unite Rech Associee URA 2172, Paris, France; [Wilmotte, Annick] Univ Liege, BCCM ULC, Liege, Belgium</t>
  </si>
  <si>
    <t>University of Liege; University of Liege; University of Liege; Centre National de la Recherche Scientifique (CNRS); Pasteur Network; Universite Paris Cite; Institut Pasteur Paris; University of Liege</t>
  </si>
  <si>
    <t>Lara, Y; Wilmotte, A (corresponding author), Univ Liege, InBioS Ctr Prot Engn, Liege, Belgium.;Wilmotte, A (corresponding author), Univ Liege, BCCM ULC, Liege, Belgium.</t>
  </si>
  <si>
    <t>ylara@ulg.ac.be; awilmotte@ulg.ac.be</t>
  </si>
  <si>
    <t>Baurain, Denis/S-4048-2019; Wilmotte, Annick/H-1686-2011</t>
  </si>
  <si>
    <t>Baurain, Denis/0000-0003-2388-6185; Lara, Yannick/0000-0002-4444-0767; Wilmotte, Annick/0000-0003-3546-3489; Misztak, Agnieszka/0000-0001-5977-3532; Pessi, Igor/0000-0001-5926-7496</t>
  </si>
  <si>
    <t>BELSPO project CCAMBIO [SD/BA/03A]; FRS-FNRS (National Fund for Scientific Research); Planet TOPERS IUAP (Inter-university attraction poles); BELSPO project (Belgian Science Policy); Planet TOPERS IUAP; ERC StG ELITE; Republic of Poland; French-speaking Community; Walloon region of Belgium; Actions de Recherche Concertees (ARC) (NetRBI 2012-2017) of the Belgium French Community; University of Liege, Fonds speciaux pour la recherche, Credit de demarrage 2012 [SFRD-12/04]; FRS-FNRS Credit de recherche 2014 [CDR J.0080.15]</t>
  </si>
  <si>
    <t>BELSPO project CCAMBIO; FRS-FNRS (National Fund for Scientific Research)(Fonds de la Recherche Scientifique - FNRS); Planet TOPERS IUAP (Inter-university attraction poles); BELSPO project (Belgian Science Policy); Planet TOPERS IUAP; ERC StG ELITE(European Research Council (ERC)); Republic of Poland; French-speaking Community; Walloon region of Belgium; Actions de Recherche Concertees (ARC) (NetRBI 2012-2017) of the Belgium French Community; University of Liege, Fonds speciaux pour la recherche, Credit de demarrage 2012; FRS-FNRS Credit de recherche 2014(Fonds de la Recherche Scientifique - FNRS)</t>
  </si>
  <si>
    <t>This work was supported by the BELSPO project CCAMBIO (SD/BA/03A). I.S.P. and L.C. had a PhD FRIA fellowship from the FRS-FNRS (National Fund for Scientific Research), and now L.C. has a PhD fellowship from Planet TOPERS IUAP (Inter-university attraction poles), BELSPO project (Belgian Science Policy). E.J. has funding from Planet TOPERS IUAP and ERC StG ELITE. A.M. was partially financed by the bilateral Scientific and technical cooperation between the Republic of Poland and French-speaking Community and the Walloon region of Belgium (2014-2016). A.W. is a research associate of the FRS-FNRS. This work was mostly carried out on the workstation Brutus funded by the Actions de Recherche Concertees (ARC) (NetRBI 2012-2017) of the Belgium French Community, but also benefited from computational resources made available on the durandal grid computer funded, among others, by a grant from the University of Liege, Fonds speciaux pour la recherche, Credit de demarrage 2012 (SFRD-12/04), and by a grant from the FRS-FNRS  Credit de recherche 2014 (CDR J.0080.15).</t>
  </si>
  <si>
    <t>e01546-16</t>
  </si>
  <si>
    <t>10.1128/genomeA.01546-16</t>
  </si>
  <si>
    <t>VI1EA</t>
  </si>
  <si>
    <t>WOS:000460681200005</t>
  </si>
  <si>
    <t>Kavan, J; Ondruch, J; Nyvlt, D; Hrbácek, F; Carrivick, JL; Láska, K</t>
  </si>
  <si>
    <t>Kavan, Jan; Ondruch, Jakub; Nyvlt, Daniel; Hrbacek, Filip; Carrivick, Jonathan L.; Laska, Kamil</t>
  </si>
  <si>
    <t>Seasonal hydrological and suspended sediment transport dynamics in proglacial streams, James Ross Island, Antarctica</t>
  </si>
  <si>
    <t>GEOGRAFISKA ANNALER SERIES A-PHYSICAL GEOGRAPHY</t>
  </si>
  <si>
    <t>James Ross Island; Antarctic Peninsula; hydrology; proglacial; suspended sediment; sediment sources; hydrometeorology; XRF</t>
  </si>
  <si>
    <t>MCMURDO DRY VALLEYS; EXCHANGE CONTROLS; ELLESMERE-ISLAND; ULU PENINSULA; GLACIER; ZONE; RIVER; CATCHMENT; DISCHARGE; BASIN</t>
  </si>
  <si>
    <t>Rapid warming of the Antarctic Peninsula is producing accelerated glacier mass loss and can be expected to have significant impacts on meltwater runoff regimes and proglacial fluvial activity. This study presents analysis of the hydrology and suspended sediment dynamics of two proglacial streams on James Ross Island, Antarctic Peninsula. Mean water discharge during 8 January 2015 to 18 February 2015 reached 0.19m(3) s(-1) and 0.06m(3) s(-1) for Bohemian Stream and Algal Stream, respectively, equivalent to specific runoff of 76 and 60mm month(-1). The daily discharge regime strongly correlated with air and ground temperatures. The effect of global radiation on proglacial water discharge was found low to negligible. Suspended sediment concentrations of Bohemian Stream were very high (up to 2927mg L-1) due to aeolian supply and due to the high erodibility of local rocks. Total sediment yield (186tkm(-2)yr(-1)) was high for (nearly) deglaciated catchments, but relatively low in comparison with streams draining more glaciated alpine and arctic catchments. The sediment provenance was mostly local Cretaceous marine and aeolian sediments; volcanic rocks are not an important source for suspended load. High Rb/Sr ratios for some samples suggested chemical weathering. Overall, this monitoring of proglacial hydrological and suspended sediment dynamics contributes to the dearth of such data from Antarctic environments and offers an insight to the nature of the proglacial fluvial activity, which is likely to be in a transient state with ongoing climate change.</t>
  </si>
  <si>
    <t>[Kavan, Jan; Ondruch, Jakub; Nyvlt, Daniel; Hrbacek, Filip; Laska, Kamil] Masaryk Univ, Fac Sci, Dept Geog, Koltarska 2, CS-61137 Brno, Czech Republic; [Kavan, Jan] Univ South Bohemia, Ctr Polar Ecol, Fac Sci, Ceske Budejovice, Czech Republic; [Nyvlt, Daniel] Czech Geol Survey, Brno Branch, Brno, Czech Republic; [Carrivick, Jonathan L.] Univ Leeds, Sch Geog &amp; Water Leeds, Leeds, W Yorkshire, England</t>
  </si>
  <si>
    <t>Masaryk University Brno; University of South Bohemia Ceske Budejovice; Czech Geological Survey; University of Leeds</t>
  </si>
  <si>
    <t>Ondruch, J (corresponding author), Masaryk Univ, Fac Sci, Dept Geog, Koltarska 2, CS-61137 Brno, Czech Republic.</t>
  </si>
  <si>
    <t>jakub.ondruch@gmail.com</t>
  </si>
  <si>
    <t>Laska, Kamil/L-7875-2013; Nyvlt, Daniel/J-6504-2019; Hrbacek, Filip/ABG-4319-2020; Kavan, Jan/ACU-4986-2022</t>
  </si>
  <si>
    <t>Laska, Kamil/0000-0002-5199-9737; Nyvlt, Daniel/0000-0002-6876-490X; Hrbacek, Filip/0000-0001-5032-9216; Kavan, Jan/0000-0003-4524-3009; Carrivick, Jonathan/0000-0002-9286-5348</t>
  </si>
  <si>
    <t>Masaryk University [MUNI/A/1315/2015]; Ministry of Education Youth and Sports (MEYS) [LM2010009, LM2015078]</t>
  </si>
  <si>
    <t>Masaryk University; Ministry of Education Youth and Sports (MEYS)(Ministry of Education, Youth &amp; Sports - Czech Republic)</t>
  </si>
  <si>
    <t>The work was supported by the Masaryk University project MUNI/A/1315/2015: Integrated research of environmental changes in the landscape sphere. The work was also supported by the Ministry of Education Youth and Sports (MEYS) large infrastructure projects LM2010009 CzechPolar and LM2015078 Czech Polar Research Infrastructure.</t>
  </si>
  <si>
    <t>0435-3676</t>
  </si>
  <si>
    <t>1468-0459</t>
  </si>
  <si>
    <t>GEOGR ANN A</t>
  </si>
  <si>
    <t>Geogr. Ann. Ser. A-Phys. Geogr.</t>
  </si>
  <si>
    <t>10.1080/04353676.2016.1257914</t>
  </si>
  <si>
    <t>EM1VB</t>
  </si>
  <si>
    <t>WOS:000395104100004</t>
  </si>
  <si>
    <t>Crawford, O; Al-Attar, D; Tromp, J; Mitrovica, JX</t>
  </si>
  <si>
    <t>Crawford, Ophelia; Al-Attar, David; Tromp, Jeroen; Mitrovica, Jerry X.</t>
  </si>
  <si>
    <t>Forward and inverse modelling of post-seismic deformation</t>
  </si>
  <si>
    <t>Numerical solutions; Inverse theory; Transient deformation; Dynamics of lithosphere and mantle</t>
  </si>
  <si>
    <t>VISCOELASTIC RELAXATION; ADJOINT METHODS; MOJAVE-DESERT; EARTH MODELS; MANTLE FLOW; M-W; FLUID; TOMOGRAPHY; VISCOSITY; RHEOLOGY</t>
  </si>
  <si>
    <t>We consider a new approach to both the forward and inverse problems in post-seismic deformation. We present a method for forward modelling post-seismic deformation in a self-gravitating, heterogeneous and compressible earth with a variety of linear and nonlinear rheologies. We further demonstrate how the adjoint method can be applied to the inverse problem both to invert for rheological structure and to calculate the sensitivity of a given surface measurement to changes in rheology or time-dependence of the source. Both the forward and inverse aspects are illustrated with several numerical examples implemented in a spherically symmetric earth model.</t>
  </si>
  <si>
    <t>[Crawford, Ophelia; Al-Attar, David] Univ Cambridge, Dept Earth Sci, Bullard Labs, Madingley Rd, Cambridge CB3 0EZ, England; [Tromp, Jeroen] Princeton Univ, Dept Geosci, Princeton, NJ 08544 USA; [Tromp, Jeroen] Princeton Univ, Program Appl &amp; Computat Math, Princeton, NJ 08544 USA; [Mitrovica, Jerry X.] Harvard Univ, Dept Earth &amp; Planetary Sci, 20 Oxford St, Cambridge, MA 02138 USA</t>
  </si>
  <si>
    <t>University of Cambridge; Princeton University; Princeton University; Harvard University</t>
  </si>
  <si>
    <t>Crawford, O (corresponding author), Univ Cambridge, Dept Earth Sci, Bullard Labs, Madingley Rd, Cambridge CB3 0EZ, England.</t>
  </si>
  <si>
    <t>oc251@cam.ac.uk</t>
  </si>
  <si>
    <t>Tromp, Jeroen/B-6185-2015</t>
  </si>
  <si>
    <t>Tromp, Jeroen/0000-0002-2742-8299</t>
  </si>
  <si>
    <t>NERC studentship; CASE award from British Antarctic Survey; Natural Environment Research Council [1508942] Funding Source: researchfish</t>
  </si>
  <si>
    <t>NERC studentship(UK Research &amp; Innovation (UKRI)Natural Environment Research Council (NERC)); CASE award from British Antarctic Survey; Natural Environment Research Council(UK Research &amp; Innovation (UKRI)Natural Environment Research Council (NERC))</t>
  </si>
  <si>
    <t>We thank John Woodhouse for providing a new routine for efficient computation of generalized Legendre functions. We would also like to thank Alex Copley for a number of useful conversations. We are very grateful to reviewers Fred Pollitz and Shijie Zhong, and editor Michael Ritzwoller, for their constructive comments and suggestions which have improved the paper greatly. OC is supported by an NERC studentship and a CASE award from British Antarctic Survey.</t>
  </si>
  <si>
    <t>10.1093/gji/ggw414</t>
  </si>
  <si>
    <t>EO6QM</t>
  </si>
  <si>
    <t>WOS:000396817600016</t>
  </si>
  <si>
    <t>Elliot, DH; Fanning, CM; Isbell, JL; Hulett, SRW</t>
  </si>
  <si>
    <t>Elliot, David H.; Fanning, C. Mark; Isbell, John L.; Hulett, Samuel R. W.</t>
  </si>
  <si>
    <t>The Permo-Triassic Gondwana sequence, central Transantarctic Mountains, Antarctica: Zircon geochronology, provenance, and basin evolution</t>
  </si>
  <si>
    <t>GEOSPHERE</t>
  </si>
  <si>
    <t>U-PB GEOCHRONOLOGY; MARIE BYRD LAND; PRINCE CHARLES MOUNTAINS; UPPER FREMOUW FORMATION; NEW-ZEALAND; PACIFIC MARGIN; REVISED STRATIGRAPHY; TECTONIC EVOLUTION; BEACON SUPERGROUP; MEDIAN BATHOLITH</t>
  </si>
  <si>
    <t>The most complete Permian-Triassic Gondwana succession in Antarctica crops out in the central Trans-ant-arc-tic Mountains. The lower Permian strata were deposited in an intracratonic basin that evolved into a foreland basin in late Permian time. Sedimentary petrology and paleocurrent data have been interpreted as indicating a granitic (craton) provenance and a West Antarctic volcanic provenance. To address the West Antarctic provenance and evolution of the detrital input, detrital-zircon grains from nine sandstones (plus three sandstones reported previously) representing the full extent of the Permo-Triassic succession exposed on that flank of the basin, have been analyzed by sensitive high-resolution ion microprobe. Results define three provenances: an early (early to middle Permian) provenance that is dominated by zircons having Ross orogen ages (600-480 Ma); a middle (late Permian) provenance dominated by Permian zircons with subordinate older magmatic arc grains plus lesser Ross orogen-age grains; and a late (Triassic) provenance, which is quite variable and in which the predominant Triassic arc component ranges from very minor to significant and again with a component of Ross orogenage grains. Detrital zircons imply a more extensive Permo-Triassic arc, in time and space, on the Gondwana margin than is evident from outcrop data. The zircon data are integrated into a model for basin evolution and infilling, providing broad constraints on the timing of tectonic events and the provenance.</t>
  </si>
  <si>
    <t>[Elliot, David H.] Ohio State Univ, Sch Earth Sci, Columbus, OH 43210 USA; [Elliot, David H.] Ohio State Univ, Byrd Polar &amp; Climate Res Ctr, Columbus, OH 43210 USA; [Fanning, C. Mark] Australian Natl Univ, Res Sch Earth Sci, Canberra, ACT 0200, Australia; [Isbell, John L.] Univ Wisconsin, Dept Geosci, Milwaukee, WI 53201 USA; [Hulett, Samuel R. W.] Notre Dame Univ, Dept Earth Atmospher &amp; Planetary Sci, Notre Dame, IN 46556 USA</t>
  </si>
  <si>
    <t>University System of Ohio; Ohio State University; University System of Ohio; Ohio State University; Australian National University; University of Wisconsin System; University of Wisconsin Milwaukee; University of Notre Dame</t>
  </si>
  <si>
    <t>Elliot, DH (corresponding author), Ohio State Univ, Sch Earth Sci, Columbus, OH 43210 USA.;Elliot, DH (corresponding author), Ohio State Univ, Byrd Polar &amp; Climate Res Ctr, Columbus, OH 43210 USA.</t>
  </si>
  <si>
    <t>elliot.1@osu.edu</t>
  </si>
  <si>
    <t>Fanning, C. Mark/I-6449-2016</t>
  </si>
  <si>
    <t>National Science Foundation (NSF) [ANT 0944662, ANT 0838851]</t>
  </si>
  <si>
    <t>National Science Foundation (NSF)(National Science Foundation (NSF))</t>
  </si>
  <si>
    <t>This research was supported by National Science Foundation (NSF) grants ANT 0944662 to DHE and ANT 0838851 to JLI. The Ohio Range sandstone was collected by W.E. Long and provided by the U.S. Polar Rock Repository at Ohio State University. DHE wishes to acknowledge significant support over many years from the Office of Polar Programs at NSF. Review by John Bradshaw and comments by the editor were particularly helpful in improving the manuscript. This paper is Byrd Polar Research Center contribution no. 1550.</t>
  </si>
  <si>
    <t>1553-040X</t>
  </si>
  <si>
    <t>Geosphere</t>
  </si>
  <si>
    <t>10.1130/GES01345.1</t>
  </si>
  <si>
    <t>EO6SD</t>
  </si>
  <si>
    <t>WOS:000396821900010</t>
  </si>
  <si>
    <t>Nicoll, MAC; Nevoux, M; Jones, CG; Ratcliffe, N; Ruhomaun, K; Tatayah, V; Norris, K</t>
  </si>
  <si>
    <t>Nicoll, Malcolm A. C.; Nevoux, Marie; Jones, Carl G.; Ratcliffe, Norman; Ruhomaun, Kevin; Tatayah, Vikash; Norris, Ken</t>
  </si>
  <si>
    <t>Contrasting effects of tropical cyclones on the annual survival of a pelagic seabird in the Indian Ocean</t>
  </si>
  <si>
    <t>adult survival; climate change; hurricane; juvenile survival; migration; mortality; petrel; Pterodroma; typhoon</t>
  </si>
  <si>
    <t>CLIMATE-CHANGE; ARABIAN SEA; CAPTURE-RECAPTURE; BREEDING SUCCESS; IMPACT; EVENTS; REPRODUCTION; HURRICANES; DEMOGRAPHY; PATTERNS</t>
  </si>
  <si>
    <t>Tropical cyclones are renowned for their destructive nature and are an important feature of marine and coastal tropical ecosystems. Over the last 40years, their intensity, frequency and tracks have changed, partly in response to ocean warming, and future predictions indicate that these trends are likely to continue with potential consequences for human populations and coastal ecosystems. However, our understanding of how tropical cyclones currently affect marine biodiversity, and pelagic species in particular, is limited. For seabirds, the impacts of cyclones are known to be detrimental at breeding colonies, but impacts on the annual survival of pelagic adults and juveniles remain largely unexplored and no study has simultaneously explored the direct impacts of cyclones on different life-history stages across the annual life cycle. We used a 20-year data set on tropical cyclones in the Indian Ocean, tracking data from 122 Round Island petrels and long-term capture-mark-recapture data to explore the impacts of tropical cyclones on the survival of adult and juvenile (first year) petrels during both the breeding and migration periods. The tracking data showed that juvenile and adult Round Island petrels utilize the three cyclone regions of the Indian Ocean and were potentially exposed to cyclones for a substantial part of their annual cycle. However, only juvenile petrel survival was affected by cyclone activity; negatively by a strong cyclone in the vicinity of the breeding colony and positively by increasing cyclone activity in the Northern Indian Ocean where they spend the majority of their first year at sea. These contrasting effects raise the intriguing prospect that the projected changes in cyclones under current climate change scenarios may have positive as well as the more commonly perceived negative impacts on marine biodiversity.</t>
  </si>
  <si>
    <t>[Nicoll, Malcolm A. C.; Norris, Ken] Zool Soc London, Inst Zool, Regents Pk, London NW1 4RY, England; [Nevoux, Marie] INRA, UMR Ecol &amp; Sante Ecosyst, Equipe Conservat &amp; Restaurat Ecosyst Aquat, 65 Rue St Brieuc, F-35042 Rennes, France; [Jones, Carl G.] Durrell Wildlife Conservat Trust, Trinity, Jersey, England; [Jones, Carl G.; Tatayah, Vikash] Mauritian Wildlife Fdn, Grannum Rd, Vacoas, Mauritius; [Ratcliffe, Norman] British Antarctic Survey, Madingley Rd, Cambridge CB3 0ET, England; [Ruhomaun, Kevin] Govt Mauritius, Natl Pk &amp; Conservat Serv, Reduit, Mauritius</t>
  </si>
  <si>
    <t>Zoological Society of London; INRAE; Universite de Rennes; UK Research &amp; Innovation (UKRI); Natural Environment Research Council (NERC); NERC British Antarctic Survey</t>
  </si>
  <si>
    <t>Nicoll, MAC (corresponding author), Zool Soc London, Inst Zool, Regents Pk, London NW1 4RY, England.</t>
  </si>
  <si>
    <t>malcolm.nicoll@ioz.ac.uk</t>
  </si>
  <si>
    <t>Natural Environmental Research Council (UK) [NE/H5081500]; MWF; NPCS; Natural Environment Research Council [NE/H003282/1, NE/H003282/2, bas0100035] Funding Source: researchfish; NERC [NE/H003282/2, NE/H003282/1, bas0100035] Funding Source: UKRI</t>
  </si>
  <si>
    <t>Natural Environmental Research Council (UK)(UK Research &amp; Innovation (UKRI)Natural Environment Research Council (NERC)); MWF; NPCS; Natural Environment Research Council(UK Research &amp; Innovation (UKRI)Natural Environment Research Council (NERC)); NERC(UK Research &amp; Innovation (UKRI)Natural Environment Research Council (NERC))</t>
  </si>
  <si>
    <t>This work would not have been possible without the dedication, over the last 20 years, of numerous staff and volunteers from the Mauritian Wildlife Foundation (MWF) and the National Parks and Conservation Service (NPCS) to establishing a comprehensive ringing and recovery programme on the Round Island petrel. Of particular note are the contributions made by Vimul Nundlaul, Daryl Birch, Pete Haverson, Nicolas Zuel, Martine Goder, Richard Baxter, Pat Banville, Katherine Booth Jones, Lucy Rouse and Helen Gath in facilitating the petrel research programme on the island. The petrel tracking programme and Malcolm Nicoll were supported by the Natural Environmental Research Council (UK) (Grant NE/H5081500) with in situ support from MWF and NPCS. The authors have no conflict of interest to declare.</t>
  </si>
  <si>
    <t>10.1111/gcb.13324</t>
  </si>
  <si>
    <t>EL0WU</t>
  </si>
  <si>
    <t>WOS:000394343300010</t>
  </si>
  <si>
    <t>Karelitz, SE; Uthicke, S; Foo, SA; Barker, MF; Byrne, M; Pecorino, D; Lamare, MD</t>
  </si>
  <si>
    <t>Karelitz, Sam E.; Uthicke, Sven; Foo, Shawna A.; Barker, Mike F.; Byrne, Maria; Pecorino, Danilo; Lamare, Miles D.</t>
  </si>
  <si>
    <t>Ocean acidification has little effect on developmental thermal windows of echinoderms from Antarctica to the tropics</t>
  </si>
  <si>
    <t>climate change; echinoderm; echinoderm development; ocean acidification; ocean warming; thermal window</t>
  </si>
  <si>
    <t>TEMPERATURE-DEPENDENT BIOGEOGRAPHY; NA+/K+-ATPASE ACTIVITY; HEAT-SHOCK PROTEINS; SEA-URCHIN SPERM; LARVAL DEVELOPMENT; MARINE-INVERTEBRATES; INTRACELLULAR-PH; CLIMATE-CHANGE; STERECHINUS NEUMAYERI; ENERGY-METABOLISM</t>
  </si>
  <si>
    <t>As the ocean warms, thermal tolerance of developmental stages may be a key driver of changes in the geographical distributions and abundance of marine invertebrates. Additional stressors such as ocean acidification may influence developmental thermal windows and are therefore important considerations for predicting distributions of species under climate change scenarios. The effects of reduced seawater pH on the thermal windows of fertilization, embryology and larval morphology were examined using five echinoderm species: two polar (Sterechinus neumayeri and Odontaster validus), two temperate (Fellaster zelandiae and Patiriella regularis) and one tropical (Arachnoides placenta). Responses were examined across 12-13 temperatures ranging from -1.1 degrees C to 5.7 degrees C (S.neumayeri), -0.5 degrees C to 10.7 degrees C (O.validus), 5.8 degrees C to 27 degrees C (F.zelandiae), 6.0 degrees C to 27.1 degrees C (P.regularis) and 13.9 degrees C to 34.8 degrees C (A.placenta) under present-day and near-future (2100+) ocean acidification conditions (-0.3 pH units) and for three important early developmental stages 1) fertilization, 2) embryo (prehatching) and 3) larval development. Thermal windows for fertilization were broad and were not influenced by a pH decrease. Embryological development was less thermotolerant. For O.validus, P.regularis and A.placenta, low pH reduced normal development, albeit with no effect on thermal windows. Larval development in all five species was affected by both temperature and pH; however, thermal tolerance was not reduced by pH. Results of this study suggest that in terms of fertilization and development, temperature will remain as the most important factor influencing species' latitudinal distributions as the ocean continues to warm and decrease in pH, and that there is little evidence of a synergistic effect of temperature and ocean acidification on the thermal control of species ranges.</t>
  </si>
  <si>
    <t>[Karelitz, Sam E.; Barker, Mike F.; Lamare, Miles D.] Univ Otago, Dept Marine Sci, 310 Castle St, Dunedin 9016, New Zealand; [Uthicke, Sven] Australian Inst Marine Sci, Townsville, Qld, Australia; [Foo, Shawna A.; Byrne, Maria] Univ Sydney, Sch Med Sci, Sydney, NSW, Australia; [Byrne, Maria] Univ Sydney, Sch Biol Sci, Sydney, NSW, Australia; [Pecorino, Danilo] Univ Genoa, Dept Earth Environm &amp; Life Sci DISTAV, Genoa, Italy</t>
  </si>
  <si>
    <t>University of Otago; Australian Institute of Marine Science; University of Sydney; University of Sydney; University of Genoa</t>
  </si>
  <si>
    <t>Karelitz, SE (corresponding author), Univ Otago, Dept Marine Sci, 310 Castle St, Dunedin 9016, New Zealand.</t>
  </si>
  <si>
    <t>karsa692@otago.ac.nz</t>
  </si>
  <si>
    <t>Byrne, Maria/K-6355-2016; Uthicke, Sven/F-1810-2010; Foo, Shawna/HKO-0078-2023</t>
  </si>
  <si>
    <t>Byrne, Maria/0000-0002-8902-9808; Uthicke, Sven/0000-0002-3476-6595; Foo, Shawna/0000-0002-7083-2377</t>
  </si>
  <si>
    <t>New Zealand Antarctic Institute Grant; University of Sydney</t>
  </si>
  <si>
    <t>New Zealand Antarctic Institute Grant; University of Sydney(University of Sydney)</t>
  </si>
  <si>
    <t>This research was supported by New Zealand Antarctic Institute Grant (MDL) and to PhD scholarship from the University of Sydney (SF). Thanks to Antarctica New Zealand and the Australian Institute of Marine Science for logistical support and to Professor Steve Wing (University of Otago) and Mr Rob Robbins (USAP) for collection of Sterechinus neumayeri and Odontaster validus specimens. We also thank Dr. Kim Currie and Kate Sparks (University of Otago) for assisting in water sample analysis.</t>
  </si>
  <si>
    <t>10.1111/gcb.13452</t>
  </si>
  <si>
    <t>WOS:000394343300018</t>
  </si>
  <si>
    <t>Jordan, TA; Ferraccioli, F; Leat, PT</t>
  </si>
  <si>
    <t>Jordan, T. A.; Ferraccioli, F.; Leat, P. T.</t>
  </si>
  <si>
    <t>New geophysical compilations link crustal block motion to Jurassic extension and strike-slip faulting in the Weddell Sea Rift System of West Antarctica</t>
  </si>
  <si>
    <t>Magnetic anomalies; Gravity anomalies; Continental rifting; Tectonics; Microcontinent</t>
  </si>
  <si>
    <t>DRONNING-MAUD-LAND; LARGE IGNEOUS PROVINCE; GONDWANA BREAK-UP; ELLSWORTH MOUNTAINS; EAST ANTARCTICA; FALKLAND ISLANDS; PENSACOLA MOUNTAINS; AEROMAGNETIC DATA; TRIPLE JUNCTION; DUFEK INTRUSION</t>
  </si>
  <si>
    <t>Gondwana breakup changed the global continental configuration, leading to opening of major oceanic gateways, shifts in the climate system and significant impacts on the biosphere, hydrosphere and cryosphere. Although of global importance, the earliest stages of the supercontinental fragmentation are poorly understood. Reconstructing the processes driving Gondwana breakup within the ice-covered Weddell Sea Rift System (WSRS) has proven particularly challenging. Paleomagnetic data and tectonic reconstructions of the WSRS region indicate that major Jurassic translation and rotation of microcontinental blocks were a key precursor to Gondwana breakup by seafloor spreading. However, geophysical interpretations have provided little support for major motion of crustal blocks during Jurassic extension in the WSRS. Here we present new compilations of airborne magnetic and airborne gravity data, together with digital enhancements and 2D models, enabling us to re-evaluate the crustal architecture of the WSRS and its tectonic and kinematic evolution. Two provinces are identified within the WSRS, a northern E/W trending province and a southern N/S trending province. A simple extensional or transtensional model including similar to 500 km of crustal extension and Jurassic magmatism accounts for the observed geophysical patterns. Magmatism is linked with rifting between South Africa and East Antarctica in the north, and associated with back-arc extension in the south. Our tectonic model implies similar to 30 degrees of Jurassic block rotation and juxtaposes the magnetically similar Haag Block and Shackleton Range, despite differences in both Precambrian and Pan African-age surface geology. Although geophysically favoured our new model cannot easily be reconciled with geological and paleomagnetic interpretations that require similar to 1500 km of motion and 90 degrees anticlockwise rotation of the Haag-Ellsworth Whitmore block from a pre-rift position adjacent to the Maud Belt. However, our model provides a simpler view of the WSRS as a broad Jurassic extensional/transtensional province within a distributed plate boundary between East and West Antarctica. (C) 2016 International Association for Gondwana Research. Published by Elsevier B.V. All rights reserved.</t>
  </si>
  <si>
    <t>[Jordan, T. A.; Ferraccioli, F.; Leat, P. T.] British Antarctic Survey, High Cross, Madingley Rd, Cambridge CB3 0ET, England; [Leat, P. T.] Univ Leicester, Dept Geol, Univ Rd, Leicester LE1 7RH, Leics, England</t>
  </si>
  <si>
    <t>UK Research &amp; Innovation (UKRI); Natural Environment Research Council (NERC); NERC British Antarctic Survey; University of Leicester</t>
  </si>
  <si>
    <t>Jordan, TA (corresponding author), British Antarctic Survey, High Cross, Madingley Rd, Cambridge CB3 0ET, England.</t>
  </si>
  <si>
    <t>tomj@bas.ac.uk</t>
  </si>
  <si>
    <t>Ferraccioli, Fausto/0000-0002-9347-4736</t>
  </si>
  <si>
    <t>UK Natural Environment Research Council (NERC) through the British Antarctic Survey Geology and Geophysics core programme; NERC [bas0100029, NE/G014248/1] Funding Source: UKRI; Natural Environment Research Council [NE/G014248/1, bas0100029] Funding Source: researchfish</t>
  </si>
  <si>
    <t>UK Natural Environment Research Council (NERC) through the British Antarctic Survey Geology and Geophysics core programme; NERC(UK Research &amp; Innovation (UKRI)Natural Environment Research Council (NERC)); Natural Environment Research Council(UK Research &amp; Innovation (UKRI)Natural Environment Research Council (NERC))</t>
  </si>
  <si>
    <t>We wish to thank British Antarctic Survey for logistical support of the surveys included in our compilation, and the many contributors to the ADMAP dataset. We also wish to thank Graham Eagles, Ian Dalziel and an anonymous third reviewer for their helpful and constructive comments on this paper. This work was supported by the UK Natural Environment Research Council (NERC) through the British Antarctic Survey Geology and Geophysics core programme.</t>
  </si>
  <si>
    <t>10.1016/j.gr.2016.09.009</t>
  </si>
  <si>
    <t>EQ2BQ</t>
  </si>
  <si>
    <t>WOS:000397873700003</t>
  </si>
  <si>
    <t>Román-González, A; Scourse, JD; Richardson, CA; Peck, LS; Bentley, MJ; Butler, PG</t>
  </si>
  <si>
    <t>Roman-Gonzalez, Alejandro; Scourse, James D.; Richardson, Christopher A.; Peck, Lloyd S.; Bentley, Michael J.; Butler, Paul G.</t>
  </si>
  <si>
    <t>A sclerochronological archive for Antarctic coastal waters based on the marine bivalve Yoldia eightsi (Jay, 1839) from the South Orkney Islands</t>
  </si>
  <si>
    <t>HOLOCENE</t>
  </si>
  <si>
    <t>Antarctica; Yoldia eightsi; Signy Island; Weddell Polynya; marine proxy; sclerochronology</t>
  </si>
  <si>
    <t>SIGNY ISLAND; LATERNULA-ELLIPTICA; RESERVOIR AGES; GROWTH; SHELL; NORTH; SEA; CALIBRATION; MOLLUSK; RECORD</t>
  </si>
  <si>
    <t>The scarcity of long instrumental series from the Southern Ocean limits our understanding of key climate and environmental feedbacks within the Antarctic system. We present an assessment for the Antarctic mollusc bivalve Yoldia eightsi as an Antarctic coastal climatological archive, based on annually-resolved growth pattern of 20 live-collected specimens in 1988 from Factory Cove, Signy Island (South Orkney Islands). Two detrending methods were applied to the growth increment series: negative exponential detrending and regional curve standardization (RCS) detrending. The RCS-chronology showed consistent synchronous growth in the population for a 20 year period (1968-1988; expressed population signal 0.85), a negative correlation between the RCS-chronology and the fast-ice duration record (r= -0.41, N= 24, P 0.05) and winter duration (r= -0.52, N=24, P 0.01) and positive correlations with mean winter sea surface temperature (SST; r= 0.57, N= 24, P 0.01), mean summer SST (r= 0.46, N= 24, P 0.05) and mean annual SST (r= 0.48, N= 24, P 0.05). The chronology appears to record the environmental conditions generated during the Weddell Polynya event (1973 -1976) as detectable abrupt changes in the annual growth patterns. Over eight years (1973-1980) a negative relationship between shell growth and suspended chlorophyll (i.e. a proxy for surface productivity) is apparent which is likely influenced by the seasonal deposition of organic phytodetritus on the seabed following surface water phytoplankton blooms. Our results form a basis for establishing Y. eightsi as an environmental archive for coastal Antarctic waters.</t>
  </si>
  <si>
    <t>[Roman-Gonzalez, Alejandro; Scourse, James D.; Richardson, Christopher A.; Butler, Paul G.] Bangor Univ, Sch Ocean Sci, Coll Nat Sci, Askew St, Menai Bridge LL59 5AB, Isle Of Anglese, Wales; [Peck, Lloyd S.] British Antarctic Survey, London, England; [Bentley, Michael J.] Univ Durham, Dept Geog, Durham, England</t>
  </si>
  <si>
    <t>Bangor University; UK Research &amp; Innovation (UKRI); Natural Environment Research Council (NERC); NERC British Antarctic Survey; Durham University</t>
  </si>
  <si>
    <t>Román-González, A (corresponding author), Bangor Univ, Sch Ocean Sci, Coll Nat Sci, Askew St, Menai Bridge LL59 5AB, Isle Of Anglese, Wales.</t>
  </si>
  <si>
    <t>osse1c@bangor.ac.uk</t>
  </si>
  <si>
    <t>Bentley, Michael J/F-7386-2011; Butler, Paul/D-1905-2012</t>
  </si>
  <si>
    <t>Bentley, Michael J/0000-0002-2048-0019; Butler, Paul/0000-0002-9924-0316; Roman Gonzalez, Alejandro/0000-0002-0801-3768</t>
  </si>
  <si>
    <t>NERC [NE/N002733/1, bas0100036] Funding Source: UKRI; Natural Environment Research Council [bas0100036] Funding Source: researchfish</t>
  </si>
  <si>
    <t>0959-6836</t>
  </si>
  <si>
    <t>1477-0911</t>
  </si>
  <si>
    <t>Holocene</t>
  </si>
  <si>
    <t>10.1177/0959683616658525</t>
  </si>
  <si>
    <t>EL9QO</t>
  </si>
  <si>
    <t>WOS:000394955300006</t>
  </si>
  <si>
    <t>Deb, P; Dash, MK; Dey, SP; Pandey, PC</t>
  </si>
  <si>
    <t>Deb, Pranab; Dash, Mihir Kumar; Dey, Subhra Prakash; Pandey, Prem Chand</t>
  </si>
  <si>
    <t>Non-annular response of sea ice cover in the Indian sector of the Antarctic during extreme SAM events</t>
  </si>
  <si>
    <t>Southern Annular Mode; sea ice; Indian sector of the Antarctic; ORCA-LIM2; ocean-sea ice coupled model</t>
  </si>
  <si>
    <t>THERMODYNAMIC MODEL; SOUTHERN-OCEAN; VARIABILITY; CIRCULATION; CLIMATE; BOTTOM; WATER</t>
  </si>
  <si>
    <t>This study investigates the impact of wind-induced sea ice drift on sea ice cover over the Indian Ocean sector of the Southern Ocean (IOS) in the contrasting Southern Annular Mode (SAM) years during a summer (February) and a winter (July) month. Analysis of reanalysis wind shows that during positive SAM events, westerlies show stronger and more zonal flow over the west IOS (west of 45 degrees E), while a stronger northerly component is seen over the east IOS, to the south of 55 degrees S during both February and July. This is attributed to the zonally asymmetric feature of sea level pressure over the IOS. A coupled ocean-sea ice model was forced with dynamical wind forcing for positive and negative SAM events during above months. The zonal contrast as seen in wind and surface current is transferred to the sea ice drift. A stronger zonal eastward sea ice drift is apparent over the west IOS, suggesting increased transport of sea ice from the Weddell Sea region in July. The eastward advection of sea ice results in piling of sea ice over west IOS and causes an increase in sea ice concentration and thickness. Over east IOS, the sea ice drift shows a strong southeastward anomaly from the sea ice edge towards the coast. This results in a piling of sea ice near the coast and a divergence of sea ice near the edge. This results in a negative anomaly in sea ice concentration and sea ice thickness over east IOS. Thus, the dynamical SAM forcing leads to a non-annular response in sea ice cover over the IOS.</t>
  </si>
  <si>
    <t>[Deb, Pranab] British Antarctic Survey, Atmosphere Ice &amp; Ocean Team, Cambridge, England; [Dash, Mihir Kumar; Dey, Subhra Prakash] IIT Kharagpur, CORAL, Ctr Oceans Rivers Atmosphere &amp; Land Sci, Kharagpur, W Bengal, India; [Pandey, Prem Chand] Indian Inst Technol Bhubaneswar, Sch Earth Ocean &amp; Climate Sci, Bhubaneswar, Orissa, India</t>
  </si>
  <si>
    <t>UK Research &amp; Innovation (UKRI); Natural Environment Research Council (NERC); NERC British Antarctic Survey; Indian Institute of Technology System (IIT System); Indian Institute of Technology (IIT) - Kharagpur; Indian Institute of Technology System (IIT System); Indian Institute of Technology (IIT) - Bhubaneswar</t>
  </si>
  <si>
    <t>Deb, P (corresponding author), British Antarctic Survey, Madingley Rd, Cambridge CB3 0ET, England.</t>
  </si>
  <si>
    <t>prab@bas.ac.uk</t>
  </si>
  <si>
    <t>Dey, Subhra Prakash/S-6891-2019; Pandey, Prem Chandra/D-4409-2011</t>
  </si>
  <si>
    <t>Pandey, Prem Chandra/0000-0002-0049-1415; Dey, Subhra Prakash/0000-0002-1220-3775</t>
  </si>
  <si>
    <t>Ministry of Human Resource Development, Government of India; Indian Institute of Technology Kharagpur, Kharagpur; NERC [bas0100032] Funding Source: UKRI; Natural Environment Research Council [bas0100032] Funding Source: researchfish</t>
  </si>
  <si>
    <t>Ministry of Human Resource Development, Government of India(Ministry of Human Resource Development (MHRD), Government of India); Indian Institute of Technology Kharagpur, Kharagpur; NERC(UK Research &amp; Innovation (UKRI)Natural Environment Research Council (NERC)); Natural Environment Research Council(UK Research &amp; Innovation (UKRI)Natural Environment Research Council (NERC))</t>
  </si>
  <si>
    <t>The research was funded by the Ministry of Human Resource Development, Government of India and Indian Institute of Technology Kharagpur, Kharagpur. The authors express their sincere thanks to NCEP/NCAR for the reanalysis datasets. We thank the anonymous referees and the editor for their valuable suggestions. Special thanks are due to Dr Andrew Orr and Prof. John Turner (British Antarctic Survey, Cambridge, UK) for useful discussion.</t>
  </si>
  <si>
    <t>10.1002/joc.4730</t>
  </si>
  <si>
    <t>WOS:000393415100008</t>
  </si>
  <si>
    <t>Oliver, PG; Rodrigues, CF</t>
  </si>
  <si>
    <t>Oliver, P. Graham; Rodrigues, Clara F.</t>
  </si>
  <si>
    <t>THYASIRIDAE (MOLLUSCA: BIVALVIA) FROM THE KEMP CALDERA HYDROTHERMAL SITE, SOUTH SANDWICH ISLANDS, ANTARCTICA</t>
  </si>
  <si>
    <t>JOURNAL OF CONCHOLOGY</t>
  </si>
  <si>
    <t>Thyasiridae; Antarctica; chemosymbiosis; anatomy; new species</t>
  </si>
  <si>
    <t>SEA; THYASIROIDEA; SYMBIOSIS; FIJI</t>
  </si>
  <si>
    <t>Two species of thyasirid bivalve are described from the Kemp Caldera hydrothermal site, South Sandwich Island back arc system, Antarctica. Spinaxinus caldarium n. sp. is chemosymbiotic and closely related to S. emicatus from the Gulf of Mexico with which it shares the same phylotype of symbiotic bacterium. Parathyasira cf. dearborni is not symbiotic and most closely resembles P. dearborni a widespread circum antarctic species. The gill anatomy is described for both species and molecular data on the bivalves and the symbiotic bacteria are presented.</t>
  </si>
  <si>
    <t>[Oliver, P. Graham] Natl Museum Wales, Cathays Pk, Cardiff CF10 3NP, S Glam, Wales; [Oliver, P. Graham] Bangor Univ, Sch Ocean Sci, Bangor, Gwynedd, Wales; [Rodrigues, Clara F.] Univ Aveiro, Dept Biol, Campus Univ Aveiro, P-3810193 Aveiro, Portugal; [Rodrigues, Clara F.] Univ Aveiro, CESAM, Campus Univ Aveiro, P-3810193 Aveiro, Portugal</t>
  </si>
  <si>
    <t>Bangor University; Universidade de Aveiro; Universidade de Aveiro</t>
  </si>
  <si>
    <t>Oliver, PG (corresponding author), Natl Museum Wales, Cathays Pk, Cardiff CF10 3NP, S Glam, Wales.;Oliver, PG (corresponding author), Bangor Univ, Sch Ocean Sci, Bangor, Gwynedd, Wales.</t>
  </si>
  <si>
    <t>graham.oliver@museumwales.ac.uk</t>
  </si>
  <si>
    <t>Rodrigues, Clara F./A-4536-2009</t>
  </si>
  <si>
    <t>Rodrigues, Clara F./0000-0002-3426-8342</t>
  </si>
  <si>
    <t>Fundacao para a Ciencia e a Tecnologia (FCT) [SFRH/BPD/107805/2015]; CESAM - FCT/MEC through national funds [UID/AMB/50017]; FEDER</t>
  </si>
  <si>
    <t>Fundacao para a Ciencia e a Tecnologia (FCT)(Fundacao para a Ciencia e a Tecnologia (FCT)); CESAM - FCT/MEC through national funds(Fundacao para a Ciencia e a Tecnologia (FCT)); FEDER(European Union (EU)Spanish Government)</t>
  </si>
  <si>
    <t>We thank Dr Katrin Linse of the British Antarctic Survey for the opportunity to study the specimens from the Kemp Caldera. Also the following for the loan and use of comparative material Bernard Hausdorf, Zoologisches Museum Hamburg; Anders Waren, Swedish Museum of Natural History and the National Museum of Wales. CFR was supported by Fundacao para a Ciencia e a Tecnologia (FCT) grant (SFRH/BPD/107805/2015). This work was supported by CESAM (UID/AMB/50017), financed by FCT/MEC through national funds, and the co-funded by the FEDER, within the PT2020 Partnership Agreement and Compete 2020</t>
  </si>
  <si>
    <t>CONCHOLOGICAL SOC GREAT BRITAIN &amp; IRELAND</t>
  </si>
  <si>
    <t>DREWSTEIGNTON</t>
  </si>
  <si>
    <t>MILLS HOUSE, CLIFFORD BRIDGE, DREWSTEIGNTON EX6 6QE, EXETER, ENGLAND</t>
  </si>
  <si>
    <t>0022-0019</t>
  </si>
  <si>
    <t>J CONCHOL</t>
  </si>
  <si>
    <t>J. Conchol.</t>
  </si>
  <si>
    <t>EJ5JY</t>
  </si>
  <si>
    <t>WOS:000393255500002</t>
  </si>
  <si>
    <t>Todgham, AE; Crombie, TA; Hofmann, GE</t>
  </si>
  <si>
    <t>Todgham, Anne E.; Crombie, Timothy A.; Hofmann, Gretchen E.</t>
  </si>
  <si>
    <t>The effect of temperature adaptation on the ubiquitin-proteasome pathway in notothenioid fishes</t>
  </si>
  <si>
    <t>Antarctic fish; Protein homeostasis; Ub-proteasome pathway; Cold adaptation; Notothenioid</t>
  </si>
  <si>
    <t>WOLFFISH ANARHICHAS-MINOR; HEAT-SHOCK PROTEINS; ANTARCTIC FISHES; TREMATOMUS-BERNACCHII; COLD ADAPTATION; SELECTIVE DEGRADATION; DAMAGED PROTEINS; GENE-EXPRESSION; METABOLIC COST; UP-REGULATION</t>
  </si>
  <si>
    <t>There is an accumulating body of evidence suggesting that the subzero Antarctic marine environment places physiological constraints on protein homeostasis. Levels of ubiquitin (Ub)-conjugated proteins, 20S proteasome activity and mRNA expression of many proteins involved in both the Ub tagging of damaged proteins as well as the different complexes of the 26S proteasome were measured to examine whether there is thermal compensation of the Ub-proteasome pathway in Antarctic fishes to better understand the efficiency of the protein degradation machinery in polar species. Both Antarctic (Trematomus bernacchii, Pagothenia borchgrevinki) and non-Antarctic (Notothenia angustata, Bovichtus variegatus) notothenioids were included in this study to investigate the mechanisms of cold adaptation of this pathway in polar species. Overall, there were significant differences in the levels of Ub-conjugated proteins between the Antarctic notothenioids and B. variegatus, with N. angustata possessing levels very similar to those of the Antarctic fishes. Proteasome activity in the gills of Antarctic fishes demonstrated a high degree of temperature compensation such that activity levels were similar to activitiesmeasured in their temperate relatives at ecologically relevant temperatures. A similar level of thermal compensation of proteasome activity was not present in the liver of two Antarctic fishes. Higher gill proteasome activity is likely due in part to higher cellular levels of proteins involved in the Ub-proteasome pathway, as evidenced by high mRNA expression of relevant genes. Reduced activity of the Ub-proteasome pathway does not appear to be the mechanism responsible for elevated levels of denatured proteins in Antarctic fishes, at least in the gills.</t>
  </si>
  <si>
    <t>[Todgham, Anne E.] Univ Calif Davis, Dept Anim Sci, Davis, CA 95616 USA; [Crombie, Timothy A.] Univ Florida, Dept Biol, Gainesville, FL 32611 USA; [Hofmann, Gretchen E.] Univ Calif Santa Barbara, Dept Ecol Evolut &amp; Marine Biol, Santa Barbara, CA 93106 USA</t>
  </si>
  <si>
    <t>University of California System; University of California Davis; State University System of Florida; University of Florida; University of California System; University of California Santa Barbara</t>
  </si>
  <si>
    <t>Todgham, AE (corresponding author), Univ Calif Davis, Dept Anim Sci, Davis, CA 95616 USA.</t>
  </si>
  <si>
    <t>todgham@ucdavis.edu</t>
  </si>
  <si>
    <t>Todgham, Anne/0000-0003-1439-6985</t>
  </si>
  <si>
    <t>National Science Foundation Office of Polar Programs grant [ANT-0440799, ANT-1142122]; Natural Sciences and Engineering Research Council of Canada Postdoctoral Fellowship; Office of Polar Programs (OPP); Directorate For Geosciences [1142122] Funding Source: National Science Foundation</t>
  </si>
  <si>
    <t>National Science Foundation Office of Polar Programs grant; Natural Sciences and Engineering Research Council of Canada Postdoctoral Fellowship(Natural Sciences and Engineering Research Council of Canada (NSERC)); Office of Polar Programs (OPP); Directorate For Geosciences(National Science Foundation (NSF)NSF - Directorate for Geosciences (GEO))</t>
  </si>
  <si>
    <t>This research was supported by a National Science Foundation Office of Polar Programs grant ANT-0440799 to G.E.H. and by a Natural Sciences and Engineering Research Council of Canada Postdoctoral Fellowship to A.E.T. A.E.T was partially supported by National Science Foundation Office of Polar Programs grant ANT-1142122 during the writing of the manuscript.</t>
  </si>
  <si>
    <t>COMPANY OF BIOLOGISTS LTD</t>
  </si>
  <si>
    <t>BIDDER BUILDING CAMBRIDGE COMMERCIAL PARK COWLEY RD, CAMBRIDGE CB4 4DL, CAMBS, ENGLAND</t>
  </si>
  <si>
    <t>10.1242/jeb.145946</t>
  </si>
  <si>
    <t>EK7IU</t>
  </si>
  <si>
    <t>WOS:000394100300013</t>
  </si>
  <si>
    <t>Giglio, D; Johnson, GC</t>
  </si>
  <si>
    <t>Giglio, Donata; Johnson, Gregory C.</t>
  </si>
  <si>
    <t>Middepth decadal warming and freshening in the South Atlantic</t>
  </si>
  <si>
    <t>GLOBAL OCEAN; DEEP-WATER; CIRCULATION; HEAT; ARGO; INTERMEDIATE; SECTION; TRENDS</t>
  </si>
  <si>
    <t>South Atlantic Ocean middepth water property (temperature, salinity, oxygen, nutrients, etc.) distributions are set by salty, well-ventilated, and relatively nutrient-poor North Atlantic Deep Water (NADW) spreading southward toward the Southern Ocean underneath fresher, well-ventilated, and relatively nutrient-poor northward spreading Antarctic Intermediate Water (AAIW). The layer between the NADW and AAIW is oxygen-poor and nutrient-rich, with small vertical temperature gradients. Salinity stratification dominates the vertical density gradient, hence the layer is referred to as Salinity Stratified Layer (SSL). Decadal warming (0.044 degrees C decade(-1)) and freshening (0.006 g kg(-1) decade(-1)) of this layer are analyzed using Argo data, a climatology, and repeat hydrographic sections. Warming within the SSL accumulates heat at a rate of similar to 20 TW, is unlikely to be caused by vertical heave, and is consistent with anomalous southward advection of order 10(2) km decade(-1) in the Atlantic Meridional Overturning Circulation. Salinity changes within the SSL are consistent with a downward velocity anomaly of order 10 m decade(-1).</t>
  </si>
  <si>
    <t>[Giglio, Donata] Univ Washington, Joint Inst Study Atmosphere &amp; Oceans, Seattle, WA 98195 USA; [Giglio, Donata] Univ Calif San Diego, Scripps Inst Oceanog, La Jolla, CA 92093 USA; [Johnson, Gregory C.] NOAA, Pacific Marine Environm Lab, 7600 Sand Point Way Ne, Seattle, WA 98115 USA</t>
  </si>
  <si>
    <t>University of Washington; University of Washington Seattle; University of California System; University of California San Diego; Scripps Institution of Oceanography; National Oceanic Atmospheric Admin (NOAA) - USA</t>
  </si>
  <si>
    <t>Giglio, D (corresponding author), Univ Washington, Joint Inst Study Atmosphere &amp; Oceans, Seattle, WA 98195 USA.;Giglio, D (corresponding author), Univ Calif San Diego, Scripps Inst Oceanog, La Jolla, CA 92093 USA.</t>
  </si>
  <si>
    <t>dgiglio@ucsd.edu</t>
  </si>
  <si>
    <t>Johnson, Gregory C/I-6559-2012; Giglio, Donata/AAD-5483-2021</t>
  </si>
  <si>
    <t>Johnson, Gregory C/0000-0002-8023-4020; Giglio, Donata/0000-0002-3738-4293</t>
  </si>
  <si>
    <t>Joint Institute for the Study of the Atmosphere and Ocean (JISAO) under NOAA [NA15OAR4320063, 2017-067]; Climate Observation Division, Climate Program Office [100007298]; National Oceanic and Atmospheric Administration (NOAA); US Department of Commerce; NOAA Research</t>
  </si>
  <si>
    <t>Joint Institute for the Study of the Atmosphere and Ocean (JISAO) under NOAA(National Oceanic Atmospheric Admin (NOAA) - USA); Climate Observation Division, Climate Program Office; National Oceanic and Atmospheric Administration (NOAA)(National Oceanic Atmospheric Admin (NOAA) - USA); US Department of Commerce; NOAA Research(National Oceanic Atmospheric Admin (NOAA) - USA)</t>
  </si>
  <si>
    <t>The Argo data used here were collected and are made freely available by the International Argo Program and by the national programs that contribute to it (http://doi.org/10.17882/42182). Hydrographic data were downloaded from the Clivar &amp; Carbon Hydrographic Data Office (CCHDO) website http://cchdo.ucsd.edu. The WOCE Global Hydrographic Climatology [Gouretski and Koltermann, 2004] can be found at http://icdc.zmaw.de/1/daten/ocean/woceclimatology.html. The objectively mapped Argo data were provided by John Gilson (http://sio-argo.ucsd.edu/RG_Climatology.html). DG was supported through a postdoctoral fellowship by the Joint Institute for the Study of the Atmosphere and Ocean (JISAO) under NOAA Cooperative Agreement NA15OAR4320063, Contribution 2017-067. GCJ is supported by the Climate Observation Division, Climate Program Office (FundRef: 100007298), National Oceanic and Atmospheric Administration (NOAA), US Department of Commerce and NOAA Research. PMEL Contribution 4358. We thank David Marshall (U. Oxford) for discussions on this work. Thanks to the anonymous reviewers for providing valuable feedback.</t>
  </si>
  <si>
    <t>10.1002/2016JC012246</t>
  </si>
  <si>
    <t>EQ4QN</t>
  </si>
  <si>
    <t>WOS:000398063100012</t>
  </si>
  <si>
    <t>Pellichero, V; Sallée, JB; Schmidtko, S; Roquet, F; Charrassin, JB</t>
  </si>
  <si>
    <t>Pellichero, Violaine; Sallee, Jean-Baptiste; Schmidtko, Sunke; Roquet, Fabien; Charrassin, Jean-Benoit</t>
  </si>
  <si>
    <t>The ocean mixed layer under Southern Ocean sea-ice: Seasonal cycle and forcing</t>
  </si>
  <si>
    <t>ANTARCTIC MODE WATER; CIRCULATION; DISTRIBUTIONS; VARIABILITY; SALINITY; POLYNYAS</t>
  </si>
  <si>
    <t>The oceanic mixed layer is the gateway for the exchanges between the atmosphere and the ocean; in this layer, all hydrographic ocean properties are set for months to millennia. A vast area of the Southern Ocean is seasonally capped by sea-ice, which alters the characteristics of the ocean mixed layer. The interaction between the ocean mixed layer and sea-ice plays a key role for water mass transformation, the carbon cycle, sea-ice dynamics, and ultimately for the climate as a whole. However, the structure and characteristics of the under-ice mixed layer are poorly understood due to the sparseness of in situ observations and measurements. In this study, we combine distinct sources of observations to overcome this lack in our understanding of the polar regions. Working with elephant seal-derived, ship-based, and Argo float observations, we describe the seasonal cycle of the ocean mixed-layer characteristics and stability of the ocean mixed layer over the Southern Ocean and specifically under sea-ice. Mixed-layer heat and freshwater budgets are used to investigate the main forcing mechanisms of the mixed-layer seasonal cycle. The seasonal variability of sea surface salinity and temperature are primarily driven by surface processes, dominated by sea-ice freshwater flux for the salt budget and by air-sea flux for the heat budget. Ekman advection, vertical diffusivity, and vertical entrainment play only secondary roles. Our results suggest that changes in regional sea-ice distribution and annual duration, as currently observed, widely affect the buoyancy budget of the underlying mixed layer, and impact large-scale water mass formation and transformation with far reaching consequences for ocean ventilation.</t>
  </si>
  <si>
    <t>[Pellichero, Violaine; Sallee, Jean-Baptiste; Charrassin, Jean-Benoit] UPMC Univ Paris 06, Sorbonne Univ, UMR 7159, LOCEAN,IPSL, F-75005 Paris, France; [Schmidtko, Sunke] GEOMAR Helmholtz Ctr Ocean Res Kiel, Kiel, Germany; [Roquet, Fabien] Stockholm Univ, Dept Meteorol, Stockholm, Sweden</t>
  </si>
  <si>
    <t>Centre National de la Recherche Scientifique (CNRS); CNRS - National Institute for Earth Sciences &amp; Astronomy (INSU); Universite Paris Cite; Sorbonne Universite; Museum National d'Histoire Naturelle (MNHN); Helmholtz Association; GEOMAR Helmholtz Center for Ocean Research Kiel; Stockholm University</t>
  </si>
  <si>
    <t>Pellichero, V (corresponding author), UPMC Univ Paris 06, Sorbonne Univ, UMR 7159, LOCEAN,IPSL, F-75005 Paris, France.</t>
  </si>
  <si>
    <t>violaine.pellichero@locean-ipsl.upmc.fr</t>
  </si>
  <si>
    <t>Roquet, Fabien/D-4848-2013; SALLEE, Jean baptiste/HDO-5355-2022; SALLEE, Jean baptiste/A-5837-2010; Schmidtko, Sunke/F-3355-2011</t>
  </si>
  <si>
    <t>SALLEE, Jean baptiste/0000-0002-6109-5176; Roquet, Fabien/0000-0003-1124-4564; Schmidtko, Sunke/0000-0003-3272-7055</t>
  </si>
  <si>
    <t>European Research Council (ERC) under the European Union's Horizon research and innovation program [637770]; European Research Council (ERC) [637770] Funding Source: European Research Council (ERC)</t>
  </si>
  <si>
    <t>European Research Council (ERC) under the European Union's Horizon research and innovation program(European Research Council (ERC)); European Research Council (ERC)(European Research Council (ERC)Spanish Government)</t>
  </si>
  <si>
    <t>This project has received funding from the European Research Council (ERC) under the European Union's Horizon 2020 research and innovation program (grant agreement 637770). The authors thank M. Petty, M. Barthelemy, M. Tamura, and M. Haumann for providing air-ice-sea data set. Argo data were collected and made freely available by the International Argo Program and the national programs that contribute to it (http://www.argo.ucsd.edu, http://argo.jcommops.org). The Argo Program is part of the Global Ocean Observing System. The marine mammal data were collected and made freely available by the International MEOP Consortium and the national programs that contribute to it (http://www.meop.net). The authors thank M. Vancoppenolle for very insightful discussions on sea-ice.</t>
  </si>
  <si>
    <t>10.1002/2016JC011970</t>
  </si>
  <si>
    <t>WOS:000398063100048</t>
  </si>
  <si>
    <t>Shore, RM; Freeman, MP; Wild, JA; Gjerloev, JW</t>
  </si>
  <si>
    <t>Shore, R. M.; Freeman, M. P.; Wild, J. A.; Gjerloev, J. W.</t>
  </si>
  <si>
    <t>A high-resolution model of the external and induced magnetic field at the Earth's surface in the Northern Hemisphere</t>
  </si>
  <si>
    <t>IONOSPHERIC ELECTRODYNAMIC MODELS; DP 2 FLUCTUATIONS; GEOMAGNETIC-VARIATIONS; OBSERVATORY DATA; CURRENTS; CONVECTION; VARIABILITY; SUBSTORMS; COMPONENTS; SATELLITE</t>
  </si>
  <si>
    <t>We describe a method of producing high-resolution models of the Earth's combined external and induced magnetic field using the method of empirical orthogonal functions (EOFs) applied to the SuperMAG archive of ground-based magnetometer data. EOFs partition the variance of a system into independent modes, allowing us to extract the spatiotemporal patterns of greatest dynamical importance without applying the a priori assumptions of other methods (such as spherical harmonic analysis, parameterized averaging, or multivariate regression). We develop an approach based on that of Beckers and Rixen (2003) and use the EOF modes to infill missing data in a self-consistent manner. Applying our method to a north polar case study spanning February 2001 (chosen for its proximity to solar maximum and good data coverage), we demonstrate that 41.7% and 9.4% of variance is explained by the leading two modes, respectively, describing the temporal variations of the disturbance polar types 2 and 1 (DP2 and DP1) patterns. A further 14.1% of variance is explained by four modes that describe separate aspects of the motion of the DP1 and DP2 systems. Thus, collectively over 65% of variance is described by the leading six modes and is attributable to DP1 and DP2. This attribution is based on inspection of the spatial morphology of the modes and analysis of the temporal variation of the mode amplitudes with respect to solar wind measures and substorm occurrence. This study is primarily a demonstration of the technique and a prelude to a model spanning the full solar cycle.</t>
  </si>
  <si>
    <t>[Shore, R. M.; Freeman, M. P.] British Antarctic Survey, Cambridge, England; [Wild, J. A.] Univ Lancaster, Dept Phys, Lancaster, England; [Gjerloev, J. W.] Johns Hopkins Univ, Appl Phys Lab, Laurel, MD USA; [Gjerloev, J. W.] Univ Bergen, Dept Phys &amp; Technol, Birkeland Ctr Excellence, Bergen, Norway</t>
  </si>
  <si>
    <t>UK Research &amp; Innovation (UKRI); Natural Environment Research Council (NERC); NERC British Antarctic Survey; Lancaster University; Johns Hopkins University; Johns Hopkins University Applied Physics Laboratory; University of Bergen</t>
  </si>
  <si>
    <t>Shore, RM (corresponding author), British Antarctic Survey, Cambridge, England.</t>
  </si>
  <si>
    <t>robore@bas.ac.uk</t>
  </si>
  <si>
    <t>Gjerloev, Jesper/C-2116-2016; Wild, James Anderson/HKN-7736-2023; Freeman, Mervyn/E-5687-2019</t>
  </si>
  <si>
    <t>Wild, James Anderson/0000-0001-8025-8869; Shore, Robert/0000-0002-8386-1425; Freeman, Mervyn/0000-0002-8653-8279</t>
  </si>
  <si>
    <t>NERC [NE/J020796/1]; Natural Environment Research Council [bas0100031, NE/J021792/1, NE/J020796/1] Funding Source: researchfish; NERC [bas0100031, NE/J020796/1, NE/J021792/1] Funding Source: UKRI</t>
  </si>
  <si>
    <t>Funding for this project was provided by NERC grant NE/J020796/1. The work was performed using hardware and support at the British Antarctic Survey (BAS). Thanks go to Gareth Dorrian for discussions on the results which improved the project. MATLAB code for the rotation to QD coordinates was provided by Nils Olsen. MATLAB code used to compute the equal-area bin layout was written by Paul Leopardi. The epsilon, IMF, and solar wind dynamic pressure measures used in this study were calculated from OMNI data downloaded from ftp://spdf.gsfc.nasa.gov/pub/data/omni/high_res_omni/monthly_1min/ on 2014-02-28. The version used has been resampled to simulate measurements taken at the magnetopause. The results presented in this paper rely on ground magnetometer data supplied by the SuperMAG archive, for which we gratefully acknowledge: INTERMAGNET (we thank the the national institutes that support its contributing magnetic observatories and INTERMAGNET for promoting high standards of magnetic observatory practice (www.intermagnet.org)); USGS, Jeffrey J. Love; CARISMA, PI Ian Mann; CANMOS; The S-RAMP Database, PI K. Yumoto and K. Shiokawa; The SPIDR database; AARI, PI Oleg Troshichev; The MACCS program, PI M. Engebretson, Geomagnetism Unit of the Geological Survey of Canada; GIMA; MEASURE, UCLA IGPP and Florida Institute of Technology; SAMBA, PI Eftyhia Zesta; 210 Chain, PI K. Yumoto; SAMNET, PI Farideh Honary; The institutes who maintain the IMAGE magnetometer array, PI Eija Tanskanen; PENGUIN; AUTUMN, PI Martin Connors; DTU Space, PI Juergen Matzka; South Pole and McMurdo Magnetometer, PI's Louis J. Lanzarotti and Alan T. Weatherwax; ICESTAR; RAPIDMAG; PENGUIn; British Artarctic Survey; McMac, PI Peter Chi; BGS, PI Susan Macmillan; Pushkov Institute of Terrestrial Magnetism, Ionosphere and Radio Wave Propagation (IZMIRAN); GFZ, PI Juergen Matzka; MFGI, PI B. Heilig; IGFPAS, PI J. Reda; University of LAquila, PI M. Vellante; SuperMAG, PI Jesper W. Gjerloev.</t>
  </si>
  <si>
    <t>10.1002/2016JA023682</t>
  </si>
  <si>
    <t>WOS:000397022900069</t>
  </si>
  <si>
    <t>Gong, Y; Zwinger, T; Cornford, S; Gladstone, R; Schäfer, M; Moore, JC</t>
  </si>
  <si>
    <t>Gong, Yongmei; Zwinger, Thomas; Cornford, Stephen; Gladstone, Rupert; Schafer, Martina; Moore, John C.</t>
  </si>
  <si>
    <t>Importance of basal boundary conditions in transient simulations: case study of a surging marine-terminating glacier on Austfonna, Svalbard</t>
  </si>
  <si>
    <t>basal sliding; glacial modeling; transient simulation</t>
  </si>
  <si>
    <t>VESTFONNA ICE CAP; MASS-BALANCE; HIGHER-ORDER; FAST-FLOW; SHEET; PROJECTIONS; FEEDBACK; MODELS; NORDAUSTLANDET; ACCUMULATION</t>
  </si>
  <si>
    <t>We assess the importance of basal boundary conditions for transient simulations of Basin 3, Austfonna ice cap between January 1995 and December 2011 and for the surge starting in 2012 by carrying out simulations with the full-Stokes model Elmer/Ice and the vertically-integrated model BISICLES. Time-varying surface mass-balance data from the regional climate model HIRHAM5 are downscaled according to elevation. Basal friction coefficient is varied through time by interpolating between two data-constrained inversions of surface velocity fields, from 1995 and 2011. Evolution of the basal boundary condition appears to be much more important for mass discharge and the dynamic response of the fast flowing unit in Basin 3 than either model choice or the downscaling method for the surface mass balance. In addition, temporally linear extrapolation of the evolution of basal friction coefficient beyond the 2011 distribution could not reproduce the expansion of the acceleration observed in southern Basin 3 between January 2012 and June 2013. This implies that changes in basal friction patterns, and in turn basal processes that are not currently represented in either model, are among the most important factors for the 2012 acceleration.</t>
  </si>
  <si>
    <t>[Gong, Yongmei] Univ Helsinki, Div Atmospher Sci, Helsinki, Finland; [Gong, Yongmei; Gladstone, Rupert; Schafer, Martina; Moore, John C.] Univ Lapland, Arctic Ctr, Rovaniemi, Finland; [Zwinger, Thomas] CSC IT Ctr Sci, Espoo, Finland; [Cornford, Stephen] Univ Bristol, Bristol Glaciol Ctr, Bristol, Avon, England; [Gladstone, Rupert] Univ Tasmania, CRC Antarctic Climate &amp; Ecosyst, Hobart, Tas, Australia; [Schafer, Martina] Finnish Meteorol Inst, Helsinki, Finland; [Moore, John C.] Beijing Normal Univ, Coll Global Change &amp; Earth Syst Sci, Joint Ctr Global Change Studies, Beijing, Peoples R China</t>
  </si>
  <si>
    <t>University of Helsinki; University of Lapland; University of Bristol; University of Tasmania; Finnish Meteorological Institute; Beijing Normal University</t>
  </si>
  <si>
    <t>Moore, JC (corresponding author), Univ Lapland, Arctic Ctr, Rovaniemi, Finland.;Moore, JC (corresponding author), Beijing Normal Univ, Coll Global Change &amp; Earth Syst Sci, Joint Ctr Global Change Studies, Beijing, Peoples R China.</t>
  </si>
  <si>
    <t>Moore, John C/B-2868-2013; Gladstone, Rupert M/C-1086-2013; Gong, Yongmei/AAP-3472-2021; Zwinger, Thomas/H-5163-2018</t>
  </si>
  <si>
    <t>Moore, John C/0000-0001-8271-5787; Cornford, Stephen/0000-0003-1844-274X; Zwinger, Thomas/0000-0003-3360-4401</t>
  </si>
  <si>
    <t>project SVALI; European Science Foundation project Micro-DICE; Nordic Top-level Research Initiative; European Union Seventh Framework Programme (FP7) [299035]; NERC [cpom30001] Funding Source: UKRI; Natural Environment Research Council [cpom30001] Funding Source: researchfish</t>
  </si>
  <si>
    <t>project SVALI; European Science Foundation project Micro-DICE; Nordic Top-level Research Initiative; European Union Seventh Framework Programme (FP7)(European Union (EU)); NERC(UK Research &amp; Innovation (UKRI)Natural Environment Research Council (NERC)); Natural Environment Research Council(UK Research &amp; Innovation (UKRI)Natural Environment Research Council (NERC))</t>
  </si>
  <si>
    <t>We wish to thank all the partners for providing data and constructive discussion during the study, especially Ruth Mottram from Danish Meteorological Institute for the HIRHAM5 surface mass-balance time series, Tazio Strozzi from GAMMA Remote Sensing and Consulting AG for the remotesensing surface velocity data, Thomas Schuler from the University of Oslo for the September 2003 to August 2004 reference surface mass-balance data and Thorben Dunse from the University of Oslo for the bedrock and surface elevation data. We wish to thank Fabien Gillet-Chaulet from Laboratoire de Glaciologie et Geophysique de l'Environnement for making available his code for the inverse modelling. We also acknowledge CSC-IT Center for Science Ltd. for the allocation of computational resources. Yongmei Gong is funded by project SVALI and European Science Foundation project Micro-DICE. This publication is contribution No. 74 of the Nordic Centre of Excellence SVALI funded by the Nordic Top-level Research Initiative. Rupert Gladstone is funded from the European Union Seventh Framework Programme (FP7/2007-2013) under grant agreement no. 299035.</t>
  </si>
  <si>
    <t>10.1017/jog.2016.121</t>
  </si>
  <si>
    <t>WOS:000394435300009</t>
  </si>
  <si>
    <t>Gudmundsson, GH; de Rydt, J; Nagler, T</t>
  </si>
  <si>
    <t>Gudmundsson, G. Hilmar; de Rydt, Jan; Nagler, Thomas</t>
  </si>
  <si>
    <t>Five decades of strong temporal variability in the flow of Brunt Ice Shelf, Antarctica</t>
  </si>
  <si>
    <t>Antarctic glaciology; glacier mechanics; ice shelves</t>
  </si>
  <si>
    <t>STABILITY; GLACIERS; STREAM; HALLEY; SHEET</t>
  </si>
  <si>
    <t>Data showing velocity changes on the Brunt Ice Shelf (BIS), Antarctica, over the last 55 years are presented and analysed. During this period no large-scale calving events took place and the ice shelf gradually grew in size. Ice flow velocities, however, fluctuated greatly, increasing twofold between 1970 and 2000, then decreasing again to previous levels by 2012 after which velocities started to increase yet again. In the observational period, velocity changes in the order of 10% a(-1) have commonly been observed, and currently velocities are increasing at this rate. By modelling the ice flow numerically, we explore potential causes for the observed changes in velocity. We find that a loss of mechanical contact between the BIS and the McDonald Ice Rumples following a local calving event in 1971 would explain both the increase and the subsequent decrease in ice velocities. Other explanations involving enlargement of observed rift structures are discounted as the effects on ice flow are found to be too small and the spatial pattern of velocity change inconsistent with data. The most recent phase of acceleration remains unexplained but may potentially be related to a recent re-activation of a known rift structure within the BIS.</t>
  </si>
  <si>
    <t>[Gudmundsson, G. Hilmar; de Rydt, Jan] British Antarctic Survey, Cambridge, England; [Nagler, Thomas] Environm Earth Observat IT GmbH, Innsbruck, Austria</t>
  </si>
  <si>
    <t>Gudmundsson, GH (corresponding author), British Antarctic Survey, Cambridge, England.</t>
  </si>
  <si>
    <t>ghg@bas.ac.uk</t>
  </si>
  <si>
    <t>Gudmundsson, Gudmundur Hilmar/AAU-5987-2020; Gudmundsson, Gudmundur Hilmar/F-6499-2012; De Rydt, Jan/H-5692-2018</t>
  </si>
  <si>
    <t>Gudmundsson, Gudmundur Hilmar/0000-0003-4236-5369; Gudmundsson, Gudmundur Hilmar/0000-0003-4236-5369; De Rydt, Jan/0000-0002-2978-8706</t>
  </si>
  <si>
    <t>Austrian Space Applications Programme/Austrian Research Promotion Agency (FFG); ESA Antarctic ice sheet CCI project; Polar Science for Planet Earth; Natural Environment Research Council (NERC); Natural Environment Research Council [bas0100034] Funding Source: researchfish; NERC [bas0100034] Funding Source: UKRI</t>
  </si>
  <si>
    <t>Austrian Space Applications Programme/Austrian Research Promotion Agency (FFG); ESA Antarctic ice sheet CCI project; Polar Science for Planet Earth; Natural Environment Research Council (NERC)(UK Research &amp; Innovation (UKRI)Natural Environment Research Council (NERC)); Natural Environment Research Council(UK Research &amp; Innovation (UKRI)Natural Environment Research Council (NERC)); NERC(UK Research &amp; Innovation (UKRI)Natural Environment Research Council (NERC))</t>
  </si>
  <si>
    <t>We thank the reviewers for their reviews and insightful and detailed comments. Processing of Sentinel-1 ice velocity maps by ENVEO was supported by the Austrian Space Applications Programme/Austrian Research Promotion Agency (FFG) and the ESA Antarctic ice sheet CCI project. Copernicus Sentinel-1 data were made available through ESA Sentinel Scientific Data Hub. G.H.G. and J.D.R. were partly supported as part of the Polar Science for Planet Earth funding from the Natural Environment Research Council (NERC) to the British Antarctic Survey.</t>
  </si>
  <si>
    <t>10.1017/jog.2016.132</t>
  </si>
  <si>
    <t>WOS:000394435300013</t>
  </si>
  <si>
    <t>Sansiviero, M; Maqueda, MAM; Fusco, G; Aulicino, G; Flocco, D; Budillon, G</t>
  </si>
  <si>
    <t>Sansiviero, M.; Maqueda, M. A. Morales; Fusco, G.; Aulicino, G.; Flocco, D.; Budillon, G.</t>
  </si>
  <si>
    <t>Modelling sea ice formation in the Terra Nova Bay polynya</t>
  </si>
  <si>
    <t>Sea ice; Coupled model; Polynya; Katabatic wind</t>
  </si>
  <si>
    <t>ROSS SEA; SOUTHERN-OCEAN; WEDDELL SEA; NUMERICAL-MODEL; NORTH WATER; VARIABILITY; SIMULATION; DYNAMICS; FLUCTUATIONS; CIRCULATION</t>
  </si>
  <si>
    <t>Antarctic sea ice is constantly exported from the shore by strong near surface winds that open leads and Iarge polynyas in the pack ice. The latter, known as wind-driven polynyas, are responsible for significant water mass modification due to the high salt flux into the ocean associated with enhanced ice growth. In this article, we focus on the wind-driven Terra Nova Bay (TNB) polynya, in the western Ross Sea. Brine rejected during sea ice formation processes that occur in the TNB polynya densifies the water column leading to the formation of the most characteristic water mass of the Ross Sea, the High Salinity Shelf Water (HSSW). This water mass, in turn, takes part in the formation of Antarctic Bottom Water (AABW), the densest water mass of the world ocean, which plays a major role in the global meridional overturning circulation, thus affecting the global climate system. A simple coupled sea ice-ocean model has been developed to simulate the seasonal cycle of sea ice formation and export within a polynya. The sea ice model accounts for both thermal and mechanical ice processes. The oceanic circulation is described by a one-and-a-half layer, reduced gravity model. The domain resolution is 1 km x 1 km, which is sufficient to represent the salient features of the coastline geometry, notably the Drygalski Ice Tongue. The model is forced by a combination of Era Interim reanalysis and in-situ data from automatic weather stations, and also by a climatological oceanic dataset developed from in situ hydrographic observations. The sensitivity of the polynya to the atmospheric forcing is well reproduced by the model when atmospheric in situ measurements are combined with reanalysis data. Merging the two datasets allows us to capture in detail the strength and the spatial distribution of the katabatic winds that often drive the opening of the polynya. The model resolves fairly accurately the sea ice drift and sea ice production rates in the TNB polynya, leading to realistic polynya extent estimates. The model-derived polynya extent has been validated by comparing the modelled sea ice concentration against MODIS high resolution satellite images, confirming that the model is able to reproduce reasonably well the TNB polynya evolution in terms of both shape and extent. (C) 2016 Elsevier B.V. All rights reserved.</t>
  </si>
  <si>
    <t>[Sansiviero, M.; Fusco, G.; Aulicino, G.; Budillon, G.] Univ Napoli Parthenope, Naples, Italy; [Maqueda, M. A. Morales] Univ Newcastle, Sch Marine Sci &amp; Technol, Callaghan, NSW 2308, Australia; [Maqueda, M. A. Morales] Natl Oceanog Ctr, Southampton, Hants, England; [Flocco, D.] Univ Reading, Ctr Polar Observat &amp; Modelling, Reading RG6 2AH, Berks, England; [Fusco, G.; Budillon, G.] Consorzio Nazl Interuniv Sci Mare, Rome, Italy</t>
  </si>
  <si>
    <t>Parthenope University Naples; University of Newcastle; NERC National Oceanography Centre; University of Reading; CoNISMa</t>
  </si>
  <si>
    <t>Sansiviero, M (corresponding author), Univ Napoli Parthenope, Naples, Italy.</t>
  </si>
  <si>
    <t>manuela.sansiviero@uniparthenope.it</t>
  </si>
  <si>
    <t>Flocco, Daniela/ISA-8644-2023; Fusco, Giannetta/J-5118-2019; Maqueda, Miguel Angel Morales/AAJ-8138-2020; Aulicino, Giuseppe/I-8981-2019</t>
  </si>
  <si>
    <t>Flocco, Daniela/0000-0002-0025-5359; Fusco, Giannetta/0000-0003-1769-2456; Aulicino, Giuseppe/0000-0001-6406-8715; Sansiviero, Manuela/0000-0002-9845-4777</t>
  </si>
  <si>
    <t>NERC [NE/J020982/1, cpom30001] Funding Source: UKRI; Natural Environment Research Council [NE/J020982/1, noc010012, cpom30001] Funding Source: researchfish</t>
  </si>
  <si>
    <t>10.1016/j.jmarsys.2016.06.013</t>
  </si>
  <si>
    <t>EG5HG</t>
  </si>
  <si>
    <t>WOS:000391074300002</t>
  </si>
  <si>
    <t>Misic, C; Harriague, AC; Mangoni, O; Aulicino, G; Castagno, P; Cotroneo, Y</t>
  </si>
  <si>
    <t>Misic, Cristina; Harriague, Anabella Covazzi; Mangoni, Olga; Aulicino, Giuseppe; Castagno, Pasquale; Cotroneo, Yuri</t>
  </si>
  <si>
    <t>Effects of physical constraints on the lability of POM during summer in the Ross Sea</t>
  </si>
  <si>
    <t>Particulate organic matter; Biochemical composition; Phytoplankton biomass; Physical structure; Ross Sea; Antarctica</t>
  </si>
  <si>
    <t>TERRA-NOVA-BAY; PARTICULATE ORGANIC-MATTER; SOUTHERN-OCEAN; PHYTOPLANKTON BIOMASS; AMUNDSEN SEA; DEEP-SEA; ANTARCTICA; FLUXES; CARBON; ICE</t>
  </si>
  <si>
    <t>The 0-200 m surface layer of the Ross Sea was studied during summer 2014 to investigate the lability of the particulate organic matter (POM) in response to physical parameters. With the use of satellite information, we selected three zones, characterised by different physical setting: a northern offshore area, crossing the summer-polynya area of the Ross Sea (hereafter called ROME 1), a more coastal area next to the Terra Nova Bay polynya (ROME 2); a southern offshore area, towards the Ross Ice Shelf (ROME 3). Ice-maps showed that the seasonal ice retreat had already occurred in early December for most of the stations. Statistical analysis of the quantitative and qualitative characteristics of the POM pointed to significant differences between the stations, especially in the upper mixed layer (UML). A comparison with previous studies showed that the localised pulses of POM accumulation in the UML were similar to those recorded at the highly productive marginal ice zones, providing notable trophic support to the ecosystem. The UML, although rather thin and easily subjected to alterations, confirmed its pivotal role in the ecosystem dynamics. A POM quality favourable to consumers was highlighted at several stations in ROME 1 and ROME 3. Reduced trophic support was, instead, found in ROME 2. Limited POM consumption where deep-water formation takes place would increase the POM role in the transfer of C to the depths. (C) 2016 Elsevier B.V. All rights reserved.</t>
  </si>
  <si>
    <t>[Misic, Cristina; Harriague, Anabella Covazzi] Univ Genoa, Dipartimento Sci Terra Ambiente &amp; Vita, Cso Europa 26, I-16132 Genoa, Italy; [Mangoni, Olga] Univ Napoli Federico II, Dipartimento Biol, Via Mezzocannone 8, I-80134 Naples, Italy; [Aulicino, Giuseppe; Castagno, Pasquale; Cotroneo, Yuri] Univ Napoli Parthenope, Dipartimento Sci &amp; Tecnol, Ctr Direz Napoli IS C4, I-80143 Naples, Italy; [Aulicino, Giuseppe] Marche Polytech Univ, Dipartimento Sci Vita &amp; Ambiente, Via Brecce Bianche, I-60131 Ancona, Italy</t>
  </si>
  <si>
    <t>University of Genoa; University of Naples Federico II; Parthenope University Naples; Marche Polytechnic University</t>
  </si>
  <si>
    <t>Misic, C (corresponding author), Univ Genoa, Dipartimento Sci Terra Ambiente &amp; Vita, Cso Europa 26, I-16132 Genoa, Italy.</t>
  </si>
  <si>
    <t>misic@dipteris.unige.it</t>
  </si>
  <si>
    <t>Aulicino, Giuseppe/I-8981-2019; Castagno, Pasquale/JAC-6923-2023; Castagno, Pasquale/HCI-3939-2022; Cotroneo, Yuri/M-4010-2019</t>
  </si>
  <si>
    <t>Aulicino, Giuseppe/0000-0001-6406-8715; Cotroneo, Yuri/0000-0002-0099-0142; MISIC, CRISTINA/0000-0002-2577-1800; Castagno, Pasquale/0000-0002-5705-1066</t>
  </si>
  <si>
    <t>Italian National Program for Antarctic Research (PNRA) [2013/AN2.04]</t>
  </si>
  <si>
    <t>Italian National Program for Antarctic Research (PNRA)</t>
  </si>
  <si>
    <t>We would like to thank the captain and crew of the R/V Italica for their unstinting assistance during the cruise. We are grateful to Paolo Povero and Enrico Olivari for their logistical support and for the hard sampling work, to Paola Rivaro, who provided the UML depths, and to Giorgio Budillon for the constructive discussion on the physical data. This study was conducted in the framework of the project Ross Sea Mesoscale Experiment (ROME) funded by the Italian National Program for Antarctic Research (PNRA, 2013/AN2.04).</t>
  </si>
  <si>
    <t>10.1016/j.jmarsys.2016.06.012</t>
  </si>
  <si>
    <t>WOS:000391074300012</t>
  </si>
  <si>
    <t>Balzano, S; Percopo, I; Siano, R; Gourvil, P; Chanoine, M; Marie, D; Vaulot, D; Sarno, D</t>
  </si>
  <si>
    <t>Balzano, Sergio; Percopo, Isabella; Siano, Raffaele; Gourvil, Priscillia; Chanoine, Melanie; Marie, Dominique; Vaulot, Daniel; Sarno, Diana</t>
  </si>
  <si>
    <t>MORPHOLOGICAL AND GENETIC DIVERSITY OF BEAUFORT SEA DIATOMS WITH HIGH CONTRIBUTIONS FROM THE CHAETOCEROS NEOGRACILIS SPECIES COMPLEX</t>
  </si>
  <si>
    <t>biogeography; ITS; ITS2 secondary structure; LSU; morphology; phylogeny; polar diatoms; SSU</t>
  </si>
  <si>
    <t>PSEUDO-NITZSCHIA BACILLARIOPHYCEAE; RIBOSOMAL-RNA GENE; SP-NOV BACILLARIOPHYCEAE; SKELETONEMA BACILLARIOPHYCEAE; PHYLOGENETIC-RELATIONSHIPS; PHYTOPLANKTON COMMUNITIES; ORDER THALASSIOSIRALES; EUKARYOTIC COMMUNITY; MOLECULAR PHYLOGENY; SEASONAL-VARIATION</t>
  </si>
  <si>
    <t>Seventy-five diatom strains isolated from the Beaufort Sea (Canadian Arctic) in the summer of 2009 were characterized by light and electron microscopy (SEM and TEM), as well as 18S and 28S rRNA gene sequencing. These strains group into 20 genotypes and 17 morphotypes and are affiliated with the genera Arcocellulus, Attheya, Chaetoceros, Cylindrotheca, Eucampia, Nitzschia, Porosira, Pseudonitzschia, Shionodiscus, Thalassiosira, and Synedropsis. Most of the species have a distribution confined to the northern/polar area. Chaetoceros neogracilis and Chaetoceros gelidus were the most represented taxa. Strains of C. neogracilis were morphologically similar and shared identical 18S rRNA gene sequences, but belonged to four distinct genetic clades based on 28S rRNA, ITS-1 and ITS-2 phylogenies. Secondary structure prediction revealed that these four clades differ in hemi-compensatory base changes (HCBCs) in paired positions of the ITS-2, suggesting their inability to interbreed. Reproductively isolated C. neogracilis genotypes can thus co-occur in summer phytoplankton communities in the Beaufort Sea. C. neogracilis generally occurred as single cells but also formed short colonies. It is phylogenetically distinct from an Antarctic species, erroneously identified in some previous studies as C. neogracilis, but named here as Chaetoceros sp. This work provides taxonomically validated sequences for 20 Arctic diatom taxa, which will facilitate future metabarcoding studies on phytoplankton in this region.</t>
  </si>
  <si>
    <t>[Balzano, Sergio; Gourvil, Priscillia; Chanoine, Melanie; Marie, Dominique; Vaulot, Daniel] UPMC Univ Paris 06, Sorbonne Univ, CNRS, Stn Biol Roscoff,UMR 7144, F-29680 Roscoff, France; [Percopo, Isabella; Sarno, Diana] Stn Zool Anton Dohrn, Integrat Marine Ecol Dept, I-80121 Naples, Italy; [Siano, Raffaele] IFREMER, Dyneco Pelagos, BP 70, F-29280 Plouzane, France; [Balzano, Sergio] Nioz Royal Netherlands Inst Sea Res, Dept Marine Microbiol &amp; Biogeochem, POB 59, NL-1790 AB Texel, Netherlands</t>
  </si>
  <si>
    <t>Sorbonne Universite; Centre National de la Recherche Scientifique (CNRS); CNRS - Institute of Ecology &amp; Environment (INEE); Stazione Zoologica Anton Dohrn di Napoli; Ifremer; Utrecht University; Royal Netherlands Institute for Sea Research (NIOZ)</t>
  </si>
  <si>
    <t>Balzano, S (corresponding author), UPMC Univ Paris 06, Sorbonne Univ, CNRS, Stn Biol Roscoff,UMR 7144, F-29680 Roscoff, France.;Balzano, S (corresponding author), Nioz Royal Netherlands Inst Sea Res, Dept Marine Microbiol &amp; Biogeochem, POB 59, NL-1790 AB Texel, Netherlands.</t>
  </si>
  <si>
    <t>sergio.balzano@nioz.nl</t>
  </si>
  <si>
    <t>Balzano, Sergio/L-7936-2017; GOURVIL, PRISCILLIA/AAM-3903-2020</t>
  </si>
  <si>
    <t>Balzano, Sergio/0000-0002-3172-1332; GOURVIL, PRISCILLIA/0000-0003-0408-4988; SARNO, DIANA/0000-0001-9697-5301; Vaulot, Daniel/0000-0002-0717-5685</t>
  </si>
  <si>
    <t>MALINA project; ANR [ANR-08-BLAN-0308]; ASSEMBLE EU FP7 Research Infrastructure Initiative [EU-RI-227799]; ANR Project PhytoPol [ANR-15-CE02-0007-02]; EU project MaCuMBA [FP7-KBBE-2012-6-311975]; Agence Nationale de la Recherche (ANR) [ANR-08-BLAN-0308] Funding Source: Agence Nationale de la Recherche (ANR)</t>
  </si>
  <si>
    <t>MALINA project; ANR(Agence Nationale de la Recherche (ANR)); ASSEMBLE EU FP7 Research Infrastructure Initiative; ANR Project PhytoPol(Agence Nationale de la Recherche (ANR)); EU project MaCuMBA; Agence Nationale de la Recherche (ANR)(Agence Nationale de la Recherche (ANR))</t>
  </si>
  <si>
    <t>We thank all participants to MALINA cruise for their help. This work was mainly supported by the MALINA project, in particular ANR (ANR-08-BLAN-0308), which funded SB post-doctoral work, the ASSEMBLE EU FP7 Research Infrastructure Initiative (EU-RI-227799) which funded IP and RS fellowships, the ANR Project PhytoPol (ANR-15-CE02-0007-02) and the EU project MaCuMBA (FP7-KBBE-2012-6-311975). We are grateful to F. Iamunno and R. Graziano (Electron Microscopy Service, SZN) for EM support.</t>
  </si>
  <si>
    <t>10.1111/jpy.12489</t>
  </si>
  <si>
    <t>EP3CJ</t>
  </si>
  <si>
    <t>WOS:000397259800015</t>
  </si>
  <si>
    <t>McDougall, TJ; Ferrari, R</t>
  </si>
  <si>
    <t>McDougall, Trevor J.; Ferrari, Raffaele</t>
  </si>
  <si>
    <t>Abyssal Upwelling and Downwelling Driven by Near-Boundary Mixing</t>
  </si>
  <si>
    <t>OVERTURNING CIRCULATION; OCEAN; WATER; DIFFUSION; FLOW; VARIABILITY; PACIFIC; BOTTOM; FLUID; RATES</t>
  </si>
  <si>
    <t>A buoyancy and volume budget analysis of bottom-intensified mixing in the abyssal ocean reveals simple expressions for the strong upwelling in very thin continental boundary layers and the interior near-boundary downwelling in the stratified ocean interior. For a given amount of Antarctic Bottom Water that is upwelled through neutral density surfaces in the abyssal ocean ( between 2000 and 5000m), up to 5 times this volume flux is upwelled in narrow, turbulent, sloping bottom boundary layers, while up to 4 times the net upward volume transport of Bottom Water flows downward across isopycnals in the near-boundary stratified ocean interior. These ratios are a direct result of a buoyancy budget with respect to buoyancy surfaces, and these ratios are calculated from knowledge of the stratification in the abyss along with the assumed e-folding height that characterizes the decrease of the magnitude of the turbulent diapycnal buoyancy flux away from the seafloor. These strong diapycnal upward and downward volume transports are confined to a few hundred kilometers of the continental boundaries, with no appreciable diapycnal motion in the bulk of the interior ocean.</t>
  </si>
  <si>
    <t>[McDougall, Trevor J.] Univ New South Wales, Sch Math &amp; Stat, Sydney, NSW, Australia; [Ferrari, Raffaele] MIT, 77 Massachusetts Ave, Cambridge, MA 02139 USA</t>
  </si>
  <si>
    <t>University of New South Wales Sydney; Massachusetts Institute of Technology (MIT)</t>
  </si>
  <si>
    <t>McDougall, TJ (corresponding author), Univ New South Wales, Sch Math &amp; Stat, Sydney, NSW, Australia.</t>
  </si>
  <si>
    <t>trevor.mcdougall@unsw.edu.au</t>
  </si>
  <si>
    <t>McDougall, Trevor J/A-6770-2013</t>
  </si>
  <si>
    <t>Australian Research Council [FL150100090]; National Science Foundation [OCE-1233832]; Division Of Ocean Sciences; Directorate For Geosciences [1233832, 1536515] Funding Source: National Science Foundation</t>
  </si>
  <si>
    <t>Australian Research Council(Australian Research Council); National Science Foundation(National Science Foundation (NSF)); Division Of Ocean Sciences; Directorate For Geosciences(National Science Foundation (NSF)NSF - Directorate for Geosciences (GEO))</t>
  </si>
  <si>
    <t>This work was done while TJMcD was visiting the Woods Hole Oceanographic Institution and the Massachusetts Institute of Technology where the generosity of the Houghton fellowship is gratefully acknowledged. Paul Barker is thanked for doing the calculations underlying Fig. 3, and Louise Bell of Louise Bell Graphic Design (Tasmania) is thanked for preparing the other illustrations. We gratefully acknowledge Australian Research Council support through Grant FL150100090 (T. McD) and National Science Foundation support through Grant OCE-1233832 (R. F.)</t>
  </si>
  <si>
    <t>10.1175/JPO-D-16-0082.1</t>
  </si>
  <si>
    <t>EL3FP</t>
  </si>
  <si>
    <t>WOS:000394505300001</t>
  </si>
  <si>
    <t>Das, A; Singh, T; LokaBharathi, PA; Dhakephalkar, PK; Mallik, S; Kshirsagar, PR; Khadge, NH; Nath, BN; Bhattacharya, S; Dagar, AK; Kaur, P; Ray, D; Shukla, AD; Fernandes, CEG; Fernandes, SO; Thomas, TRA; Mamatha, SS; Mourya, BS; Meena, RM</t>
  </si>
  <si>
    <t>Das, Anindita; Singh, Tanya; LokaBharathi, P. A.; Dhakephalkar, Prashant K.; Mallik, Sweta; Kshirsagar, Pranav R.; Khadge, N. H.; Nath, B. Nagender; Bhattacharya, Satadru; Dagar, Aditya Kumar; Kaur, Prabhjot; Ray, Dwijesh; Shukla, Anil D.; Fernandes, Christabelle E. G.; Fernandes, Sheryl O.; Thomas, Tresa Remya A.; Mamatha, S. S.; Mourya, Babu Shashikant; Meena, Ram Murti</t>
  </si>
  <si>
    <t>Astrobiological implications of dim light phototrophy in deep-sea red clays</t>
  </si>
  <si>
    <t>LIFE SCIENCES IN SPACE RESEARCH</t>
  </si>
  <si>
    <t>Aerobic; Anaerobic; Anoxygenic phototrophs; Central India Basin; Dim-light phototrophy; Astrobiology</t>
  </si>
  <si>
    <t>BACTERIAL DIVERSITY; EVOLUTION; IRON; CHEMILUMINESCENCE; INCLUSION; OXIDATION; SEDIMENTS; SULFIDE; NUMBER; LIFE</t>
  </si>
  <si>
    <t>Red clays of Central Indian Basin (CIB) under influence of trace of Rodriguez Triple Junction exhibited chemoautotrophy, low temperature hydrothermal alterations and photoautotrophic potential. Seamount flank TVBC-08, hosting such signatures revealed dominance of aerobic anoxygenic phototroph Erythrobacter, with 93% of total 454 pyrosequencing tags. Subsequently, enrichments for both aerobic (Erythrobacter) and anaerobic anoxygenic phototrophs (green and purple sulphur bacteria) under red and white LED light illumination, with average irradiance 30.66 W m -2, were attempted for three red-clay sediment cores. Successful enrichments were obtained after incubation for c. a. 120 days at 4 degrees+ 2 degrees C and 25 degrees+ 2 degrees C, representing ambient psychrophilic and low temperature hydrothermal alteration conditions respectively. During hydrothermal cooling, a microbial succession from anaerobic chemolithotrophy to oxygenic photoautotrophy through anaerobic/aerobic anoxygenic phototrophic microbes is indicated. Spectral absorbance patterns of the methanol extracted cell pellets showed peaks corresponding to metal sulphide precipitations, the Soret band of chlorosome absorbance by photosystem II and absence of peaks at Qy transition band. Dendritic nano-structures of metal sulphides are common in these sediments and are comparable with other sulphidic paleo-marine Martian analogues. Significant blue and redshifts have been observed for the experimental samples relative to the un-inoculated medium. These observations indicate the propensity of metal-sulphide deposits contributing to chemiluminiscence supporting the growth of phototrophs at least partially, in the otherwise dark abyss. The effects of other geothermal heat and light sources are also under further consideration. The potential of phototrophic microbial cells to exhibit Doppler shift in absorbance patterns is significant towards understanding planetary microbial habitability. Planetary desiccation could considerably influence Doppler effects and consequently spectral detection techniques exo-planetary microbial life. (C) 2017 The Committee on Space Research (COSPAR). Published by Elsevier Ltd. All rights reserved.</t>
  </si>
  <si>
    <t>[Das, Anindita; Dhakephalkar, Prashant K.; Mallik, Sweta; Kshirsagar, Pranav R.] Maharashtra Assoc Cultivat Sci, Agharkar Res Inst, GG Agarkar Rd, Pune 411004, Maharashtra, India; [Das, Anindita; Singh, Tanya; LokaBharathi, P. A.; Khadge, N. H.; Nath, B. Nagender; Fernandes, Christabelle E. G.; Fernandes, Sheryl O.; Thomas, Tresa Remya A.; Mamatha, S. S.; Mourya, Babu Shashikant; Meena, Ram Murti] Natl Inst Oceanog, Council Sci &amp; Ind Res, Panaji 403004, Goa, India; [Bhattacharya, Satadru; Dagar, Aditya Kumar; Kaur, Prabhjot] Indian Space Res Org, Space Applicat Ctr, 4361 Satellite Rd,Ambawadi Vistar PO, Ahmadabad 380015, Gujarat, India; [Ray, Dwijesh; Shukla, Anil D.] Phys Res Lab, Ahmadabad 380054, Gujarat, India; [Fernandes, Sheryl O.] Natl Ctr Antarctic &amp; Ocean Res, Vasco Da Gama 403804, Goa, India; [Singh, Tanya] Univ Ryukyus, Sesoko Stn, Trop Biosphere Res Ctr, 3422 Sesoko, Motobu, Okinawa 9050277, Japan</t>
  </si>
  <si>
    <t>Department of Science &amp; Technology (India); Agharkar Research Institute (ARI); Council of Scientific &amp; Industrial Research (CSIR) - India; CSIR - National Institute of Oceanography (NIO); Department of Space (DoS), Government of India; Indian Space Research Organisation (ISRO); Space Applications Centre (SAC); Department of Space (DoS), Government of India; Physical Research Laboratory - India; Ministry of Earth Sciences (MoES) - India; National Centre for Polar and Ocean Research (NCPOR); University of the Ryukyus</t>
  </si>
  <si>
    <t>Das, A (corresponding author), Maharashtra Assoc Cultivat Sci, Agharkar Res Inst, GG Agarkar Rd, Pune 411004, Maharashtra, India.</t>
  </si>
  <si>
    <t>anindita.ocean@gmail.co</t>
  </si>
  <si>
    <t>Kaur, Prabhjot/JKI-7709-2023; Shukla, Anil D/L-7858-2016; Singh, Tanya/HQZ-7269-2023; SS, Mamatha/G-6059-2010</t>
  </si>
  <si>
    <t>Singh, Tanya/0000-0001-8104-0597; Bhattacharya, Satadru/0000-0001-5431-234X; , Tresa Reamy A T/0009-0009-0497-7971; Ray, Dwijesh/0000-0002-6320-353X</t>
  </si>
  <si>
    <t>Ministry of Earth Sciences, Govt. of India; ISRO-PRL-PLANEX; ISRO-MOM-AO; CSIR; DST-SERB; DST-SERB fellowship; [GAP2128]; [GAP2694]; [OLP1202]</t>
  </si>
  <si>
    <t>Ministry of Earth Sciences, Govt. of India; ISRO-PRL-PLANEX; ISRO-MOM-AO; CSIR(Council of Scientific &amp; Industrial Research (CSIR) - India); DST-SERB(Department of Science &amp; Technology (India)Science Engineering Research Board (SERB), India); DST-SERB fellowship; ; ;</t>
  </si>
  <si>
    <t>Authors thank Dr. K.M. Paknikar, Director, MACS-ARI, Director Dr. S. Prasanna Kumar, ex-Directors Dr. S.W.A. Naqvi and Dr. S. R. Shetye, CSIR-NIO, Goa, India, Chairman ISRO, Director, SAC, Dean PRL, leaders/members of projects GAP2128, GAP2694, GEOSINKS (OLP1202) and crew of Akademik Boris Petrov and Sindhu Sadhana for their valuable support. AD thanks SCOR-WG135, Prof. D.L. Kirchman (Univ. Delaware) for their co-operation and conceptual support. Cooperative Run of ICoMM is acknowledged for pyrosequencing. Dr. Deepa C. Kshirsagar, Dr. Prasad Kulkarni and Mr. Gulshan (MACS-ARI) are thanked for spectrophotometric facilities and technical support. Funding authorities, Ministry of Earth Sciences, Govt. of India, ISRO-PRL-PLANEX and ISRO-MOM-AO, CSIR, DST-SERB, are thanked for financial support. CSIR Emeritus Scientist fellowship to PAL and research fellowships to AD, SM, CEGF, SOF, BSM and TTRA and DST-SERB fellowship to AD are gratefully acknowledged. The paper is CSIR-NIO's contribution with submission no. 7848 and shares equal credit with MACS-ARI, Pune, ISRO-SAC and PRL, Ahmedabad, India.</t>
  </si>
  <si>
    <t>2214-5524</t>
  </si>
  <si>
    <t>2214-5532</t>
  </si>
  <si>
    <t>LIFE SCI SPACE RES</t>
  </si>
  <si>
    <t>Life Sci. Space Res.</t>
  </si>
  <si>
    <t>10.1016/j.lssr.2017.01.002</t>
  </si>
  <si>
    <t>Astronomy &amp; Astrophysics; Biology; Multidisciplinary Sciences</t>
  </si>
  <si>
    <t>Astronomy &amp; Astrophysics; Life Sciences &amp; Biomedicine - Other Topics; Science &amp; Technology - Other Topics</t>
  </si>
  <si>
    <t>EO9ZH</t>
  </si>
  <si>
    <t>WOS:000397046100005</t>
  </si>
  <si>
    <t>Carpenter-Kling, T; Handley, JM; Green, DB; Reisinger, RR; Makhado, AB; Crawford, RJM; Pistorius, PA</t>
  </si>
  <si>
    <t>Carpenter-Kling, Tegan; Handley, Jonathan M.; Green, David B.; Reisinger, Ryan R.; Makhado, Azwainewi B.; Crawford, Robert J. M.; Pistorius, Pierre A.</t>
  </si>
  <si>
    <t>A novel foraging strategy in gentoo penguins breeding at sub-Antarctic Marion Island</t>
  </si>
  <si>
    <t>PRINCE-EDWARD-ISLANDS; PYGOSCELIS-PAPUA; PHALACROCORAX-ATRICEPS; CHINSTRAP PENGUINS; TEMPORAL VARIATION; DIVING BEHAVIOR; AUK ALLE; DIET; TIME; PATTERNS</t>
  </si>
  <si>
    <t>To help meet the high energy demands of raising the young, some seabirds alternate between short, frequent foraging trips to maximize food delivery to the young, and infrequent, long foraging trips that serve towards self-maintenance. Our study is the first to investigate the foraging behaviour of gentoo penguins at Marion Island, which we did through a combined use of GPS loggers and time-depth recorders. The shallow shelf between Marion and Prince Edward Islands proved to be an important foraging area, and penguins exploited this area using a novel foraging strategy. Penguins undertook alternating trips of relatively short and long durations. Short trips, performed in the afternoon, were likely associated with self-maintenance as they were followed by roosting on the beach overnight and not returning to the colony. They were followed by longer and more distant foraging trips, after which birds returned to the colony to provision chicks. To our knowledge, this is the first study to demonstrate alternating trip lengths in gentoo penguins and the first to associate short trips with self-maintenance in seabirds. We suggest that due to the close proximity of a predictable foraging area for these penguins at Marion Island, there is minimal energetic cost to return to land after self-provisioning. Hence, unlike other seabirds that feed at greater distances from their breeding colonies, gentoo penguins are afforded the opportunity for short self-maintenance trips. Finally, we argue that these birds may be using this novel strategy due to sub-optimal feeding conditions resulting from environmental change.</t>
  </si>
  <si>
    <t>[Carpenter-Kling, Tegan; Handley, Jonathan M.; Green, David B.; Reisinger, Ryan R.; Makhado, Azwainewi B.; Pistorius, Pierre A.] Nelson Mandela Metropolitan Univ, Dept Zool, DST NRF Ctr Excellence, Percy Fitzpatrick Inst African Ornithol, Port Elizabeth, South Africa; [Makhado, Azwainewi B.; Crawford, Robert J. M.] Branch Oceans &amp; Coasts, Dept Environm Affairs, Cape Town, South Africa; [Crawford, Robert J. M.] Univ Cape Town, Anim Demog Unit, Cape Town, South Africa</t>
  </si>
  <si>
    <t>Nelson Mandela University; National Research Foundation - South Africa; Department of Environment, Forestry &amp; Fisheries; University of Cape Town</t>
  </si>
  <si>
    <t>Carpenter-Kling, T (corresponding author), Nelson Mandela Metropolitan Univ, Dept Zool, DST NRF Ctr Excellence, Percy Fitzpatrick Inst African Ornithol, Port Elizabeth, South Africa.</t>
  </si>
  <si>
    <t>tegan.carpenterkling@gmail.com</t>
  </si>
  <si>
    <t>Green, David/U-5570-2019; Reisinger, Ryan/D-6151-2014</t>
  </si>
  <si>
    <t>Green, David/0000-0002-0346-3129; Carpenter-Kling, Tegan/0000-0001-8449-2409; Reisinger, Ryan/0000-0002-8933-6875; Pistorius, Pierre/0000-0001-6561-7069; Handley, Jonathan/0000-0001-6468-338X</t>
  </si>
  <si>
    <t>South African National Antarctic Programme; National Research Foundation [SNA14073082526, SNA2005060800001]</t>
  </si>
  <si>
    <t>South African National Antarctic Programme; National Research Foundation</t>
  </si>
  <si>
    <t>Funding for this project was provided by the South African National Antarctic Programme, National Research Foundation (1. Grant number: SNA14073082526 awarded to Dr Pierre Pistorius; 2. Grant number SNA2005060800001 awarded to Dr Rob Crawford).</t>
  </si>
  <si>
    <t>10.1007/s00227-016-3066-9</t>
  </si>
  <si>
    <t>EL0MA</t>
  </si>
  <si>
    <t>WOS:000394315300004</t>
  </si>
  <si>
    <t>Pope, EL; Tailing, PJ; Carter, L</t>
  </si>
  <si>
    <t>Pope, Ed L.; Tailing, Peter J.; Carter, Lionel</t>
  </si>
  <si>
    <t>Which earthquakes trigger damaging submarine mass movements: Insights from a global record of submarine cable breaks?</t>
  </si>
  <si>
    <t>Submarine mass movements; Earthquakes; Cable breaks; Palaeoseismology; Peak ground acceleration; Hazards</t>
  </si>
  <si>
    <t>CASCADIA SUBDUCTION ZONE; TURBIDITY CURRENTS; SLOPE-STABILITY; RUPTURE AREA; M-W; M-S; SEA; LANDSLIDES; TSUNAMI; MARGIN</t>
  </si>
  <si>
    <t>Submarine landslides, debris flows and turbidity currents are significant geohazards for seafloor infrastructure in many locations around the world. Their deposits potentially provide a valuable record of major earthquakes, which extends further back in time than most terrestrial earthquake records. It is therefore important to determine their frequency and triggering mechanisms, and what types of earthquake trigger submarine slides and flows in different settings. Submarine cable breaks provided the first evidence of submarine mass movements, as shown by the 1929 Grand Banks earthquake. Even now the global network of subsea telecommunication cables provides our only means to monitor flows globally. Here, we present the first global analysis of the occurrence of submarine mass movements caused by earthquakes using cable break data. Using a global database of subsea fibre-optic cable breaks we identify earthquakes that triggered (and did not trigger) submarine mass movements from 1989 to 2015. We note that cable breaks are not a perfect record of submarine mass movements, and may only record more powerful (&gt;similar to 2 m s(-1)) flows. However, our results show, in contrast to previous assertions, that there is no specific earthquake magnitude that systematically trigger mass flows capable of breaking a cable. Some earthquakes with magnitudes &gt;7.0 M-w triggered cable breaking flows, but many &gt;7.0 M-w earthquakes have failed to break nearby cables. We also show that some very small (3.0-4.0) magnitude earthquakes are capable of triggering cable breaking flows. The susceptibility of slopes to fail as a consequence of large and small earthquakes is dependent on the average seismicity of the region and the volume of sediment supplied annually in addition to other preconditioning factors such as slope architecture and mechanical sediment properties. (C) 2016 Elsevier B.V. All rights reserved.</t>
  </si>
  <si>
    <t>[Pope, Ed L.; Tailing, Peter J.] Natl Oceanog Ctr, European Way, Southampton SO14 3ZH, Hants, England; [Carter, Lionel] Victoria Univ Wellington, Antarctic Res Ctr, Wellington, New Zealand</t>
  </si>
  <si>
    <t>University of Southampton; NERC National Oceanography Centre; Victoria University Wellington</t>
  </si>
  <si>
    <t>Pope, EL (corresponding author), Natl Oceanog Ctr, European Way, Southampton SO14 3ZH, Hants, England.</t>
  </si>
  <si>
    <t>ed.pope@noc.soton.ac.uk</t>
  </si>
  <si>
    <t>; Pope, Ed/H-9409-2017</t>
  </si>
  <si>
    <t>Talling, Peter/0000-0001-5234-0398; Pope, Ed/0000-0002-2090-2971</t>
  </si>
  <si>
    <t>NERC Environmental Risks to Infrastructure Innovation Programme [NE/N012798/1]; NERC Royal Society Industry Fellowship; EU FP7 [603839]; NERC [NE/M017540/2, NE/K011480/1, NE/N012798/1, noc010011, NE/M017540/1] Funding Source: UKRI; Natural Environment Research Council [NE/M017540/1, noc010011, NE/N012798/1, NE/M017540/2, NE/K011480/1] Funding Source: researchfish</t>
  </si>
  <si>
    <t>NERC Environmental Risks to Infrastructure Innovation Programme; NERC Royal Society Industry Fellowship; EU FP7(European Union (EU)); NERC(UK Research &amp; Innovation (UKRI)Natural Environment Research Council (NERC)); Natural Environment Research Council(UK Research &amp; Innovation (UKRI)Natural Environment Research Council (NERC))</t>
  </si>
  <si>
    <t>We are very grateful to Global Marine Systems Ltd. (GMSL) for access and permission to use its cable break database. In this regard, the assistance of Brian Perrat and Steve Holden of GMSL is particularly appreciated. General information on subsea telecommunications cables was generously supplied by the International Cable Protection Committee and its members. The project was supported by the NERC Environmental Risks to Infrastructure Innovation Programme (NE/N012798/1). P.J. Tailing was supported by a NERC Royal Society Industry Fellowship to understand submarine sediment flows and the risk they pose to global telecommunications. This research was completed within the scope of the EU FP7-funded ASTARTE (Assessment, Strategy and Risk Reduction for Tsunamis in Europe) Project (603839). We thank the guest editor, Michael Strasser, and two reviewers, Hugo Pouderoux and Geoffroy Lamarche, whose helpful comments greatly improved the manuscript</t>
  </si>
  <si>
    <t>10.1016/j.margeo.2016.01.009</t>
  </si>
  <si>
    <t>WOS:000405157900008</t>
  </si>
  <si>
    <t>Rust, S; Yamazaki, S; Jennings, S; Emery, T; Gardner, C</t>
  </si>
  <si>
    <t>Rust, Steven; Yamazaki, Satoshi; Jennings, Sarah; Emery, Timothy; Gardner, Caleb</t>
  </si>
  <si>
    <t>Excess capacity and efficiency in the quota managed Tasmanian Rock Lobster Fishery</t>
  </si>
  <si>
    <t>Excess capacity; Capacity utilisation; Efficiency; Quota management; Individual Transferable Quota; Jasus edwardsii</t>
  </si>
  <si>
    <t>INDIVIDUAL TRANSFERABLE QUOTAS; POOL RESOURCE INDUSTRIES; SMALL-SCALE FISHERIES; PRIVATE PROPERTY; JASUS-EDWARDSII; BEHAVIOR; RIGHTS; CATCH; IFQS; ITQS</t>
  </si>
  <si>
    <t>Excess capacity is a major concern for fisheries management worldwide. It is often argued that Individual Transferable Quota (ITQ) systems will enhance efficiency and alleviate problems of excess capacity. While improvements in efficiency have been observed, most empirical studies have found only modest changes in excess capacity as a result of such systems. Using a database of compulsory log-book information for the Tasmanian Rock Lobster Fishery in Australia, from January 2000 to December 2013, this study presents the first analysis to investigate the dynamic behaviour of both excess capacity and efficiency (i.e. technical and scale efficiency) in an industrialised fleet after the introduction of quota management. The analysis revealed weak evidence for a prolonged adjustment in the fishery following the introduction of an ITQ system. In addition, no marked changes in excess capacity were observed over the study period; and furthermore, there was no evidence for an increase in excess capacity during a period of non-binding Total Allowable Catch (TAC) when race to fish behaviour increased in the fishery. The results suggest a limited ability of the ITQ system to alleviate levels of excess capacity in fisheries in the long-term.</t>
  </si>
  <si>
    <t>[Rust, Steven; Yamazaki, Satoshi; Jennings, Sarah] Univ Tasmania, Tasmanian Sch Business &amp; Econ, Private Bag 84, Hobart, Tas 7001, Australia; [Emery, Timothy; Gardner, Caleb] Inst Marine &amp; Antarctic Studies Taroona, Private Bag 49, Hobart, Tas 7001, Australia; [Rust, Steven] Queensland Dept Agr &amp; Fisheries, 25 Yeppoon Rd, Parkhurst, Qld 4702, Australia</t>
  </si>
  <si>
    <t>Rust, S (corresponding author), Univ Tasmania, Tasmanian Sch Business &amp; Econ, Private Bag 84, Hobart, Tas 7001, Australia.;Rust, S (corresponding author), Queensland Dept Agr &amp; Fisheries, 25 Yeppoon Rd, Parkhurst, Qld 4702, Australia.</t>
  </si>
  <si>
    <t>steven.rust@utas.edu.au; satoshi.yamazaki@utas.edu.au; sarah.jennings@utas.edu.au; timothy.emery@utas.edu.au; caleb.gardner@utas.edu.au</t>
  </si>
  <si>
    <t>Jennings, Sarah M/J-7888-2014; Yamazaki, Satoshi/J-7538-2014; Gardner, Caleb/I-7086-2013</t>
  </si>
  <si>
    <t>Yamazaki, Satoshi/0000-0003-1279-2706; Gardner, Caleb/0000-0003-0324-4337; Emery, Timothy/0000-0002-4203-671X; Rust, STeven/0000-0002-1689-0437</t>
  </si>
  <si>
    <t>10.1016/j.marpol.2016.11.020</t>
  </si>
  <si>
    <t>WOS:000393012200007</t>
  </si>
  <si>
    <t>van Putten, IE; Jennings, S; Hobday, AJ; Bustamante, RH; Dutra, LXC; Frusher, S; Fulton, EA; Haward, M; Plagányi, EE; Thomas, L; Pecl, G</t>
  </si>
  <si>
    <t>van Putten, Ingrid E.; Jennings, Sarah; Hobday, Alistair J.; Bustamante, Rodrigo H.; Dutra, Leo X. C.; Frusher, Stewart; Fulton, Elizabeth A.; Haward, Marcus; Plaganyi, E. Eva; Thomas, Linda; Pecl, Gretta</t>
  </si>
  <si>
    <t>Recreational fishing in a time of rapid ocean change</t>
  </si>
  <si>
    <t>LOCAL ECOLOGICAL KNOWLEDGE; CLIMATE-CHANGE; FISHERIES MANAGEMENT; AUSTRALIAN MARINE; CITIZEN SCIENCE; RANGE EXTENSION; ADAPTATION; BEHAVIOR; OBJECTIVES; STRATEGIES</t>
  </si>
  <si>
    <t>Fishing is an important recreational activity for many Australians, with one in every four people participating every year. There are however many different pressures exerted on Australian fish stocks, including climate related changes that drive changes in local fish abundances. It is inevitable that recreational fishers will need to adapt to these changes. When resource abundance alters substantially, user adaptation to the new situation is required and policies and incentives may need to be developed to encourage behaviour change. It is important to correctly anticipate fisher's response to these policies and incentives as much as possible. Improved understanding of recreational fisher's likely adaptation decisions and the nature and timing of these decisions can help avoid unintended consequences of management decisions. Based on a survey of recreational fishers in the south-east Australian climate hotspot, we identify 4 relevant dimensions to recreational fisher's behavioural adaptation. There are differences in adaptation timing (early, late, and non-adaptors). Non-adaptors are characterised by greater cultural attachment to fishing and stronger perceptions of the factors that influence abundance change. The fisher's preferred adaptation responses and the timing of the behavioural response differs between decreasing versus increasing fish abundance. Insight into perspectives and expectations on how recreational fishers might adapt to changes is useful to develop a set of behavioural incentives that appeal to different groups but remain efficient and effective in their implementation. Such knowledge can create new pathways to achieve meaningful and targeted adaptation responses for different types of recreational fishers.</t>
  </si>
  <si>
    <t>[van Putten, Ingrid E.; Hobday, Alistair J.; Fulton, Elizabeth A.; Thomas, Linda] CSIRO Oceans &amp; Atmosphere, Hobart, Tas 7000, Australia; [van Putten, Ingrid E.; Jennings, Sarah; Hobday, Alistair J.; Frusher, Stewart; Fulton, Elizabeth A.; Haward, Marcus; Thomas, Linda; Pecl, Gretta] Univ Tasmania, Ctr Marine Socioecol, Hobart, Tas 7000, Australia; [Jennings, Sarah] Univ Tasmania, Tasmanian Sch Business &amp; Econ, Hobart, Tas 7000, Australia; [Bustamante, Rodrigo H.; Plaganyi, E. Eva] CSIRO Oceans &amp; Atmosphere, Brisbane, Qld, Australia; [Dutra, Leo X. C.] Univ South Pacific, Suva, Fiji; [Frusher, Stewart; Haward, Marcus; Pecl, Gretta] Univ Tasmania, Inst Marine &amp; Antarctic Studies, Hobart, Tas 7001, Australia</t>
  </si>
  <si>
    <t>Commonwealth Scientific &amp; Industrial Research Organisation (CSIRO); University of Tasmania; University of Tasmania; Commonwealth Scientific &amp; Industrial Research Organisation (CSIRO); University of the South Pacific; University of Tasmania</t>
  </si>
  <si>
    <t>van Putten, IE (corresponding author), CSIRO Oceans &amp; Atmosphere, Hobart, Tas 7000, Australia.</t>
  </si>
  <si>
    <t>ingrid.vanputten@csiro.au</t>
  </si>
  <si>
    <t>Plaganyi, Eva E/C-5130-2011; Jennings, Sarah M/J-7888-2014; van putten, ingrid/AAV-1301-2021; Fulton, Beth/AAJ-1398-2021; Dutra, Leo/R-6256-2019; Fulton, Beth/A-2871-2008; Hobday, Alistair/A-1460-2012; Pecl, Gretta/D-7267-2011; Thomas, Linda/Q-2521-2018; Haward, Marcus/G-3369-2014</t>
  </si>
  <si>
    <t>Plaganyi, Eva E/0000-0002-4740-4200; van putten, ingrid/0000-0001-8397-9768; Fulton, Beth/0000-0002-5904-7917; Pecl, Gretta/0000-0003-0192-4339; Haward, Marcus/0000-0003-4775-0864; Dutra, Leo/0000-0002-5781-3956; Thomas, Linda/0000-0001-8989-8109</t>
  </si>
  <si>
    <t>ARC [FT140100596]; Directorate For Geosciences [1342479] Funding Source: National Science Foundation; ICER [1342479] Funding Source: National Science Foundation; Australian Research Council [FT140100596] Funding Source: Australian Research Council</t>
  </si>
  <si>
    <t>ARC(Australian Research Council); Directorate For Geosciences(National Science Foundation (NSF)NSF - Directorate for Geosciences (GEO)); ICER(National Science Foundation (NSF)NSF - Directorate for Geosciences (GEO)); Australian Research Council(Australian Research Council)</t>
  </si>
  <si>
    <t>The authors wish to recognize Belmont country partner funding provided by national and regional science agencies. We appreciate the involvement of many in-country stakeholders in our research and outreach. GP was supported by an ARC Future Fellow (FT140100596).</t>
  </si>
  <si>
    <t>10.1016/j.marpol.2016.11.034</t>
  </si>
  <si>
    <t>WOS:000393012200021</t>
  </si>
  <si>
    <t>Gregory, T; Joy, KH; Strekopytov, S; Curran, NM</t>
  </si>
  <si>
    <t>Gregory, Timothy; Joy, Katherine Helen; Strekopytov, Stanislav; Curran, Natalie Mary</t>
  </si>
  <si>
    <t>Geochemistry and petrology of howardite Miller Range 11100: A lithologically diverse piece of the Vestan regolith</t>
  </si>
  <si>
    <t>CARBONACEOUS CHONDRITE CLASTS; ASTEROID 4 VESTA; LUNAR METEORITE; MAGMA OCEAN; DIOGENITES; OLIVINE; MINERALOGY; EUCRITES; DAWN; CRYSTALLIZATION</t>
  </si>
  <si>
    <t>The howardite-eucrite-diogenite (HED) clan of meteorites, which most likely originate from the asteroid Vesta, provide an opportunity to combine in-depth sample analysis with the comprehensive remote-sensing data set from NASA's recent Dawn mission. Miller Range (MIL) 11100, an Antarctic howardite, contains diverse rock and mineral fragments from common HED lithologies (diogenites, cumulate eucrites, and basaltic eucrites). It also contains a rare pyroxferroite-bearing lithology-not recognized in HED until recently-and rare Mg-rich (Fo(86-91)) olivine crystals that possibly represent material excavated from the Vestan mantle. Clast components underwent different histories of thermal and impact metamorphism before being incorporated into this sample, reflecting the diversity in geological histories experienced by different parts of Vesta. The bulk chemical composition and petrography of MIL 11100 suggest that it is akin to the fragmental howardite meteorites. The strong lithological heterogeneity across this sample suggests that at least some parts of the Vestan regolith show heterogeneity on the mm-scale. We combine the outcomes of this study with data from NASA's Dawn mission and hypothesize on possible source regions for this meteorite on the surface of Vesta.</t>
  </si>
  <si>
    <t>[Gregory, Timothy; Joy, Katherine Helen; Curran, Natalie Mary] Univ Manchester, Sch Earth &amp; Environm Sci, Manchester M13 9PL, Lancs, England; [Gregory, Timothy] Univ Bristol, Sch Earth Sci, Bristol BS8 1RJ, Avon, England; [Strekopytov, Stanislav] Nat Hist Museum, Imaging &amp; Anal Ctr, Cromwell Rd, London SW7 5BD, England</t>
  </si>
  <si>
    <t>University of Manchester; University of Bristol; Natural History Museum London</t>
  </si>
  <si>
    <t>Gregory, T (corresponding author), Univ Manchester, Sch Earth &amp; Environm Sci, Manchester M13 9PL, Lancs, England.;Gregory, T (corresponding author), Univ Bristol, Sch Earth Sci, Bristol BS8 1RJ, Avon, England.</t>
  </si>
  <si>
    <t>timothy.gregory@bristol.ac.uk</t>
  </si>
  <si>
    <t>Strekopytov, Stanislav/A-8863-2011; Strekopytov, Stanislav/ABI-2251-2020</t>
  </si>
  <si>
    <t>Strekopytov, Stanislav/0000-0001-5129-9880; Gregory, Timothy/0000-0002-0236-3337</t>
  </si>
  <si>
    <t>NSF; NASA; Leverhulme Trust [2011-569]; Science and Technology Facilities Council [ST/J001643/1]; Royal Society grant [UF140190]; University of Manchester; STFC [ST/J001643/1, ST/M001253/1] Funding Source: UKRI; Science and Technology Facilities Council [ST/J001643/1, ST/M001253/1] Funding Source: researchfish</t>
  </si>
  <si>
    <t>NSF(National Science Foundation (NSF)); NASA(National Aeronautics &amp; Space Administration (NASA)); Leverhulme Trust(Leverhulme Trust); Science and Technology Facilities Council(UK Research &amp; Innovation (UKRI)Science &amp; Technology Facilities Council (STFC)); Royal Society grant(Royal Society); University of Manchester; STFC(UK Research &amp; Innovation (UKRI)Science &amp; Technology Facilities Council (STFC)); Science and Technology Facilities Council(UK Research &amp; Innovation (UKRI)Science &amp; Technology Facilities Council (STFC))</t>
  </si>
  <si>
    <t>We thank Dr. Jon Fellowes (University of Manchester) for assistance with the ESEM and EMP analyses.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acknowledge Leverhulme Trust (grant 2011-569), Science and Technology Facilities Council (consolidated grant ST/J001643/1), Royal Society grant (UF140190), and the University of Manchester for funding to support this study, which was born out of an MEarthSci Geology with Planetary Science 4th year undergraduate research project. The manuscript was significantly improved by the thoughtful comments from and helpful discussion with the reviewers Drs. Akira Yamaguchi and Jean-Alix Barrat, and from Associate Editor Dr. Cyrena Goodrich, for which we are grateful.</t>
  </si>
  <si>
    <t>10.1111/maps.12782</t>
  </si>
  <si>
    <t>EO6SO</t>
  </si>
  <si>
    <t>WOS:000396823000002</t>
  </si>
  <si>
    <t>McInnes, JC; Alderman, R; Deagle, BE; Lea, MA; Raymond, B; Jarman, SN</t>
  </si>
  <si>
    <t>McInnes, Julie C.; Alderman, Rachael; Deagle, Bruce E.; Lea, Mary-Anne; Raymond, Ben; Jarman, Simon N.</t>
  </si>
  <si>
    <t>Optimised scat collection protocols for dietary DNA metabarcoding in vertebrates</t>
  </si>
  <si>
    <t>albatross; cestoda; faeces; food; molecular; non-invasive; parasites; prey; procellariiformes; seabird</t>
  </si>
  <si>
    <t>THALASSARCHE-CAUTA; MOLECULAR ANALYSIS; ALBATROSS ISLAND; SHY ALBATROSSES; SAMPLE AGE; FECAL DNA; PREY DNA; PCR; CARNIVORES; AUSTRALIA</t>
  </si>
  <si>
    <t>1. DNA metabarcoding of food in animal scats provides a non-invasive dietary analysis method for vertebrates. A variety of molecular approaches can be used to recover dietary DNA from scats; however, many of these also recover non-food DNA. Blocking primers can be used to inhibit amplification of some non-target DNA, but this may not always be feasible, especially when multiple distinct non-target groups are present. We have developed scat collection protocols to optimise the detection of food DNA in vertebrate scat samples. Using shy albatross Thalassarche cauta as a case study, we investigated how DNA amplification success and the proportion of food DNA detected are influenced by both environmental and physiological parameters. We show that both the amount and type of non-target DNA vary with sample freshness, the collection substrate, fasting period and developmental stage of the consumer. Fresh scat samples yielded the highest proportion of food sequences. Collecting scats from dirt substrates reduced the proportion of food DNA and increased the proportion of contaminating DNA. Food DNA detection rates changed throughout the albatross breeding season and related to the time since feeding and the developmental stage of the animal. Fasting albatross produced scats dominated by parasite amplicons in universal PCR analysis, with little food DNA recovered. Samples from very young animals also produced reduced food DNA proportions. Based on our observations, we recommend the following procedures for field scat collections to ensure high-quality samples for dietary DNA metabarcoding studies. Ideally, (i) collect fresh scats; (ii) from surfaces with minimal contamination (e.g. rock or ice); (iii) collect scats from animals with minimum time since feeding and avoid fasting animals; (iv) avoid young animals that are not feeding directly (e.g. not weaned or fledged) or target larger/older individuals. The optimised field sampling protocols that we describe will improve the quality of dietary data from vertebrates by focusing on samples most likely to contain food DNA. They will also help minimise contamination issues from non-target DNA and provide standardised field methods in this rapidly expanding area of research.</t>
  </si>
  <si>
    <t>[McInnes, Julie C.; Lea, Mary-Anne; Raymond, Ben] Univ Tasmania, Inst Marine &amp; Antarctic Studies, Private Bag 129, Hobart, Tas 7001, Australia; [McInnes, Julie C.; Deagle, Bruce E.; Raymond, Ben; Jarman, Simon N.] Australian Antarctic Div, Kingston, Tas 7050, Australia; [Alderman, Rachael] Dept Primary Ind, Pk Water &amp; Environm, 134 Macquarie St, Hobart, Tas 7000, Australia; [Jarman, Simon N.] Univ Porto, Ctr Invest Biodiversidade &amp; Recursos Genet, CIBIO InBIO, P-4485661 Vairao, Portugal</t>
  </si>
  <si>
    <t>University of Tasmania; Australian Antarctic Division; Universidade do Porto</t>
  </si>
  <si>
    <t>McInnes, JC (corresponding author), Univ Tasmania, Inst Marine &amp; Antarctic Studies, Private Bag 129, Hobart, Tas 7001, Australia.;McInnes, JC (corresponding author), Australian Antarctic Div, Kingston, Tas 7050, Australia.</t>
  </si>
  <si>
    <t>julie.mcinnes@utas.edu.au</t>
  </si>
  <si>
    <t>McInnes, Julie C/C-2865-2014; Deagle, Bruce E/R-2999-2019; Lea, Mary-Anne/E-9054-2013; Jarman, Simon/H-9265-2016</t>
  </si>
  <si>
    <t>Deagle, Bruce E/0000-0001-7651-3687; McInnes, Julie/0000-0001-8902-5199; Lea, Mary-Anne/0000-0001-8318-9299; Jarman, Simon/0000-0002-0792-9686</t>
  </si>
  <si>
    <t>Australian Antarctic Science Grant [4014]; Winifred Violet Scott Charitable Trust; European Union [668981]</t>
  </si>
  <si>
    <t>Australian Antarctic Science Grant; Winifred Violet Scott Charitable Trust; European Union(European Union (EU))</t>
  </si>
  <si>
    <t>This project used University of Tasmania Animal Ethics Permit A13745 and Tasmanian DPIPWE Scientific Permits TFA 14049 and TFA 15081. Funding was provided by Australian Antarctic Science Grant (4014) the Winifred Violet Scott Charitable Trust. This project has received funding from the European Union's Horizon 2020 research and innovation programme under grant agreement No 668981. Thanks to James Marthick and Menzies Institute (UTAS) for Miseq use; Kris Carlyon, Sam Thalmann (DPIPWE) and Alistair Hobday (CSIRO) for field assistance; Andrea Polanowski and Cassy Faux (AAD) for laboratory advice; and Simon Wotherspoon (UTAS) for statistical advice.</t>
  </si>
  <si>
    <t>10.1111/2041-210X.12677</t>
  </si>
  <si>
    <t>EM1QQ</t>
  </si>
  <si>
    <t>Green Accepted, hybrid, Green Published</t>
  </si>
  <si>
    <t>WOS:000395092500006</t>
  </si>
  <si>
    <t>Garrido-Benavent, I; Pérez-Ortega, S; de los Ríos, A</t>
  </si>
  <si>
    <t>Garrido-Benavent, Isaac; Perez-Ortega, Sergio; de los Rios, Asuncion</t>
  </si>
  <si>
    <t>From Alaska to Antarctica: Species boundaries and genetic diversity of Prasiola (Trebouxiophyceae), a foliose chlorophyte associated with the bipolar lichen-forming fungus Mastodia tessellata</t>
  </si>
  <si>
    <t>MOLECULAR PHYLOGENETICS AND EVOLUTION</t>
  </si>
  <si>
    <t>Prasiolaceae; Species delimitation; Cryptic species; Phylogeography; Bipolar distribution</t>
  </si>
  <si>
    <t>LONG-DISTANCE DISPERSAL; POPULATION-STRUCTURE; MOLECULAR PHYLOGENY; PHOTOBIONT DIVERSITY; MAXIMUM-LIKELIHOOD; CANARY-ISLANDS; DNA TAXONOMY; NEW-ZEALAND; SP-NOV; DELIMITATION</t>
  </si>
  <si>
    <t>Symbiotic associations between green algae (Chlorophyta) and fungi give rise to morphologically and eco-physiologically distinct entities, or so-called, lichens. In one of the most peculiar of these associations, the partners are species of the macroscopic genus Prasiola (Trebouxiophyceae) and the ascomycete Mastodia tessellata (Verrucariaceae). This is the only known case of a lichen symbiosis involving a foliose green alga. Despite intense research targeted at understanding the biology of this particular association, little is known about the genetic variability of its symbionts. This study focuses on the photobiont partner of this lichen and was designed to explore and compare its genetic diversity along a latitudinal axis from Alaska to Antarctica. Molecular sequence data were generated for three loci: two nuclear markers (nrITS, RPL10A) and one plastid-encoded marker (tufA). The usefulness of the Prasiola nrITS and RPL10A data was examined at the species and intraspecific levels. We used the population assignment tests implemented in BAPS and STRUCTURE and two algorithmic species delimitation procedures (ABGD, GMYC) to generate species boundary discovery hypotheses, which were subsequently tested using Bayes factors. Population genetic differentiation and structure were also assessed through fixation indices, polymorphism statistics and haplotype networks. Based on the results of the species validation method, we propose that at least two species of Prasiola associate with the lichen-forming fungus Mastodia tessellata. Of these, P. borealis is broadly distributed in Alaska, Tierra del Fuego and the Antarctic Peninsula, whereas the second, undescribed, species is restricted to the Antarctic Peninsula. We detected significant phylogeographic substructure in P. borealis, including greater haplotype diversity in the Tierra del Fuego populations. Our findings provide new data that will be useful to unravel the cryptic diversity and phylogeographic patterns of the green alga partners of lichens. (C) 2016 Elsevier Inc. All rights reserved.</t>
  </si>
  <si>
    <t>[Garrido-Benavent, Isaac; Perez-Ortega, Sergio; de los Rios, Asuncion] MNCN CSIC, Natl Museum Nat Sci, Dept Biogeochem &amp; Microbial Ecol, Serrano 115 Dpdo, E-28045 Madrid, Spain; [Perez-Ortega, Sergio] CSIC, Real Jardin Bot, Plaza Murillo 2, E-28014 Madrid, Spain</t>
  </si>
  <si>
    <t>Consejo Superior de Investigaciones Cientificas (CSIC); Consejo Superior de Investigaciones Cientificas (CSIC); CSIC - Real Jardin Botanico de Madrid</t>
  </si>
  <si>
    <t>Garrido-Benavent, I (corresponding author), MNCN CSIC, Natl Museum Nat Sci, Dept Biogeochem &amp; Microbial Ecol, Serrano 115 Dpdo, E-28045 Madrid, Spain.</t>
  </si>
  <si>
    <t>igbenavent@mncn.csic.es</t>
  </si>
  <si>
    <t>de los Rios, Asuncion/L-3694-2014; Garrido-Benavent, Isaac/AAA-1982-2020; Perez-Ortega, Sergio/G-1257-2016</t>
  </si>
  <si>
    <t>de los Rios, Asuncion/0000-0002-0266-3516; Garrido-Benavent, Isaac/0000-0002-5230-225X; Perez-Ortega, Sergio/0000-0002-5411-3698</t>
  </si>
  <si>
    <t>Spanish Ministry of Economy and Competitiveness [CTM2012-38222-C02-02, FPU AP2012-3556, RYC-2014-16784]; Spanish Polar Committee [CTM2012-38222-CO2-01]; Marine Technology Unit UTM of CSIC [CTM2012-38222-CO2-01]</t>
  </si>
  <si>
    <t>Spanish Ministry of Economy and Competitiveness(Spanish Government); Spanish Polar Committee; Marine Technology Unit UTM of CSIC</t>
  </si>
  <si>
    <t>This study was financed by grant CTM2012-38222-C02-02, IGB was supported by grant FPU AP2012-3556, and SPO by the grants CTM2012-38222-C02-02 and RYC-2014-16784, all from the Spanish Ministry of Economy and Competitiveness. The authors would like to thank to the Spanish Polar Committee and to the Marine Technology Unit UTM of CSIC which provided the necessary logistics for field work in Antarctica and Leopoldo Garcia Sancho (UCM), Ricardo Rozzi (Universidad de Magallanes) and CTM2012-38222-CO2-01 grant in Tierra del Fuego. We also thank Ulrik Sochting (Copenhagen), Juan Carlos Galindo (Cadiz), Joanne Romagni (Houston), Fernando Fernandez-Mendoza (Graz), Jose Eduardo Gonzalez Pastor (Madrid) and Clara Laguna (Madrid) for contributing to collections; Karen Dillman (Petersburg) and Toby Spribille (Graz) for assistance during field work in Alaska; Fabio Rindi (Ancona), Olivier De Clerk (Ghent) and Heidi Lischer (Bern) for providing useful references and help with specific software; and Ana Burton for editorial assistance.</t>
  </si>
  <si>
    <t>1055-7903</t>
  </si>
  <si>
    <t>1095-9513</t>
  </si>
  <si>
    <t>MOL PHYLOGENET EVOL</t>
  </si>
  <si>
    <t>Mol. Phylogenet. Evol.</t>
  </si>
  <si>
    <t>10.1016/j.ympev.2016.10.013</t>
  </si>
  <si>
    <t>Biochemistry &amp; Molecular Biology; Evolutionary Biology; Genetics &amp; Heredity</t>
  </si>
  <si>
    <t>EK8UQ</t>
  </si>
  <si>
    <t>WOS:000394200500012</t>
  </si>
  <si>
    <t>Cornils, A; Wend-Heckmann, B; Held, C</t>
  </si>
  <si>
    <t>Cornils, Astrid; Wend-Heckmann, Britta; Held, Christoph</t>
  </si>
  <si>
    <t>Global phylogeography of Oithona similis s.l. (Crustacea, Copepoda, Oithonidae) - A cosmopolitan plankton species or a complex of cryptic lineages?</t>
  </si>
  <si>
    <t>Oithona; Copepoda; Species delimitation; Biogeography; Evolutionary history</t>
  </si>
  <si>
    <t>SOUTHERN-OCEAN SOUTH; CALANUS-FINMARCHICUS; SEASONAL SUCCESSION; COMMUNITY STRUCTURE; NORTH-ATLANTIC; ARCTIC-OCEAN; DISKO BAY; ZOOPLANKTON; BIOGEOGRAPHY; VARIABILITY</t>
  </si>
  <si>
    <t>Traditionally, many small-sized copepod species are considered to be widespread, bipolar or cosmopolitan. However, these large-scale distribution patterns need to be re-examined in view of increasing evidence of cryptic and pseudo-cryptic speciation in pelagic copepods. Here, we present a phylogeographic study of Oithona similis s.l. populations from the Arctic Ocean, the Southern Ocean and its northern boundaries, the North Atlantic and the Mediterrranean Sea. O. similis s.l. is considered as one of the most abundant species in temperate to polar oceans and acts as an important link in the trophic network between the microbial loop and higher trophic levels such as fish larvae. Two gene fragments were analysed: the mitochondria] cytochrome oxidase c subunit I (COI), and the nuclear ribosomal 28 S genetic marker. Seven distinct, geographically delimitated, mitochondria] lineages could be identified, with divergences among the lineages ranging from 8 to 24%, thus representing most likely cryptic or pseudocryptic species within O. similis s.l. Four lineages were identified within or close to the borders of the Southern Ocean, one lineage in the Arctic Ocean and two lineages in the temperate Northern hemisphere. Surprisingly the Arctic lineage was more closely related to lineages from the Southern hemisphere than to the other lineages from the Northern hemisphere, suggesting that geographic proximity is a rather poor predictor of how closely related the clades are on a genetic level. (C) 2016 Elsevier Inc. All rights reserved.</t>
  </si>
  <si>
    <t>[Cornils, Astrid; Wend-Heckmann, Britta; Held, Christoph] Helmholtz Ctr Polar &amp; Marine Res, Alfred Wegener Inst, D-27570 Bremerhaven, Germany</t>
  </si>
  <si>
    <t>Cornils, A (corresponding author), Helmholtz Ctr Polar &amp; Marine Res, Alfred Wegener Inst, Handelshafen 12, D-27570 Bremerhaven, Germany.</t>
  </si>
  <si>
    <t>astrid.cornils@awi.de</t>
  </si>
  <si>
    <t>Cornils, Astrid/P-2943-2014</t>
  </si>
  <si>
    <t>Cornils, Astrid/0000-0003-4536-9015</t>
  </si>
  <si>
    <t>Deutsche Forschungsgemeinschaft (DFG) [CO 706/2-1, SCHM 352/43-1]</t>
  </si>
  <si>
    <t>We are grateful for the support of Andrea Eschbach in the molecular laboratory and to the colleagues who provided samples for the present study: S. Gasparini provided samples from Villefranche sur Mer. U. Tilmann took samples from the Northeastern Atlantic, the crew of the vessel Aade took samples from Helgoland Roads. Other zooplankton samples were provided by Holger Auel, Ann Bucklin, Barbara Niehoff, Sigrid Schnack-Schiel and Steve Wickham. This work was supported by the Deutsche Forschungsgemeinschaft (DFG) in the framework of the priority programme Antarctic Research with comparative investigations in Arctic ice areas by the grants CO 706/2-1 (A. Cornils) and SCHM 352/43-1 (B. Wend-Heckmann, C. Held).</t>
  </si>
  <si>
    <t>10.1016/j.ympev.2016.12.019</t>
  </si>
  <si>
    <t>WOS:000394200500044</t>
  </si>
  <si>
    <t>Vianna, JA; Noll, D; Dantas, GPM; Petry, MV; Barbosa, A; González-Acuña, D; Le Bohec, C; Bonadonna, F; Poulin, E</t>
  </si>
  <si>
    <t>Vianna, Juliana A.; Noll, Daly; Dantas, Gisele P. M.; Petry, Maria Virginia; Barbosa, Andres; Gonzalez-Acuna, Daniel; Le Bohec, Celine; Bonadonna, Francesco; Poulin, Elie</t>
  </si>
  <si>
    <t>Marked phylogeographic structure of Gentoo penguin reveals an ongoing diversification process along the Southern Ocean</t>
  </si>
  <si>
    <t>Climate change; Demographic history; Polar region; Population structure; Seabirds</t>
  </si>
  <si>
    <t>ANTARCTIC POLAR FRONT; POPULATION-STRUCTURE; GENETIC-STRUCTURE; PYGOSCELIS-PAPUA; PATAGONIAN TOOTHFISH; TIME DEPENDENCY; SCOTIA ARC; DNA; DIVERGENCE; DISPERSAL</t>
  </si>
  <si>
    <t>Two main hypotheses have been debated about the biogeography of the Southern Ocean: (1) the Antarctic Polar Front (APF), acting as a barrier between Antarctic and sub-Antarctic provinces, and (2) the Antarctic Circumpolar Current (ACC), promoting gene flow among sub-Antarctic areas. The Gentoo penguin is distributed throughout these two provinces, separated by the APF. We analyzed mtDNA (HVR1) and 12 microsatellite loci of 264 Gentoo penguins, Pygoscelis papua, from 12 colonies spanning from the Western Antarctic Peninsula and the South Shetland Islands (WAP) to the sub-Antarctic Islands (SAI). While low genetic structure was detected among WAP colonies (mtDNA Phi(ST) = 0.037-0.133; microsatellite F-ST = 0.009-0.063), high differentiation was found between all SAI and WAP populations (mtDNA Phi(ST) = 0.678-0.930; microsatellite F-ST = 0.110-0.290). These results suggest that contemporary dispersal around the Southern Ocean is very limited or absent. As predicted, the APF appears to be a significant biogeographical boundary for Gentoo penguin populations; however, the ACC does not promote connectivity in this species. Our data suggest demographic expansion in the WAP during the last glacial maximum (LGM, about 20 kya), but stability in SAL Phylogenetic analyses showed a deep divergence between populations from the WAP and those from the SAL Therefore, taxonomy should be further revised. The Crozet Islands resulted as a basal Glade (3.57 Mya), followed by the Kerguelen Islands (2.32 Mya) as well as a more recent divergence between the Falkland/Malvinas Islands and the WAP (1.27 Mya). Historical isolation, local adaptation, and past climate scenarios of those Evolutionarily Significant Units may have led to different potentials to respond to climate changes. (C) 2016 Elsevier Inc. All rights reserved.</t>
  </si>
  <si>
    <t>[Vianna, Juliana A.; Noll, Daly] Pontificia Univ Catolica Chile, Dept Ecosistemas &amp; Med Ambiente, Vicuna Mackenna 4860, Santiago, Chile; [Dantas, Gisele P. M.] Pontificia Univ Catolica Minas Gerais, PPG Vertebrate Zool, Belo Horizonte, MG, Brazil; [Petry, Maria Virginia] Univ Vale Rio Dos Sinos, Lab Ornitol &amp; Anim Marinhos, Av Unisinos 950, Sao Leopoldo, RS, Brazil; [Barbosa, Andres] CSIC, Dept Ecol Evolut, Muse Nacl Ciencias Nat, C Jose Gutierrez Abascal 2, Madrid 28006, Spain; [Gonzalez-Acuna, Daniel] Univ Concepcion, Fac Ciencias Vet, Dept Ciencias Pecuarias, Av Vicente Mendez 595, Chillan 3780000, Chile; [Le Bohec, Celine] Univ Strasbourg UdS, CNRS, CSM, Inst Pluridisciplinaire Hubert Curien,Lab Int Ass, 23 Rue Becquerel, F-67087 Strasbourg 02, France; [Le Bohec, Celine] CNRS, UMR 7178, LIA BioSensib 647, 23 Rue Becquerel, F-67087 Strasbourg 02, France; [Le Bohec, Celine] CSM, LIA BioSensib 647, 8 Quai Antoine 1er, MC-98000 Monaco, Monaco; [Bonadonna, Francesco] Univ Montpellier 3, CNRS, EPHE, CEFE UMR 5175, 1919 Route Mende, F-34293 Montpellier 5, France; [Poulin, Elie] Univ Chile, Inst Ecol &amp; Biodiversidad, Dept Ciencias Ecol, Santiago, Chile</t>
  </si>
  <si>
    <t>Pontificia Universidad Catolica de Chile; Pontificia Universidade Catolica de Minas Gerais; Universidade do Vale do Rio dos Sinos (Unisinos); Consejo Superior de Investigaciones Cientificas (CSIC); CSIC - Museo Nacional de Ciencias Naturales (MNCN); Universidad de Concepcion; Centre National de la Recherche Scientifique (CNRS); Centre National de la Recherche Scientifique (CNRS); Universite PSL; Ecole Pratique des Hautes Etudes (EPHE); Centre National de la Recherche Scientifique (CNRS); CNRS - Institute of Ecology &amp; Environment (INEE); Universite Paul-Valery; Universidad de Chile</t>
  </si>
  <si>
    <t>Vianna, JA (corresponding author), Pontificia Univ Catolica Chile, Fac Agron &amp; Ingn Forestal, Dept Ecosistemas &amp; Med Ambiente, Av Vicuna Mackenna 4860, Santiago, Chile.</t>
  </si>
  <si>
    <t>jvianna@uc.cl</t>
  </si>
  <si>
    <t>Dantas, Gisele PM/T-6782-2019; Poulin, Elie/C-2654-2012; LE BOHEC, CELINE/AAD-3589-2022; Barbosa, Andrés/C-3208-2008; Petry, Maria Virginia/AAG-5333-2021; Bonadonna, Francesco/A-7456-2008; petry, maria/K-8410-2013; Vianna, Juliana/E-9847-2015</t>
  </si>
  <si>
    <t>Dantas, Gisele PM/0000-0001-5282-7577; Poulin, Elie/0000-0001-7736-0969; Barbosa, Andrés/0000-0001-8434-3649; Bonadonna, Francesco/0000-0002-2702-5801; petry, maria/0000-0002-7870-7394; LE BOHEC, Celine/0000-0003-0149-6477; Noll, Daly/0000-0003-3733-8817; Vianna, Juliana/0000-0003-2330-7825</t>
  </si>
  <si>
    <t>National Science and Technology Institute on Antarctic Environmental Research - Brazilian Antarctic Program (PROANTAR) [INCT-APA- CNPq 574018/2008-5, FAPERJ E-16/170023/2008]; INACH [G06-11, T12-13, RT_12-14]; Fondecyt Project [11110060, 1150517]; Spanish Ministry of Economy and Competitiveness [CGL2004-01348, CGL2007-60369, POL2006-06635, CTM2011-24427]; Institut Polaire Francais Paul-Emile Victor (IPEV) [137, 354]; Laboratoire International Associe [647]</t>
  </si>
  <si>
    <t>National Science and Technology Institute on Antarctic Environmental Research - Brazilian Antarctic Program (PROANTAR); INACH; Fondecyt Project(Comision Nacional de Investigacion Cientifica y Tecnologica (CONICYT)CONICYT FONDECYT); Spanish Ministry of Economy and Competitiveness(Spanish Government); Institut Polaire Francais Paul-Emile Victor (IPEV); Laboratoire International Associe</t>
  </si>
  <si>
    <t>Financial support for this study was provided by INACH G06-11, T12-13, and RT_12-14, Fondecyt Project 11110060 and 1150517, the National Science and Technology Institute on Antarctic Environmental Research (INCT-APA- CNPq 574018/2008-5 and FAPERJ E-16/170023/2008) funded by the Brazilian Antarctic Program (PROANTAR). Logistical support was provided by the Brazilian Secretary of the Inter-Ministry on Marine Resources (SECIRM) and CNPq Process no 482501/2013-8. The Spanish Ministry of Economy and Competitiveness supported sampling for the projects CGL2004-01348, CGL2007-60369, POL2006-06635 and CTM2011-24427. Logistic and field costs for sampling at the Crozet and Kerguelen archipelagos were supported by the Institut Polaire Francais Paul-Emile Victor (IPEV: Programme 137 - C.L.B. and Programme 354 - F.B., respectively) with additional support from the Laboratoire International Associe 647 'BioSensib' (CSM/CNRS-University of Strasbourg). We thank Daniel Gonzalez's team from Chile; also, we thank Sarah Crofts, Micky Reeves and Jonathan Handley of Falklands Conservation for their contribution to the sampling. Finally, we thank Paulina Valenzuela, Isidora Mura and Josefa Behrend for their support in the laboratory work.</t>
  </si>
  <si>
    <t>10.1016/j.ympev.2016.12.003</t>
  </si>
  <si>
    <t>WOS:000394200500045</t>
  </si>
  <si>
    <t>Owen, K; Kavanagh, AS; Warren, JD; Noad, MJ; Donnelly, D; Goldizen, AW; Dunlop, RA</t>
  </si>
  <si>
    <t>Owen, Kylie; Kavanagh, Ailbhe S.; Warren, Joseph D.; Noad, Michael J.; Donnelly, David; Goldizen, Anne W.; Dunlop, Rebecca A.</t>
  </si>
  <si>
    <t>Potential energy gain by whales outside of the Antarctic: prey preferences and consumption rates of migrating humpback whales (Megaptera novaeangliae)</t>
  </si>
  <si>
    <t>Energy budget; Lunge feeding; Krill; Megaptera novaeangliae; Migratory stopover; Southern Ocean</t>
  </si>
  <si>
    <t>KRILL EUPHAUSIA-SUPERBA; ATLANTIC RIGHT WHALES; BALEEN WHALES; FEEDING-BEHAVIOR; FORAGING BEHAVIOR; FATTY-ACID; BIOCHEMICAL-COMPOSITION; NYCTIPHANES-AUSTRALIS; SCHOOLING BEHAVIOR; SAMPLING METHODS</t>
  </si>
  <si>
    <t>The humpback whale (Megaptera novaeangliae) makes annual migrations from Antarctic feeding grounds to tropical breeding grounds. The extent to which it feeds during migration is unknown, but thought to be very low. Whether an animal feeds during migration is likely dependent on prey availability and on the ease with which it can capture the available prey. This study used digital tags (DTAGs) and concurrent prey sampling to measure how changes in the depth and type of prey influenced the lunge feeding rates and the amount of energy consumed by migrating humpback whales. Whales targeting krill lunged at significantly higher rates than whales targeting fish; however, the depth of the prey did not influence lunge rate. The observed lunge rates when feeding on krill, to the best of our knowledge, are higher than any previously reported rates of whales feeding. Estimates of the energetic content of the prey ingested revealed that whales may consume between 1.2 and 3.4 times their daily energy requirements per day while feeding on krill during migration, but less when feeding on fish. This suggests that whales may begin to restock energy supplies prior to reaching the Antarctic. Determining how often this high rate of energy intake occurs along the migratory route will assist with understanding the contribution of migratory energy intake to annual energy budgets.</t>
  </si>
  <si>
    <t>[Owen, Kylie; Kavanagh, Ailbhe S.; Noad, Michael J.; Dunlop, Rebecca A.] Univ Queensland, Sch Vet Sci, Cetacean Ecol &amp; Acoust Lab, Gatton, Qld 4343, Australia; [Warren, Joseph D.] SUNY Stony Brook, Sch Marine &amp; Atmospher Sci, Acoust Lab Ecol Studies, Southampton, NY 11968 USA; [Donnelly, David] Australian Orca Database, 8 Campbell Parade, Box Hill South, Vic 3128, Australia; [Goldizen, Anne W.] Univ Queensland, Sch Biol Sci, Behav Ecol Res Grp, St Lucia, Qld 4072, Australia</t>
  </si>
  <si>
    <t>University of Queensland; State University of New York (SUNY) System; State University of New York (SUNY) Stony Brook; University of Queensland</t>
  </si>
  <si>
    <t>Owen, K (corresponding author), Univ Queensland, Sch Vet Sci, Cetacean Ecol &amp; Acoust Lab, Gatton, Qld 4343, Australia.</t>
  </si>
  <si>
    <t>kylie.owen@uqconnect.edu.au</t>
  </si>
  <si>
    <t>Goldizen, Anne/G-7366-2012; Warren, Joseph/Y-4078-2019; Noad, Michael/D-7975-2013; Owen, Kylie/K-9400-2015</t>
  </si>
  <si>
    <t>Noad, Michael/0000-0002-2799-8320; Owen, Kylie/0000-0002-8986-482X; Kavanagh, Ailbhe/0000-0003-4671-3076</t>
  </si>
  <si>
    <t>Sapphire Coast Marine Discovery Centre; Australian Marine Mammal Centre at the Australian Antarctic Division</t>
  </si>
  <si>
    <t>The authors would like to thank the staff and students of the Cetacean Ecology and Acoustics Laboratory for their assistance. Thanks to Eva Hartvig who assisted with DTAG programming and calibration, and to Simon Blomberg who provided advice on the statistical analyses. Thank you to all of the volunteers in the field who assisted with data collection and Cat Balou whale watching cruises for their support. Thanks also to the Sapphire Coast Marine Discovery Centre for providing their support and laboratory space. Funding for this project was provided by the Australian Marine Mammal Centre at the Australian Antarctic Division. This research was conducted under Scientific Licence number SL100183, and Commonwealth permit numbers 2011-0002 and 2012-0004. Prey was collected under permit number P11/0057-1.0. All applicable International, National, and/or Institutional guidelines for the care and use of animals were followed. All procedures performed in studies involving animals were in accordance with the ethical standards of the institution or practice at which the studies were conducted. Ethical approval was granted by the NSW Director General's Animal Ethics committee (11/2374) and the University of Queensland Animal Welfare Unit (SVS/NSW/198/11/AMMC). This article does not contain any studies with human participants performed by any of the authors.</t>
  </si>
  <si>
    <t>10.1007/s00300-016-1951-9</t>
  </si>
  <si>
    <t>WOS:000393761500004</t>
  </si>
  <si>
    <t>Wang, L; Liu, XS; Yu, SL; Shi, XC; Wang, XL; Zhang, XH</t>
  </si>
  <si>
    <t>Wang, Long; Liu, Xiaoshou; Yu, Shaolan; Shi, Xiaochong; Wang, Xiaolei; Zhang, Xiao-Hua</t>
  </si>
  <si>
    <t>Bacterial community structure in intertidal sediments of Fildes Peninsula, maritime Antarctica</t>
  </si>
  <si>
    <t>Intertidal sediments; Maritime Antarctica; Bacterial diversity; 16S rRNA gene; 454 Pyrosequencing</t>
  </si>
  <si>
    <t>SOIL MICROBIAL COMMUNITIES; IN-SITU HYBRIDIZATION; KING GEORGE ISLAND; SP-NOV.; GEN. NOV.; MARINE-SEDIMENTS; ADMIRALTY BAY; DRY VALLEY; SP. NOV.; DIVERSITY</t>
  </si>
  <si>
    <t>The Fildes Peninsula has a maritime Antarctic climate and has attracted the interest of scientists for decades. The soil bacterial community and the environmental factors shaping it have been well documented. However, the bacterial community of intertidal sediments, which has been determined to play crucial roles in biogeochemical cycles in temperate regions, has been comparatively neglected. Here, the diversity and abundance of bacteria in intertidal sediments represented by 18 samples from the Fildes Peninsula were revealed by 16S rRNA gene pyrosequencing and qPCR. The results showed distinct bacterial community structure, and lower diversity and abundance relative to low-latitude areas. Proteobacteria, Bacteroidetes, and Actinobacteria were the predominant phyla, accounting for similar to 90 % of the total community. Among the measured environmental factors, chlorophyll a (Chl a), total organic matter (TOM), and standard deviation (sigma) of sediment grain size explained the bacterial community variation in the redundancy analysis across all samples, and had consistent relationship with bacterial diversity and abundance. Granulosicoccus, the most abundant genus within Chromatiales Gammaproteobacteria in this study, showed positive correlation with standard deviation of sediment grain size. The present study demonstrated a distinct bacterial community different from temperate regions and provided insights into the potential ecological roles of specific taxa in the Antarctic environment.</t>
  </si>
  <si>
    <t>[Wang, Long; Liu, Xiaoshou; Yu, Shaolan; Shi, Xiaochong; Wang, Xiaolei; Zhang, Xiao-Hua] Ocean Univ China, Coll Marine Life Sci, 5 Yushan Rd, Qingdao 266003, Peoples R China</t>
  </si>
  <si>
    <t>Ocean University of China</t>
  </si>
  <si>
    <t>Zhang, XH (corresponding author), Ocean Univ China, Coll Marine Life Sci, 5 Yushan Rd, Qingdao 266003, Peoples R China.</t>
  </si>
  <si>
    <t>xhzhang@ouc.edu.cn</t>
  </si>
  <si>
    <t>wang, xiao/HZI-9156-2023; Liu, Xiaoshou/I-3001-2019; Wang, Long/HMD-9919-2023; wang, xiao/HGB-7081-2022; Liu, Xiaoshou/B-3741-2008</t>
  </si>
  <si>
    <t>Wang, Long/0000-0003-3891-0010; wang, xiao/0000-0002-4088-3341; Liu, Xiaoshou/0000-0002-0017-7186</t>
  </si>
  <si>
    <t>Chinese Polar Environment Comprehensive Investigation and Assessment Program [CHINARE2013-02-01, CHINARE2013-01-06]</t>
  </si>
  <si>
    <t>Chinese Polar Environment Comprehensive Investigation and Assessment Program</t>
  </si>
  <si>
    <t>We thank the Chinese Arctic and Antarctic Administration (CAA), who assisted in the field work. We also would like to express our great appreciation to Prof. Brian Austin (Institute of Aquaculture, University of Stirling, U.K.), who kindly read our paper to improve the English language. This study was supported by the Chinese Polar Environment Comprehensive Investigation and Assessment Program (No. CHINARE2013-02-01 and CHINARE2013-01-06).</t>
  </si>
  <si>
    <t>10.1007/s00300-016-1958-2</t>
  </si>
  <si>
    <t>WOS:000393761500009</t>
  </si>
  <si>
    <t>Thiers, L; Delord, K; Bost, CA; Guinet, C; Weimerskirch, H</t>
  </si>
  <si>
    <t>Thiers, Laurie; Delord, Karine; Bost, Charles-Andre; Guinet, Christophe; Weimerskirch, Henri</t>
  </si>
  <si>
    <t>Important marine sectors for the top predator community around Kerguelen Archipelago</t>
  </si>
  <si>
    <t>Distribution; Habitat modelling; Tracking; Seabirds; Marine mammals</t>
  </si>
  <si>
    <t>SOUTHERN ELEPHANT SEALS; BLACK-BROWED ALBATROSSES; ANTARCTIC FUR SEALS; ARCTOCEPHALUS-GAZELLA; BIODIVERSITY HOTSPOTS; FORAGING HABITAT; PROTECTED AREAS; GENTOO PENGUIN; AUSTRAL SUMMER; CLIMATE-CHANGE</t>
  </si>
  <si>
    <t>The French Kerguelen Archipelago represents an important breeding place for many species of marine top predators within the Southern Ocean, making the plateau hosting the archipelago and surrounding waters (CCAMLR area 58.5) a crucial area to design conservation measures. In this study, available tracking data from nine species of seabirds and marine mammals breeding at Kerguelen were analysed to define potential boundaries for a Marine Protected Area. Maps of time spent per square of each species were first used to describe high-use areas within the Kerguelen Plateau. Habitat models were then developed for four species (Black-browed albatross, Wandering albatross, King penguin and Antarctic fur seal) chosen on the basis of their contrasted foraging ecology and diet to represent the top predator community. Predictive models were then applied to the main colonies of the four species for which no tracking data were available to illustrate the most important feeding areas at the scale of the entire study zone. An area delineated by the central part of the plateau and its slopes appeared to be of great importance for the top predators' community and would appropriately complete the limits of the existing Australian marine reserve of Heard and McDonald Islands.</t>
  </si>
  <si>
    <t>[Thiers, Laurie; Delord, Karine; Bost, Charles-Andre; Guinet, Christophe; Weimerskirch, Henri] Univ La Rochelle, Ctr Etud Biol Chize, CNRS, UMR 7372, F-79360 Villiers En Bois, France</t>
  </si>
  <si>
    <t>Centre National de la Recherche Scientifique (CNRS); CNRS - Institute of Ecology &amp; Environment (INEE); La Rochelle Universite</t>
  </si>
  <si>
    <t>Thiers, L (corresponding author), Univ La Rochelle, Ctr Etud Biol Chize, CNRS, UMR 7372, F-79360 Villiers En Bois, France.</t>
  </si>
  <si>
    <t>laurie.thiers@gmail.com</t>
  </si>
  <si>
    <t>Guinet, Christophe/AAR-8457-2020; Weimerskirch, Henri/K-7306-2019; Weimerskirch, Henri/F-5562-2013</t>
  </si>
  <si>
    <t>Weimerskirch, Henri/0000-0002-0457-586X;</t>
  </si>
  <si>
    <t>Institut Polaire Francais (IPEV) [109, 394]; Terres Australes et Antarctiques Francaises (TAAF); Prince Albert 2 de Monaco Foundation; Argonautica (CNES); Agence des Aires Marines protegees (AAMP); Foundation Albert 2 de Monaco; Region Poitou-Charentes; [ANR 05 REMIGE]; [ANR 07 Biodiv 'Glides']</t>
  </si>
  <si>
    <t>Institut Polaire Francais (IPEV); Terres Australes et Antarctiques Francaises (TAAF); Prince Albert 2 de Monaco Foundation; Argonautica (CNES); Agence des Aires Marines protegees (AAMP); Foundation Albert 2 de Monaco; Region Poitou-Charentes(Region Nouvelle-Aquitaine); ;</t>
  </si>
  <si>
    <t>The project was supported financially and logistically by the Institut Polaire Francais (IPEV) (prog. 109, resp. H. Weimerskirch and 394, resp. C.A Bost.), Terres Australes et Antarctiques Francaises (TAAF), the ANR 05 REMIGE, ANR 07 Biodiv 'Glides', Prince Albert 2 de Monaco Foundation and Argonautica (CNES) and the Agence des Aires Marines protegees (AAMP). We would like to thank all the volunteers and colleagues involved in the research on top predator ecology. LT was funded by Foundation Albert 2 de Monaco and Region Poitou-Charentes. We thank David Pinaud, Baptiste Picard and Tiphaine Jeanniard du Dot for helping with data collection and analyses.</t>
  </si>
  <si>
    <t>10.1007/s00300-016-1964-4</t>
  </si>
  <si>
    <t>WOS:000393761500011</t>
  </si>
  <si>
    <t>Richter, D; Matula, J; Urbaniak, J; Waleron, M; Czerwik-Marcinkowska, J</t>
  </si>
  <si>
    <t>Richter, Dorota; Matula, Jan; Urbaniak, Jacek; Waleron, Malgorzata; Czerwik-Marcinkowska, Joanna</t>
  </si>
  <si>
    <t>Molecular, morphological and ultrastructural characteristics of Prasiola crispa (Lightfoot) Kutzing (Chlorophyta) from Spitsbergen (Arctic)</t>
  </si>
  <si>
    <t>Prasiola crispa; Variation of Svalbard strains; Influence of seabirds; rbcL; 18S rRNA genes</t>
  </si>
  <si>
    <t>ALGAL ASSEMBLAGES; ANTARCTIC MACROALGAE; GALWAY CITY; TREBOUXIOPHYCEAE; PHYLOGENY; TUNDRA</t>
  </si>
  <si>
    <t>It is commonly known that seabirds, along with cyanobacteria, play a key role in the enrichment of nutrient-poor polar terrestrial ecosystems. In habitats particularly enriched with nitrogen and phosphate ions, ornithogenic vegetation with Prasiola crispa and unique species composition develops. However, no studies have examined the potentially different impacts associated with seabirds on the morphological, ultrastructural and molecular diversity of P. crispa. For that purpose, the present study analyzed four populations from the Hornsund Fjord area (West Spitsbergen) collected in the vicinity of planktivorous or piscivorous colonies and individual nests of seabirds. The morphological variability of P. crispa was studied using fresh samples, and it was documented with light microscopy as well as transmission and scanning electron microscopy. Populations were investigated by molecular analyses based on rbcL and 18S rRNA sequences. The differences in features measured were subjected to statistical analysis. This study provides new data concerning the macro- and submicroscopic structure and molecular diversity of P. crispa with regard to differences in humidity and the quantity of biogenic nutrients deposited by seabirds. Molecular research provided the first data about P. crispa from Spitsbergen. Birds' diet is relevant for the quantity and quality of the provided nutrients, especially nitrogen compounds (planktivorous species) and phosphorus (piscivorous birds). Climate changes influence the quantitative structure of the colony, clearly favoring piscivorous birds. This, in turn, causes changes in the environment and vegetation. The obtained data on the P. crispa population may be compared with potential changes in the future.</t>
  </si>
  <si>
    <t>[Richter, Dorota; Urbaniak, Jacek] Wroclaw Univ Environm &amp; Life Sci, Dept Bot &amp; Plant Ecol, Pl Grunwaldzki 24a, PL-50363 Wroclaw, Poland; [Matula, Jan] Wroclaw Univ Environm &amp; Life Sci, Inst Biol, Kozuchowska 5b, PL-51631 Wroclaw, Poland; [Waleron, Malgorzata] Univ Gdansk, Intercollegiate Fac Biotechnol, Dept Biotechnol, Ul Kladki 24, PL-80822 Gdansk, Poland; [Waleron, Malgorzata] Med Univ Gdansk, Ul Kladki 24, PL-80822 Gdansk, Poland; [Czerwik-Marcinkowska, Joanna] Univ Jan Kochanowski, Inst Biol, Swietokrzyska 15, PL-25420 Kielce, Poland</t>
  </si>
  <si>
    <t>Wroclaw University of Environmental &amp; Life Sciences; Wroclaw University of Environmental &amp; Life Sciences; Fahrenheit Universities; University of Gdansk; Fahrenheit Universities; Medical University Gdansk; Jan Kochanowski University</t>
  </si>
  <si>
    <t>Richter, D (corresponding author), Wroclaw Univ Environm &amp; Life Sci, Dept Bot &amp; Plant Ecol, Pl Grunwaldzki 24a, PL-50363 Wroclaw, Poland.</t>
  </si>
  <si>
    <t>dorota.richter@up.wroc.pl</t>
  </si>
  <si>
    <t>Urbaniak, Jacek/AAP-8816-2020; Czerwik-Marcinkowska, Joanna/AAJ-8207-2021; Richter, Dorota/S-8850-2016</t>
  </si>
  <si>
    <t>Urbaniak, Jacek/0000-0002-1300-0873; Richter, Dorota/0000-0003-3024-9766; Czerwik-Marcinkowska, Joanna/0000-0003-2019-7819; Waleron, Malgorzata/0000-0001-6789-2881</t>
  </si>
  <si>
    <t>10.1007/s00300-016-1966-2</t>
  </si>
  <si>
    <t>WOS:000393761500012</t>
  </si>
  <si>
    <t>Williams, L; Borchhardt, N; Colesie, C; Baum, C; Komsic-Buchmann, K; Rippin, M; Becker, B; Karsten, U; Büdel, B</t>
  </si>
  <si>
    <t>Williams, Laura; Borchhardt, Nadine; Colesie, Claudia; Baum, Christel; Komsic-Buchmann, Karin; Rippin, Martin; Becker, Burkhard; Karsten, Ulf; Buedel, Burkhard</t>
  </si>
  <si>
    <t>Biological soil crusts of Arctic Svalbard and of Livingston Island, Antarctica</t>
  </si>
  <si>
    <t>Biological soil crusts (BSCs); Vegetation; Functional groups; Svalbard; Livingston Island</t>
  </si>
  <si>
    <t>SOUTH-SHETLAND ISLANDS; POLAR DESERT ECOSYSTEM; CRYPTOGAMIC CRUSTS; PLANT RECRUITMENT; NITROGEN-FIXATION; BYERS PENINSULA; DEVON ISLAND; HOHE TAUERN; VEGETATION; COMMUNITIES</t>
  </si>
  <si>
    <t>Biological soil crusts (BSCs) occur in arid and semi-arid regions worldwide including the Polar Regions. They are important ecosystem engineers, and their composition and areal coverage should be understood before assessing key current functional questions such as their role in biogeochemical nutrient cycles and possible climate change scenarios. Our aim was to investigate the variability of BSCs from Arctic Svalbard and the Antarctic Island, Livingston, using vegetation surveys based on classification by functional group. An additional aim was to describe the structure of BSCs and represent a classification system that can be used in future studies to provide a fast and efficient way to define vegetation type and areal coverage. Firstly, this study demonstrates huge areas occupied by BSCs in Arctic Svalbard, with up to 90 % of soil surface covered, dominated by bryophytes and cyanobacteria, and showing an unexpectedly high variability in many areas. Livingston Island has lower percentage coverage, up to 55 %, but is dominated by lichens. Our findings show that both Polar Regions have varied BSC coverage, within the sites and between them, especially considering their harsh climates and latitudinal positions. Secondly, we have classified the BSCs of both areas into a system that describes the dominant functional groups and local geography, creating a simple scheme that allows easy identification of the prevailing vegetation type. Our results represent the first contribution to the description of BSCs based on their functional group composition in Polar Regions.</t>
  </si>
  <si>
    <t>[Williams, Laura; Colesie, Claudia; Buedel, Burkhard] Univ Kaiserslautern, Plant Ecol &amp; Systemat, Kaiserslautern, Germany; [Borchhardt, Nadine; Karsten, Ulf] Univ Rostock, Appl Ecol &amp; Phycol, Rostock, Germany; [Baum, Christel] Univ Rostock, Soil Sci, Rostock, Germany; [Komsic-Buchmann, Karin; Rippin, Martin; Becker, Burkhard] Univ Cologne, Cologne Bioctr, Cologne, Germany</t>
  </si>
  <si>
    <t>University of Kaiserslautern; University of Rostock; University of Rostock; University of Cologne</t>
  </si>
  <si>
    <t>Williams, L (corresponding author), Univ Kaiserslautern, Plant Ecol &amp; Systemat, Kaiserslautern, Germany.</t>
  </si>
  <si>
    <t>Williams@rhrk.uni-kl.de</t>
  </si>
  <si>
    <t>Baum, Christel/AAF-5352-2019; Colesie, Claudia/H-4258-2015; Becker, Burkhard/I-4022-2012</t>
  </si>
  <si>
    <t>Colesie, Claudia/0000-0003-1136-0290; Briegel-Williams, Laura/0000-0003-3926-8840; Baum, Christel/0000-0003-1179-2149; Rippin, Martin/0000-0003-4362-0122; Becker, Burkhard/0000-0002-7965-1396</t>
  </si>
  <si>
    <t>German Research Council in the framework of the Priority Programme Antarctic Research 1158 (DFG) [KA899/23-1, BE1779/18-1, BU666/17-1]</t>
  </si>
  <si>
    <t>German Research Council in the framework of the Priority Programme Antarctic Research 1158 (DFG)(German Research Foundation (DFG))</t>
  </si>
  <si>
    <t>The authors thank the crew at the AWIPEV base in Ny Alesund, as well as those at Juan Carlos I in Livingston for assistance in the field work and technical equipment. The Spanish Antarctic committee also provided essential aid in travel to and from Livingston. Financing and logistical support of the research in Ny Alesund and Livingston was kindly provided by the German Research Council in the framework of the Priority Programme Antarctic Research 1158 (DFG, KA899/23-1, BE1779/18-1, BU666/17-1).</t>
  </si>
  <si>
    <t>10.1007/s00300-016-1967-1</t>
  </si>
  <si>
    <t>WOS:000393761500013</t>
  </si>
  <si>
    <t>Dong, CM; Sheng, HF; Wang, WG; Zhou, HW; Shao, ZZ</t>
  </si>
  <si>
    <t>Dong, Chunming; Sheng, Huafang; Wang, Weiguo; Zhou, Hongwei; Shao, Zongze</t>
  </si>
  <si>
    <t>Bacterial distribution pattern in the surface sediments distinctive among shelf, slope and basin across the western Arctic Ocean</t>
  </si>
  <si>
    <t>Bacterial diversity; Biogeography; 16S rRNA gene; Illumina high-throughput sequencing; Surface sediment; Geophysicochemical variables; Arctic Ocean</t>
  </si>
  <si>
    <t>16S RIBOSOMAL-RNA; DEEP-SEA; MARINE-SEDIMENTS; FRESH-WATER; DIVERSITY; BIOGEOGRAPHY; COMMUNITIES; MANGANESE; ECOLOGY; TRANSPORT</t>
  </si>
  <si>
    <t>The Arctic Ocean is undergoing a rapid change due to global climate change. Knowledge about bacterial community composition will help us to evaluate their ecological role and predict possible community shifts in future. To this end, we collected 11 sediment samples across the western Arctic Ocean from shelf near to the North Pole, spanning three geographical regions: ice-free Chukchi Shelf, more than 90 % ice-covered Canadian Basin and the partial ice-covered slopes between them. The spatial distribution of bacterial community composition was examined by 16S rRNA gene using Illumina high-throughput sequencing in conjunction with sediment geophysicochemical variables and sampling geographical distance. Overall, Proteobacteria, Acidobacteria, Planctomycetes, Actinobacteria, Chloroflexi, Gemmatimonadetes, Bacteroidetes, Verrucomicrobia, Nitrospira and Thermomicrobia were the top ten dominant phyla. The bacterial communities from the same region exhibited similar composition pattern, but distinctive in each region. Statistical analysis (linear discriminant analysis effect size) showed Deltaproteobacteria, Gammaproteobacteria and Alphaproteobacteria were the distinct taxa in Chukchi Shelf, Slopes and Canadian Basin, respectively. Correspondingly, Desulfobacterales, Planctomycetales and Rhodospirillales were determined at order level. Canonical correspondence analysis demonstrated bacterial distribution was significantly correlated with sediment geophysicochemical factors and geographical distance. Furthermore, variance partitioning analysis confirmed that the combination of geophysicochemical factors, including sediment nutrients content, grain size, sampling site water depth and ice coverage, contributed more than geographical distance to the spatial distribution of bacterial communities across the western Arctic Ocean. In general, this study offers a snapshot of bacterial community composition under the background in rapidly changing Arctic Ocean.</t>
  </si>
  <si>
    <t>[Dong, Chunming; Shao, Zongze] Fujian Collaborat Innovat Ctr Exploitat &amp; Utiliza, State Key Lab Breeding Base Marine Genet Resource, Key Lab Marine Genet Resources, Inst Oceanog 3,SOA,Key Lab Marine Genet Resources, Xiamen 361005, Peoples R China; [Sheng, Huafang; Zhou, Hongwei] Southern Med Univ, Sch Publ Hlth &amp; Trop Med, Dept Environm Hlth, Guangzhou 510515, Guangdong, Peoples R China; [Wang, Weiguo] State Ocean Adm, Inst Oceanog 3, Lab Marine &amp; Coastal Geol Environm, Xiamen 361005, Peoples R China</t>
  </si>
  <si>
    <t>Third Institute of Oceanography, Ministry of Natural Resources; Southern Medical University - China; Third Institute of Oceanography, Ministry of Natural Resources</t>
  </si>
  <si>
    <t>Shao, ZZ (corresponding author), Fujian Collaborat Innovat Ctr Exploitat &amp; Utiliza, State Key Lab Breeding Base Marine Genet Resource, Key Lab Marine Genet Resources, Inst Oceanog 3,SOA,Key Lab Marine Genet Resources, Xiamen 361005, Peoples R China.</t>
  </si>
  <si>
    <t>shaozz@163.com</t>
  </si>
  <si>
    <t>Dong, Chunming/AAK-6040-2020; Zhou, Hongwei/B-4193-2008</t>
  </si>
  <si>
    <t>High-Tech Research and Development Program of China [2012AA092102]; National Natural Science Foundation of China [41206158]; fund of National Infrastructure of Microbial Resources [NIMR-2016-9]; China Polar Environment Investigation and Estimate Project</t>
  </si>
  <si>
    <t>High-Tech Research and Development Program of China(National High Technology Research and Development Program of China); National Natural Science Foundation of China(National Natural Science Foundation of China (NSFC)); fund of National Infrastructure of Microbial Resources; China Polar Environment Investigation and Estimate Project</t>
  </si>
  <si>
    <t>We thank the team of the fourth Arctic Research Expedition of the Xuelong icebreaker and the Chinese Arctic and Antarctic Administration for assisting in collecting the sediment samples and Dr. Jingbo Xiong from Ningbo University (Ningbo, China) for his assistance with the correlation analysis between community composition and environmental factors. This work was financially supported by the High-Tech Research and Development Program of China (2012AA092102), the National Natural Science Foundation of China (41206158), the fund of National Infrastructure of Microbial Resources (No. NIMR-2016-9) and the China Polar Environment Investigation and Estimate Project (2012-2015).</t>
  </si>
  <si>
    <t>10.1007/s00300-016-1970-6</t>
  </si>
  <si>
    <t>WOS:000393761500015</t>
  </si>
  <si>
    <t>Evans, GR; McDonagh, EL; King, BA; Bryden, HL; Bakker, DCE; Brown, PJ; Schuster, U; Speer, KG; van Heuven, SMAC</t>
  </si>
  <si>
    <t>Evans, G. R.; McDonagh, E. L.; King, B. A.; Bryden, H. L.; Bakker, D. C. E.; Brown, P. J.; Schuster, U.; Speer, K. G.; van Heuven, S. M. A. C.</t>
  </si>
  <si>
    <t>South Atlantic interbasin exchanges of mass, heat, salt and anthropogenic carbon</t>
  </si>
  <si>
    <t>ANTARCTIC CIRCUMPOLAR CURRENT; MULTIPLE EQUILIBRIA REGIME; AIR CO2 FLUXES; BOTTOM WATER; OCEAN HEAT; WEDDELL GYRE; WORLD OCEAN; OVERTURNING CIRCULATION; PREFORMED ALKALINITY; INORGANIC CARBON</t>
  </si>
  <si>
    <t>The exchange of mass, heat, salt and anthropogenic carbon (Cant) between the South Atlantic, south of 24 degrees S, and adjacent ocean basins is estimated from hydrographic data obtained during 2008-2009 using an inverse method. Transports of anthropogenic carbon are calculated across the western (Drake Passage), eastern (30 degrees E) and northern (24 degrees S) boundaries. The freshwater overturning transport of 0.09 Sv is southward, consistent with an overturning circulation that exports freshwater from the North Atlantic, and consistent with a bistable Meridional Overturning Circulation (MOC), under conditions of excess freshwater perturbation. At 30 degrees E, net eastward Antarctic Circumpolar Current (ACC) transport, south of the Subtropical Front, is compensated by a 15.9 +/- 2.3 Sv westward flow along the Antarctic boundary. The region as a whole is a substantial sink for atmospheric anthropogenic carbon of 0.5 +/- 0.37 Pg C yr(-1), of which 0.18 +/- 0.12 Pg C yr(-1) accumulates and is stored within the water column. At 24 degrees S, a 20.2 Sv meridional overturning is associated with a 0.11 Pg C yr(-1) Cant overturning. The remainder is transported into the Atlantic Ocean north of 24 degrees S (0.28 +/- 0.16 Pg C yr(-1)) and Indian sector of Southern Ocean (1.12 0.43 Pg C yr(-1)), having been enhanced by inflow through Drake Passage (1.07 0.44 Pg C yr-1). This underlines the importance of the South Atlantic as a crucial element of the anthropogenic carbon sink in the global oceans. (C) 2016 Elsevier Ltd. All rights reserved.</t>
  </si>
  <si>
    <t>[Evans, G. R.] Met Off, FitzRoy Rd, Exeter, Devon, England; [Evans, G. R.; Bryden, H. L.] Univ Southampton, Natl Oceanog Ctr, Sch Ocean &amp; Earth Sci, Southampton, Hants, England; [McDonagh, E. L.; King, B. A.; Bryden, H. L.; Brown, P. J.] Natl Oceanog Ctr, Southampton, Hants, England; [Bakker, D. C. E.] Univ East Anglia, Sch Environm Sci, Ctr Ocean &amp; Atmospher Sci, Norwich Res Pk, Norwich, Norfolk, England; [Schuster, U.] Univ Exeter, Coll Life &amp; Environm Sci, Exeter, Devon, England; [Speer, K. G.] Florida State Univ, Inst Geophys Fluid Dynam, Tallahassee, FL 32306 USA; [Speer, K. G.] Florida State Univ, Dept Earth Ocean &amp; Atmospher Sci, Tallahassee, FL 32306 USA; [van Heuven, S. M. A. C.] Royal Netherlands Inst Sea Res, NL-1790 AB Den Burg, Netherlands</t>
  </si>
  <si>
    <t>Met Office - UK; University of Southampton; NERC National Oceanography Centre; NERC National Oceanography Centre; University of East Anglia; University of Exeter; State University System of Florida; Florida State University; State University System of Florida; Florida State University; Utrecht University; Royal Netherlands Institute for Sea Research (NIOZ)</t>
  </si>
  <si>
    <t>Evans, GR (corresponding author), Met Off, FitzRoy Rd, Exeter, Devon, England.</t>
  </si>
  <si>
    <t>gavin.evans@metoffice.gov.uk</t>
  </si>
  <si>
    <t>Brown, Peter/AAN-4372-2020; Bakker, Dorothee/E-4951-2015</t>
  </si>
  <si>
    <t>Brown, Peter/0000-0002-1152-1114; Bakker, Dorothee/0000-0001-9234-5337; Bryden, Harry/0000-0002-8216-6359; Evans, Gavin/0000-0002-5935-3965; McDonagh, Elaine/0000-0002-8813-4585</t>
  </si>
  <si>
    <t>NERC [NE/M005046/1, NE/F01242X/1, NE/H017046/1, NE/N018095/1] Funding Source: UKRI; Natural Environment Research Council [NE/H017046/1, NE/F01242X/1, noc010012, NE/M005046/1, NE/N018095/1] Funding Source: researchfish</t>
  </si>
  <si>
    <t>10.1016/j.pocean.2016.11.005</t>
  </si>
  <si>
    <t>EM9CX</t>
  </si>
  <si>
    <t>WOS:000395609900005</t>
  </si>
  <si>
    <t>Schlegel, RW; Oliver, ECJ; Wernberg, T; Smit, AJ</t>
  </si>
  <si>
    <t>Schlegel, Robert W.; Oliver, Eric C. J.; Wernberg, Thomas; Smit, Albertus J.</t>
  </si>
  <si>
    <t>Nearshore and offshore co-occurrence of marine heatwaves and cold-spells</t>
  </si>
  <si>
    <t>Extreme events; Co-occurrence; Remotely-sensed SST; In situ data; Climate change; Nearshore</t>
  </si>
  <si>
    <t>SEA-SURFACE TEMPERATURE; CLIMATE EXTREMES; SOUTH-AFRICA; FALSE BAY; PATTERNS; OCEAN; FRONTS; FISHES; OCEANOGRAPHY; VARIABILITY</t>
  </si>
  <si>
    <t>A changing global climate places shallow water ecosystems at more risk than those in the open ocean as their temperatures may change more rapidly and dramatically. To this end, it is necessary to identify the occurrence of extreme ocean temperature events - marine heatwaves (MHWs) and marine cold-spells (MCSs) - in the nearshore (&lt;400 m from the coastline) environment as they can have lasting ecological effects. The occurrence of MHWs have been investigated regionally, but no investigations of MCSs have yet to be carried out. A recently developed framework that defines these events in a novel way was applied to ocean temperature time series from (i) a nearshore in situ dataset and (ii) 1/4 degrees NOAA Optimally Interpolated sea surface temperatures. Regional drivers due to nearshore influences (local scale) and the forcing of two offshore ocean currents (broad-scale) on MHWs and MCSs were taken into account when the events detected in these two datasets were used to infer the links between offshore and nearshore temperatures in time and space. We show that MHWs and MCSs occur at least once a year on average but that proportions of co-occurrence of events between the broad-and local scales are low (0.20-0.50), with MHWs having greater proportions of co-occurrence than MCSs. The low rates of co-occurrence between the nearshore and offshore datasets show that drivers other than mesoscale ocean temperatures play a role in the occurrence of at least half of nearshore events. Significant differences in the duration and intensity of events between different coastal sections may be attributed to the effects of the interaction of oceanographic processes offshore, as well as with local features of the coast. The decadal trends in the occurrence of MHWs and MCSs in the offshore dataset show that generally MHWs are increasing there while MCSs are decreasing. This study represents an important first step in the analysis of the dynamics of events in nearshore environments, and their relationship with broad-scale influences. (C) 2017 Elsevier Ltd. All rights reserved.</t>
  </si>
  <si>
    <t>[Schlegel, Robert W.; Smit, Albertus J.] Univ Western Cape, Dept Biodivers &amp; Conservat Biol, Private Bag X17, ZA-7535 Bellville, South Africa; [Oliver, Eric C. J.] Univ Tasmania, Inst Marine &amp; Antarctic Studies, Hobart, Tas, Australia; [Wernberg, Thomas] Univ Western Australia, UWA Oceans Inst, Crawley, WA 6009, Australia; [Wernberg, Thomas] Univ Western Australia, Sch Plant Biol, Crawley, WA 6009, Australia</t>
  </si>
  <si>
    <t>University of the Western Cape; University of Tasmania; University of Western Australia; University of Western Australia</t>
  </si>
  <si>
    <t>Schlegel, RW (corresponding author), Univ Western Cape, Dept Biodivers &amp; Conservat Biol, Private Bag X17, ZA-7535 Bellville, South Africa.</t>
  </si>
  <si>
    <t>3503570@myuwc.ac.za</t>
  </si>
  <si>
    <t>Wernberg, Thomas/B-4172-2010; Oliver, Eric/G-5118-2014</t>
  </si>
  <si>
    <t>Wernberg, Thomas/0000-0003-1185-9745; Oliver, Eric/0000-0002-4006-2826; Schlegel, Robert/0000-0002-0705-1287</t>
  </si>
  <si>
    <t>South African National Research Foundation [CPRR14072378735]; Australian Research Council [FT110100174]; Australian Research Council [FT110100174] Funding Source: Australian Research Council</t>
  </si>
  <si>
    <t>South African National Research Foundation(National Research Foundation - South Africa); Australian Research Council(Australian Research Council); Australian Research Council(Australian Research Council)</t>
  </si>
  <si>
    <t>We would like to thank DAFF, DEA, EKZNW, KZNSB, SAWS and SAEON for contributing all of the raw data used in this study. Without it, this article and the South African Coastal Temperature Network (SACTN) would not be possible. This research was supported by a South African National Research Foundation Grant (CPRR14072378735) and by the Australian Research Council (FT110100174). This paper makes a contribution to the objectives of the Australian Research Council Centre of Excellence for Climate System Science (ARCCSS). The authors report no financial conflicts of interests. The data and analyses used in this paper may be found at https://github.comischrob040/MHW.</t>
  </si>
  <si>
    <t>1873-4472</t>
  </si>
  <si>
    <t>10.1016/j.pocean.2017.01.004</t>
  </si>
  <si>
    <t>WOS:000395609900013</t>
  </si>
  <si>
    <t>Beck, KK; Fletcher, MS; Gadd, PS; Heijnis, H; Jacobsen, GE</t>
  </si>
  <si>
    <t>Beck, Kristen K.; Fletcher, Michael-Shawn; Gadd, Patricia S.; Heijnis, Henk; Jacobsen, Geraldine E.</t>
  </si>
  <si>
    <t>An early onset of ENSO influence in the extra-tropics of the southwest Pacific inferred from a 14, 600 year high resolution multi-proxy record from Paddy's Lake, northwest Tasmania</t>
  </si>
  <si>
    <t>El Nino Southern Oscillation (ENSO); Palaeoecology; Pollen; Fire; Geochemistry; South-west Pacific; Tasmania; Australia</t>
  </si>
  <si>
    <t>EL-NINO/SOUTHERN-OSCILLATION; NINO-SOUTHERN-OSCILLATION; LAST GLACIAL MAXIMUM; CLIMATE-CHANGE; HOLOCENE VEGETATION; WESTERN TASMANIA; FIRE ACTIVITY; ANNULAR MODE; VARIABILITY; HISTORY</t>
  </si>
  <si>
    <t>Tropical El Nino Southern Oscillation (ENSO) is an important influence on natural systems and cultural change across the Pacific Ocean basin. El Nino events result in negative moisture anomalies in the southwest Pacific and are implicated in droughts and catastrophic wildfires across eastern Australia. An amplification of tropical El Nino activity is reported in the east Pacific after ca. 6.7 ka; however, proxy data for ENSO-driven environmental change in Australia suggest an initial influence only after ca. 5 ka. Here, we reconstruct changes in vegetation, fire activity and catchment dynamics (e.g. erosion) over the last 14.6 ka from part of the southwest Pacific in which ENSO is the main control of interannual hydroclimatic variability: Paddy's Lake, in northwest Tasmania (1065 masl), Australia. Our multi-proxy approach includes analyses of charcoal, pollen, geochemistry and radioactive isotopes. Our results reveal, a high sensitivity of the local and regional vegetation to climatic change, with an increase of non arboreal pollen between ca. 14.6-13.3 ka synchronous with the Antarctic Cold Reversal, and a sensitivity of the local vegetation and fire activity to ENSO variability recorded in the tropical east Pacific through the Holocene. We detect local-scale shifts in vegetation, fire and sediment geochemistry at ca. 6.3, 4.8 and 3.4 ka, simultaneous with increases in El Nino activity in the tropical Pacific. Finally, we observe a fire-driven shift in vegetation from a pyrophobic association dominated by rainforest elements to a pyrogenic association dominated by sclerophyllous taxa following a prolonged (&gt;1 ka) phase of tropical ENSO-amplification and a major local fire event at ca. 3.4 ka. Our results reveal the following key insights: (1) that ENSO has been a persistent modulator of southwest Pacific climate and fire activity through the Holocene; (2) that the climate of northwest Tasmania is sensitive to long-term shifts in tropical ENSO variability; and (3) that there has been possible stationarity in the spatial influence of ENSO over this region through the Holocene. (C) 2016 Elsevier Ltd. All rights reserved.</t>
  </si>
  <si>
    <t>[Beck, Kristen K.; Fletcher, Michael-Shawn] Univ Melbourne, Sch Geog, Parkville, Vic 3010, Australia; [Gadd, Patricia S.; Heijnis, Henk; Jacobsen, Geraldine E.] Australian Nucl Sci &amp; Technol Org, Lucas Heights, NSW 2234, Australia</t>
  </si>
  <si>
    <t>University of Melbourne; Australian Nuclear Science &amp; Technology Organisation</t>
  </si>
  <si>
    <t>Beck, KK (corresponding author), Univ Melbourne, Sch Geog, Parkville, Vic 3010, Australia.</t>
  </si>
  <si>
    <t>beckk@student.unimelb.edu.au</t>
  </si>
  <si>
    <t>Beck, Kristen/Y-6561-2019; Heijnis, Hendrik/A-6673-2010; Fletcher, Michael-Shawn/AFR-2451-2022</t>
  </si>
  <si>
    <t>Beck, Kristen/0000-0002-8257-9639; Fletcher, Michael-Shawn/0000-0002-1854-5629; Gadd, Patricia/0000-0001-6725-1603; Heijnis, Hendrik/0000-0002-7601-3452</t>
  </si>
  <si>
    <t>Australian Research Council [DI110100019, IN140100050]; Australian Institute of Nuclear Science and Engineering [ALNGRA15003]; Australian Research Council [IN140100050, DI110100019] Funding Source: Australian Research Council</t>
  </si>
  <si>
    <t>Australian Research Council(Australian Research Council); Australian Institute of Nuclear Science and Engineering; Australian Research Council(Australian Research Council)</t>
  </si>
  <si>
    <t>We acknowledge that our work was conducted on Tasmanian Aboriginal lands and thank the Tasmanian Aboriginal community for their ongoing support of our research. We would like to thank Alexa Benson, Agathe Lise-Pronovost, Angelica Ramierez, William Rapuc, Scott Nichols and Anthony Romano for their assistance in the field. The financial support of this project comes from the Australian Research Council (award: DI110100019 and IN140100050) and Australian Institute of Nuclear Science and Engineering (award: ALNGRA15003). We thank an anonymous reviewer for their constructive comments on an earlier draft that resulted in a substantial improvement of the manuscript.</t>
  </si>
  <si>
    <t>10.1016/j.quascirev.2016.12.001</t>
  </si>
  <si>
    <t>WOS:000393936200012</t>
  </si>
  <si>
    <t>Feng, J; Wang, Z; Jiang, W; Zhao, Z; Zhang, B</t>
  </si>
  <si>
    <t>Feng, Jiandi; Wang, Zhengtao; Jiang, Weiping; Zhao, Zhenzhen; Zhang, Bingbing</t>
  </si>
  <si>
    <t>A single-station empirical model for TEC over the Antarctic Peninsula using GPS-TEC data</t>
  </si>
  <si>
    <t>TOTAL ELECTRON-CONTENT; SOLAR EUV FLUX; REGULARIZED ESTIMATION; GLOBAL-MODEL; IONOSPHERE; MAPS; INTERPOLATION; CLIMATOLOGY; PREDICTION; DENSITY</t>
  </si>
  <si>
    <t>Compared with regional or global total electron content (TEC) empirical models, single-station TEC empirical models may exhibit higher accuracy in describing TEC spatial and temporal variations for a single station. In this paper, a new single-station empirical total electron content (TEC) model, called SSMmonth, for the O'Higgins Station in the Antarctic Peninsula is proposed by using Global Positioning System (GPS)-TEC data from 01 January 2004 to 30 June 2015. The diurnal variation of TEC in the O'Higgins Station may have changing features in different months, sometimes even in opposite forms, because of ionospheric phenomena, such as the Mid-latitude Summer Nighttime Anomaly (MSNA). To avoid the influence of different diurnal variations, the concept of monthly modeling is proposed in this study. The SSM-month model, which is established by month (including 12 submodels that correspond to the 12 months), can effectively describe the diurnal variation of TEC in different months. Each submodel of the SSM-month model exhibits good agreement with GPS-TEC input data. Overall, the SSM-month model fits the input data with a bias of 0.03 TECU (total electron content unit, 1 TECU = 10(16) elm(-2)) and a standard deviation of 2.78 TECU. This model, which benefits from the modeling method, can effectively describe the MSNA phenomenon without implementing any modeling correction. TEC data derived from Center for Orbit Determination in Europe global ionosphere maps (CODE GIMs), International Reference Ionosphere 2012 (IRI2012), and NeQuick are compared with the SSM-month model in the years of 2001 and 2015-2016. Result shows that the SSM-month model exhibits good consistency with CODE GIMs, which is better than that of IRI2012 and NeQuick, in the O'Higgins Station on the test days.</t>
  </si>
  <si>
    <t>[Feng, Jiandi; Wang, Zhengtao; Zhang, Bingbing] Wuhan Univ, Sch Geodesy &amp; Geomat, Wuhan, Peoples R China; [Wang, Zhengtao] Wuhan Univ, Key Lab Geospace Environm &amp; Geodesy, Minist Educ, Wuhan, Peoples R China; [Jiang, Weiping] Wuhan Univ, GNSS Res Ctr, Wuhan, Peoples R China; [Zhao, Zhenzhen] Wuhan Univ, Sch Resource &amp; Environm Sci, Wuhan, Peoples R China</t>
  </si>
  <si>
    <t>Wuhan University; Wuhan University; Wuhan University; Wuhan University</t>
  </si>
  <si>
    <t>Zhao, Z (corresponding author), Wuhan Univ, Sch Resource &amp; Environm Sci, Wuhan, Peoples R China.</t>
  </si>
  <si>
    <t>zzzhao@whu.edu.cn</t>
  </si>
  <si>
    <t>Wang, Zhengtao/AAH-7360-2019</t>
  </si>
  <si>
    <t>Wang, Zhengtao/0000-0003-2797-4625; Feng, Jiandi/0000-0002-0054-6690</t>
  </si>
  <si>
    <t>National Science Fund for Distinguished Young Scholars [41525014]; National Natural Science Foundation of China [41274032, 41474018, 41210006]; National Basic Research Program of China [2012CB957703, 2013CB733301]; Key Laboratory of Geospace Environment and Geodesy, Ministry of Education, Wuhan University [15-02-04]</t>
  </si>
  <si>
    <t>National Science Fund for Distinguished Young Scholars(National Natural Science Foundation of China (NSFC)National Science Fund for Distinguished Young Scholars); National Natural Science Foundation of China(National Natural Science Foundation of China (NSFC)); National Basic Research Program of China(National Basic Research Program of China); Key Laboratory of Geospace Environment and Geodesy, Ministry of Education, Wuhan University</t>
  </si>
  <si>
    <t>We are grateful to the CODE TEC team for supplying the GIMs data (ftp://cddis.gsfc.nasa.gov/gps/products/ionex/) and the IONOLAB team for providing the IONOLAB-TEC application (http://www.ionolab.org). This work is supported by the National Science Fund for Distinguished Young Scholars (41525014), the National Natural Science Foundation of China (41274032, 41474018, and 41210006), the National Basic Research Program of China (2012CB957703 and 2013CB733301), and the Key Laboratory of Geospace Environment and Geodesy (15-02-04), Ministry of Education, Wuhan University. We thank the three anonymous reviewers for their constructive comments on this paper.</t>
  </si>
  <si>
    <t>10.1002/2016RS006171</t>
  </si>
  <si>
    <t>EP3IH</t>
  </si>
  <si>
    <t>WOS:000397275500002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</si>
</sst>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89</v>
      </c>
      <c r="AD2" t="s">
        <v>90</v>
      </c>
      <c r="AE2" t="s">
        <v>91</v>
      </c>
      <c r="AF2" t="s">
        <v>74</v>
      </c>
      <c r="AG2">
        <v>87</v>
      </c>
      <c r="AH2">
        <v>28</v>
      </c>
      <c r="AI2">
        <v>28</v>
      </c>
      <c r="AJ2">
        <v>5</v>
      </c>
      <c r="AK2">
        <v>48</v>
      </c>
      <c r="AL2" t="s">
        <v>92</v>
      </c>
      <c r="AM2" t="s">
        <v>93</v>
      </c>
      <c r="AN2" t="s">
        <v>94</v>
      </c>
      <c r="AO2" t="s">
        <v>95</v>
      </c>
      <c r="AP2" t="s">
        <v>96</v>
      </c>
      <c r="AQ2" t="s">
        <v>74</v>
      </c>
      <c r="AR2" t="s">
        <v>97</v>
      </c>
      <c r="AS2" t="s">
        <v>98</v>
      </c>
      <c r="AT2" t="s">
        <v>99</v>
      </c>
      <c r="AU2">
        <v>2017</v>
      </c>
      <c r="AV2">
        <v>68</v>
      </c>
      <c r="AW2">
        <v>14</v>
      </c>
      <c r="AX2" t="s">
        <v>74</v>
      </c>
      <c r="AY2" t="s">
        <v>74</v>
      </c>
      <c r="AZ2" t="s">
        <v>100</v>
      </c>
      <c r="BA2" t="s">
        <v>74</v>
      </c>
      <c r="BB2">
        <v>3971</v>
      </c>
      <c r="BC2">
        <v>3984</v>
      </c>
      <c r="BD2" t="s">
        <v>74</v>
      </c>
      <c r="BE2" t="s">
        <v>101</v>
      </c>
      <c r="BF2" t="str">
        <f>HYPERLINK("http://dx.doi.org/10.1093/jxb/erx164","http://dx.doi.org/10.1093/jxb/erx164")</f>
        <v>http://dx.doi.org/10.1093/jxb/erx164</v>
      </c>
      <c r="BG2" t="s">
        <v>74</v>
      </c>
      <c r="BH2" t="s">
        <v>74</v>
      </c>
      <c r="BI2">
        <v>14</v>
      </c>
      <c r="BJ2" t="s">
        <v>102</v>
      </c>
      <c r="BK2" t="s">
        <v>103</v>
      </c>
      <c r="BL2" t="s">
        <v>102</v>
      </c>
      <c r="BM2" t="s">
        <v>104</v>
      </c>
      <c r="BN2">
        <v>28575516</v>
      </c>
      <c r="BO2" t="s">
        <v>105</v>
      </c>
      <c r="BP2" t="s">
        <v>74</v>
      </c>
      <c r="BQ2" t="s">
        <v>74</v>
      </c>
      <c r="BR2" t="s">
        <v>106</v>
      </c>
      <c r="BS2" t="s">
        <v>107</v>
      </c>
      <c r="BT2" t="str">
        <f>HYPERLINK("https%3A%2F%2Fwww.webofscience.com%2Fwos%2Fwoscc%2Ffull-record%2FWOS:000410239600024","View Full Record in Web of Science")</f>
        <v>View Full Record in Web of Science</v>
      </c>
    </row>
    <row r="3" spans="1:72" x14ac:dyDescent="0.15">
      <c r="A3" t="s">
        <v>72</v>
      </c>
      <c r="B3" t="s">
        <v>108</v>
      </c>
      <c r="C3" t="s">
        <v>74</v>
      </c>
      <c r="D3" t="s">
        <v>74</v>
      </c>
      <c r="E3" t="s">
        <v>74</v>
      </c>
      <c r="F3" t="s">
        <v>109</v>
      </c>
      <c r="G3" t="s">
        <v>74</v>
      </c>
      <c r="H3" t="s">
        <v>74</v>
      </c>
      <c r="I3" t="s">
        <v>110</v>
      </c>
      <c r="J3" t="s">
        <v>111</v>
      </c>
      <c r="K3" t="s">
        <v>74</v>
      </c>
      <c r="L3" t="s">
        <v>74</v>
      </c>
      <c r="M3" t="s">
        <v>78</v>
      </c>
      <c r="N3" t="s">
        <v>79</v>
      </c>
      <c r="O3" t="s">
        <v>74</v>
      </c>
      <c r="P3" t="s">
        <v>74</v>
      </c>
      <c r="Q3" t="s">
        <v>74</v>
      </c>
      <c r="R3" t="s">
        <v>74</v>
      </c>
      <c r="S3" t="s">
        <v>74</v>
      </c>
      <c r="T3" t="s">
        <v>74</v>
      </c>
      <c r="U3" t="s">
        <v>112</v>
      </c>
      <c r="V3" t="s">
        <v>113</v>
      </c>
      <c r="W3" t="s">
        <v>114</v>
      </c>
      <c r="X3" t="s">
        <v>115</v>
      </c>
      <c r="Y3" t="s">
        <v>116</v>
      </c>
      <c r="Z3" t="s">
        <v>117</v>
      </c>
      <c r="AA3" t="s">
        <v>118</v>
      </c>
      <c r="AB3" t="s">
        <v>119</v>
      </c>
      <c r="AC3" t="s">
        <v>120</v>
      </c>
      <c r="AD3" t="s">
        <v>121</v>
      </c>
      <c r="AE3" t="s">
        <v>122</v>
      </c>
      <c r="AF3" t="s">
        <v>74</v>
      </c>
      <c r="AG3">
        <v>22</v>
      </c>
      <c r="AH3">
        <v>23</v>
      </c>
      <c r="AI3">
        <v>24</v>
      </c>
      <c r="AJ3">
        <v>1</v>
      </c>
      <c r="AK3">
        <v>11</v>
      </c>
      <c r="AL3" t="s">
        <v>123</v>
      </c>
      <c r="AM3" t="s">
        <v>124</v>
      </c>
      <c r="AN3" t="s">
        <v>125</v>
      </c>
      <c r="AO3" t="s">
        <v>126</v>
      </c>
      <c r="AP3" t="s">
        <v>74</v>
      </c>
      <c r="AQ3" t="s">
        <v>74</v>
      </c>
      <c r="AR3" t="s">
        <v>111</v>
      </c>
      <c r="AS3" t="s">
        <v>127</v>
      </c>
      <c r="AT3" t="s">
        <v>128</v>
      </c>
      <c r="AU3">
        <v>2017</v>
      </c>
      <c r="AV3">
        <v>30</v>
      </c>
      <c r="AW3">
        <v>2</v>
      </c>
      <c r="AX3" t="s">
        <v>74</v>
      </c>
      <c r="AY3" t="s">
        <v>74</v>
      </c>
      <c r="AZ3" t="s">
        <v>100</v>
      </c>
      <c r="BA3" t="s">
        <v>74</v>
      </c>
      <c r="BB3">
        <v>104</v>
      </c>
      <c r="BC3">
        <v>109</v>
      </c>
      <c r="BD3" t="s">
        <v>74</v>
      </c>
      <c r="BE3" t="s">
        <v>129</v>
      </c>
      <c r="BF3" t="str">
        <f>HYPERLINK("http://dx.doi.org/10.5670/oceanog.2017.228","http://dx.doi.org/10.5670/oceanog.2017.228")</f>
        <v>http://dx.doi.org/10.5670/oceanog.2017.228</v>
      </c>
      <c r="BG3" t="s">
        <v>74</v>
      </c>
      <c r="BH3" t="s">
        <v>74</v>
      </c>
      <c r="BI3">
        <v>6</v>
      </c>
      <c r="BJ3" t="s">
        <v>127</v>
      </c>
      <c r="BK3" t="s">
        <v>103</v>
      </c>
      <c r="BL3" t="s">
        <v>127</v>
      </c>
      <c r="BM3" t="s">
        <v>130</v>
      </c>
      <c r="BN3" t="s">
        <v>74</v>
      </c>
      <c r="BO3" t="s">
        <v>131</v>
      </c>
      <c r="BP3" t="s">
        <v>74</v>
      </c>
      <c r="BQ3" t="s">
        <v>74</v>
      </c>
      <c r="BR3" t="s">
        <v>106</v>
      </c>
      <c r="BS3" t="s">
        <v>132</v>
      </c>
      <c r="BT3" t="str">
        <f>HYPERLINK("https%3A%2F%2Fwww.webofscience.com%2Fwos%2Fwoscc%2Ffull-record%2FWOS:000410333500021","View Full Record in Web of Science")</f>
        <v>View Full Record in Web of Science</v>
      </c>
    </row>
    <row r="4" spans="1:72" x14ac:dyDescent="0.15">
      <c r="A4" t="s">
        <v>72</v>
      </c>
      <c r="B4" t="s">
        <v>133</v>
      </c>
      <c r="C4" t="s">
        <v>74</v>
      </c>
      <c r="D4" t="s">
        <v>74</v>
      </c>
      <c r="E4" t="s">
        <v>74</v>
      </c>
      <c r="F4" t="s">
        <v>134</v>
      </c>
      <c r="G4" t="s">
        <v>74</v>
      </c>
      <c r="H4" t="s">
        <v>74</v>
      </c>
      <c r="I4" t="s">
        <v>135</v>
      </c>
      <c r="J4" t="s">
        <v>136</v>
      </c>
      <c r="K4" t="s">
        <v>74</v>
      </c>
      <c r="L4" t="s">
        <v>74</v>
      </c>
      <c r="M4" t="s">
        <v>78</v>
      </c>
      <c r="N4" t="s">
        <v>79</v>
      </c>
      <c r="O4" t="s">
        <v>74</v>
      </c>
      <c r="P4" t="s">
        <v>74</v>
      </c>
      <c r="Q4" t="s">
        <v>74</v>
      </c>
      <c r="R4" t="s">
        <v>74</v>
      </c>
      <c r="S4" t="s">
        <v>74</v>
      </c>
      <c r="T4" t="s">
        <v>137</v>
      </c>
      <c r="U4" t="s">
        <v>74</v>
      </c>
      <c r="V4" t="s">
        <v>138</v>
      </c>
      <c r="W4" t="s">
        <v>139</v>
      </c>
      <c r="X4" t="s">
        <v>140</v>
      </c>
      <c r="Y4" t="s">
        <v>141</v>
      </c>
      <c r="Z4" t="s">
        <v>142</v>
      </c>
      <c r="AA4" t="s">
        <v>143</v>
      </c>
      <c r="AB4" t="s">
        <v>144</v>
      </c>
      <c r="AC4" t="s">
        <v>145</v>
      </c>
      <c r="AD4" t="s">
        <v>146</v>
      </c>
      <c r="AE4" t="s">
        <v>147</v>
      </c>
      <c r="AF4" t="s">
        <v>74</v>
      </c>
      <c r="AG4">
        <v>4</v>
      </c>
      <c r="AH4">
        <v>3</v>
      </c>
      <c r="AI4">
        <v>3</v>
      </c>
      <c r="AJ4">
        <v>1</v>
      </c>
      <c r="AK4">
        <v>7</v>
      </c>
      <c r="AL4" t="s">
        <v>148</v>
      </c>
      <c r="AM4" t="s">
        <v>149</v>
      </c>
      <c r="AN4" t="s">
        <v>150</v>
      </c>
      <c r="AO4" t="s">
        <v>151</v>
      </c>
      <c r="AP4" t="s">
        <v>74</v>
      </c>
      <c r="AQ4" t="s">
        <v>74</v>
      </c>
      <c r="AR4" t="s">
        <v>152</v>
      </c>
      <c r="AS4" t="s">
        <v>153</v>
      </c>
      <c r="AT4" t="s">
        <v>128</v>
      </c>
      <c r="AU4">
        <v>2017</v>
      </c>
      <c r="AV4">
        <v>52</v>
      </c>
      <c r="AW4">
        <v>2</v>
      </c>
      <c r="AX4" t="s">
        <v>74</v>
      </c>
      <c r="AY4" t="s">
        <v>74</v>
      </c>
      <c r="AZ4" t="s">
        <v>74</v>
      </c>
      <c r="BA4" t="s">
        <v>74</v>
      </c>
      <c r="BB4">
        <v>251</v>
      </c>
      <c r="BC4">
        <v>255</v>
      </c>
      <c r="BD4" t="s">
        <v>74</v>
      </c>
      <c r="BE4" t="s">
        <v>154</v>
      </c>
      <c r="BF4" t="str">
        <f>HYPERLINK("http://dx.doi.org/10.31055/1851.2372.v52.n2.17439","http://dx.doi.org/10.31055/1851.2372.v52.n2.17439")</f>
        <v>http://dx.doi.org/10.31055/1851.2372.v52.n2.17439</v>
      </c>
      <c r="BG4" t="s">
        <v>74</v>
      </c>
      <c r="BH4" t="s">
        <v>74</v>
      </c>
      <c r="BI4">
        <v>5</v>
      </c>
      <c r="BJ4" t="s">
        <v>102</v>
      </c>
      <c r="BK4" t="s">
        <v>103</v>
      </c>
      <c r="BL4" t="s">
        <v>102</v>
      </c>
      <c r="BM4" t="s">
        <v>155</v>
      </c>
      <c r="BN4" t="s">
        <v>74</v>
      </c>
      <c r="BO4" t="s">
        <v>131</v>
      </c>
      <c r="BP4" t="s">
        <v>74</v>
      </c>
      <c r="BQ4" t="s">
        <v>74</v>
      </c>
      <c r="BR4" t="s">
        <v>106</v>
      </c>
      <c r="BS4" t="s">
        <v>156</v>
      </c>
      <c r="BT4" t="str">
        <f>HYPERLINK("https%3A%2F%2Fwww.webofscience.com%2Fwos%2Fwoscc%2Ffull-record%2FWOS:000409288000004","View Full Record in Web of Science")</f>
        <v>View Full Record in Web of Science</v>
      </c>
    </row>
    <row r="5" spans="1:72" x14ac:dyDescent="0.15">
      <c r="A5" t="s">
        <v>72</v>
      </c>
      <c r="B5" t="s">
        <v>157</v>
      </c>
      <c r="C5" t="s">
        <v>74</v>
      </c>
      <c r="D5" t="s">
        <v>74</v>
      </c>
      <c r="E5" t="s">
        <v>74</v>
      </c>
      <c r="F5" t="s">
        <v>158</v>
      </c>
      <c r="G5" t="s">
        <v>74</v>
      </c>
      <c r="H5" t="s">
        <v>74</v>
      </c>
      <c r="I5" t="s">
        <v>159</v>
      </c>
      <c r="J5" t="s">
        <v>160</v>
      </c>
      <c r="K5" t="s">
        <v>74</v>
      </c>
      <c r="L5" t="s">
        <v>74</v>
      </c>
      <c r="M5" t="s">
        <v>78</v>
      </c>
      <c r="N5" t="s">
        <v>79</v>
      </c>
      <c r="O5" t="s">
        <v>74</v>
      </c>
      <c r="P5" t="s">
        <v>74</v>
      </c>
      <c r="Q5" t="s">
        <v>74</v>
      </c>
      <c r="R5" t="s">
        <v>74</v>
      </c>
      <c r="S5" t="s">
        <v>74</v>
      </c>
      <c r="T5" t="s">
        <v>161</v>
      </c>
      <c r="U5" t="s">
        <v>162</v>
      </c>
      <c r="V5" t="s">
        <v>163</v>
      </c>
      <c r="W5" t="s">
        <v>164</v>
      </c>
      <c r="X5" t="s">
        <v>165</v>
      </c>
      <c r="Y5" t="s">
        <v>166</v>
      </c>
      <c r="Z5" t="s">
        <v>167</v>
      </c>
      <c r="AA5" t="s">
        <v>74</v>
      </c>
      <c r="AB5" t="s">
        <v>74</v>
      </c>
      <c r="AC5" t="s">
        <v>168</v>
      </c>
      <c r="AD5" t="s">
        <v>169</v>
      </c>
      <c r="AE5" t="s">
        <v>170</v>
      </c>
      <c r="AF5" t="s">
        <v>74</v>
      </c>
      <c r="AG5">
        <v>51</v>
      </c>
      <c r="AH5">
        <v>3</v>
      </c>
      <c r="AI5">
        <v>3</v>
      </c>
      <c r="AJ5">
        <v>0</v>
      </c>
      <c r="AK5">
        <v>5</v>
      </c>
      <c r="AL5" t="s">
        <v>92</v>
      </c>
      <c r="AM5" t="s">
        <v>93</v>
      </c>
      <c r="AN5" t="s">
        <v>94</v>
      </c>
      <c r="AO5" t="s">
        <v>171</v>
      </c>
      <c r="AP5" t="s">
        <v>172</v>
      </c>
      <c r="AQ5" t="s">
        <v>74</v>
      </c>
      <c r="AR5" t="s">
        <v>173</v>
      </c>
      <c r="AS5" t="s">
        <v>174</v>
      </c>
      <c r="AT5" t="s">
        <v>128</v>
      </c>
      <c r="AU5">
        <v>2017</v>
      </c>
      <c r="AV5">
        <v>209</v>
      </c>
      <c r="AW5">
        <v>3</v>
      </c>
      <c r="AX5" t="s">
        <v>74</v>
      </c>
      <c r="AY5" t="s">
        <v>74</v>
      </c>
      <c r="AZ5" t="s">
        <v>74</v>
      </c>
      <c r="BA5" t="s">
        <v>74</v>
      </c>
      <c r="BB5">
        <v>1660</v>
      </c>
      <c r="BC5">
        <v>1676</v>
      </c>
      <c r="BD5" t="s">
        <v>74</v>
      </c>
      <c r="BE5" t="s">
        <v>175</v>
      </c>
      <c r="BF5" t="str">
        <f>HYPERLINK("http://dx.doi.org/10.1093/gji/ggx116","http://dx.doi.org/10.1093/gji/ggx116")</f>
        <v>http://dx.doi.org/10.1093/gji/ggx116</v>
      </c>
      <c r="BG5" t="s">
        <v>74</v>
      </c>
      <c r="BH5" t="s">
        <v>74</v>
      </c>
      <c r="BI5">
        <v>17</v>
      </c>
      <c r="BJ5" t="s">
        <v>176</v>
      </c>
      <c r="BK5" t="s">
        <v>103</v>
      </c>
      <c r="BL5" t="s">
        <v>176</v>
      </c>
      <c r="BM5" t="s">
        <v>177</v>
      </c>
      <c r="BN5" t="s">
        <v>74</v>
      </c>
      <c r="BO5" t="s">
        <v>74</v>
      </c>
      <c r="BP5" t="s">
        <v>74</v>
      </c>
      <c r="BQ5" t="s">
        <v>74</v>
      </c>
      <c r="BR5" t="s">
        <v>106</v>
      </c>
      <c r="BS5" t="s">
        <v>178</v>
      </c>
      <c r="BT5" t="str">
        <f>HYPERLINK("https%3A%2F%2Fwww.webofscience.com%2Fwos%2Fwoscc%2Ffull-record%2FWOS:000408374300023","View Full Record in Web of Science")</f>
        <v>View Full Record in Web of Science</v>
      </c>
    </row>
    <row r="6" spans="1:72" x14ac:dyDescent="0.15">
      <c r="A6" t="s">
        <v>72</v>
      </c>
      <c r="B6" t="s">
        <v>179</v>
      </c>
      <c r="C6" t="s">
        <v>74</v>
      </c>
      <c r="D6" t="s">
        <v>74</v>
      </c>
      <c r="E6" t="s">
        <v>74</v>
      </c>
      <c r="F6" t="s">
        <v>180</v>
      </c>
      <c r="G6" t="s">
        <v>74</v>
      </c>
      <c r="H6" t="s">
        <v>74</v>
      </c>
      <c r="I6" t="s">
        <v>181</v>
      </c>
      <c r="J6" t="s">
        <v>182</v>
      </c>
      <c r="K6" t="s">
        <v>74</v>
      </c>
      <c r="L6" t="s">
        <v>74</v>
      </c>
      <c r="M6" t="s">
        <v>78</v>
      </c>
      <c r="N6" t="s">
        <v>79</v>
      </c>
      <c r="O6" t="s">
        <v>74</v>
      </c>
      <c r="P6" t="s">
        <v>74</v>
      </c>
      <c r="Q6" t="s">
        <v>74</v>
      </c>
      <c r="R6" t="s">
        <v>74</v>
      </c>
      <c r="S6" t="s">
        <v>74</v>
      </c>
      <c r="T6" t="s">
        <v>183</v>
      </c>
      <c r="U6" t="s">
        <v>184</v>
      </c>
      <c r="V6" t="s">
        <v>185</v>
      </c>
      <c r="W6" t="s">
        <v>186</v>
      </c>
      <c r="X6" t="s">
        <v>187</v>
      </c>
      <c r="Y6" t="s">
        <v>188</v>
      </c>
      <c r="Z6" t="s">
        <v>189</v>
      </c>
      <c r="AA6" t="s">
        <v>190</v>
      </c>
      <c r="AB6" t="s">
        <v>191</v>
      </c>
      <c r="AC6" t="s">
        <v>192</v>
      </c>
      <c r="AD6" t="s">
        <v>192</v>
      </c>
      <c r="AE6" t="s">
        <v>193</v>
      </c>
      <c r="AF6" t="s">
        <v>74</v>
      </c>
      <c r="AG6">
        <v>38</v>
      </c>
      <c r="AH6">
        <v>1</v>
      </c>
      <c r="AI6">
        <v>1</v>
      </c>
      <c r="AJ6">
        <v>1</v>
      </c>
      <c r="AK6">
        <v>5</v>
      </c>
      <c r="AL6" t="s">
        <v>194</v>
      </c>
      <c r="AM6" t="s">
        <v>195</v>
      </c>
      <c r="AN6" t="s">
        <v>196</v>
      </c>
      <c r="AO6" t="s">
        <v>197</v>
      </c>
      <c r="AP6" t="s">
        <v>198</v>
      </c>
      <c r="AQ6" t="s">
        <v>74</v>
      </c>
      <c r="AR6" t="s">
        <v>199</v>
      </c>
      <c r="AS6" t="s">
        <v>200</v>
      </c>
      <c r="AT6" t="s">
        <v>128</v>
      </c>
      <c r="AU6">
        <v>2017</v>
      </c>
      <c r="AV6">
        <v>28</v>
      </c>
      <c r="AW6">
        <v>3</v>
      </c>
      <c r="AX6" t="s">
        <v>74</v>
      </c>
      <c r="AY6" t="s">
        <v>74</v>
      </c>
      <c r="AZ6" t="s">
        <v>74</v>
      </c>
      <c r="BA6" t="s">
        <v>74</v>
      </c>
      <c r="BB6">
        <v>371</v>
      </c>
      <c r="BC6">
        <v>383</v>
      </c>
      <c r="BD6" t="s">
        <v>74</v>
      </c>
      <c r="BE6" t="s">
        <v>201</v>
      </c>
      <c r="BF6" t="str">
        <f>HYPERLINK("http://dx.doi.org/10.3319/TAO.2016.09.19.01","http://dx.doi.org/10.3319/TAO.2016.09.19.01")</f>
        <v>http://dx.doi.org/10.3319/TAO.2016.09.19.01</v>
      </c>
      <c r="BG6" t="s">
        <v>74</v>
      </c>
      <c r="BH6" t="s">
        <v>74</v>
      </c>
      <c r="BI6">
        <v>13</v>
      </c>
      <c r="BJ6" t="s">
        <v>202</v>
      </c>
      <c r="BK6" t="s">
        <v>103</v>
      </c>
      <c r="BL6" t="s">
        <v>203</v>
      </c>
      <c r="BM6" t="s">
        <v>204</v>
      </c>
      <c r="BN6" t="s">
        <v>74</v>
      </c>
      <c r="BO6" t="s">
        <v>205</v>
      </c>
      <c r="BP6" t="s">
        <v>74</v>
      </c>
      <c r="BQ6" t="s">
        <v>74</v>
      </c>
      <c r="BR6" t="s">
        <v>106</v>
      </c>
      <c r="BS6" t="s">
        <v>206</v>
      </c>
      <c r="BT6" t="str">
        <f>HYPERLINK("https%3A%2F%2Fwww.webofscience.com%2Fwos%2Fwoscc%2Ffull-record%2FWOS:000407102500017","View Full Record in Web of Science")</f>
        <v>View Full Record in Web of Science</v>
      </c>
    </row>
    <row r="7" spans="1:72" x14ac:dyDescent="0.15">
      <c r="A7" t="s">
        <v>72</v>
      </c>
      <c r="B7" t="s">
        <v>207</v>
      </c>
      <c r="C7" t="s">
        <v>74</v>
      </c>
      <c r="D7" t="s">
        <v>74</v>
      </c>
      <c r="E7" t="s">
        <v>74</v>
      </c>
      <c r="F7" t="s">
        <v>208</v>
      </c>
      <c r="G7" t="s">
        <v>74</v>
      </c>
      <c r="H7" t="s">
        <v>74</v>
      </c>
      <c r="I7" t="s">
        <v>209</v>
      </c>
      <c r="J7" t="s">
        <v>210</v>
      </c>
      <c r="K7" t="s">
        <v>74</v>
      </c>
      <c r="L7" t="s">
        <v>74</v>
      </c>
      <c r="M7" t="s">
        <v>78</v>
      </c>
      <c r="N7" t="s">
        <v>79</v>
      </c>
      <c r="O7" t="s">
        <v>74</v>
      </c>
      <c r="P7" t="s">
        <v>74</v>
      </c>
      <c r="Q7" t="s">
        <v>74</v>
      </c>
      <c r="R7" t="s">
        <v>74</v>
      </c>
      <c r="S7" t="s">
        <v>74</v>
      </c>
      <c r="T7" t="s">
        <v>74</v>
      </c>
      <c r="U7" t="s">
        <v>211</v>
      </c>
      <c r="V7" t="s">
        <v>212</v>
      </c>
      <c r="W7" t="s">
        <v>213</v>
      </c>
      <c r="X7" t="s">
        <v>214</v>
      </c>
      <c r="Y7" t="s">
        <v>215</v>
      </c>
      <c r="Z7" t="s">
        <v>216</v>
      </c>
      <c r="AA7" t="s">
        <v>217</v>
      </c>
      <c r="AB7" t="s">
        <v>218</v>
      </c>
      <c r="AC7" t="s">
        <v>219</v>
      </c>
      <c r="AD7" t="s">
        <v>220</v>
      </c>
      <c r="AE7" t="s">
        <v>221</v>
      </c>
      <c r="AF7" t="s">
        <v>74</v>
      </c>
      <c r="AG7">
        <v>25</v>
      </c>
      <c r="AH7">
        <v>1</v>
      </c>
      <c r="AI7">
        <v>1</v>
      </c>
      <c r="AJ7">
        <v>0</v>
      </c>
      <c r="AK7">
        <v>5</v>
      </c>
      <c r="AL7" t="s">
        <v>222</v>
      </c>
      <c r="AM7" t="s">
        <v>223</v>
      </c>
      <c r="AN7" t="s">
        <v>224</v>
      </c>
      <c r="AO7" t="s">
        <v>225</v>
      </c>
      <c r="AP7" t="s">
        <v>226</v>
      </c>
      <c r="AQ7" t="s">
        <v>74</v>
      </c>
      <c r="AR7" t="s">
        <v>227</v>
      </c>
      <c r="AS7" t="s">
        <v>228</v>
      </c>
      <c r="AT7" t="s">
        <v>128</v>
      </c>
      <c r="AU7">
        <v>2017</v>
      </c>
      <c r="AV7">
        <v>122</v>
      </c>
      <c r="AW7">
        <v>6</v>
      </c>
      <c r="AX7" t="s">
        <v>74</v>
      </c>
      <c r="AY7" t="s">
        <v>74</v>
      </c>
      <c r="AZ7" t="s">
        <v>74</v>
      </c>
      <c r="BA7" t="s">
        <v>74</v>
      </c>
      <c r="BB7">
        <v>4675</v>
      </c>
      <c r="BC7">
        <v>4684</v>
      </c>
      <c r="BD7" t="s">
        <v>74</v>
      </c>
      <c r="BE7" t="s">
        <v>229</v>
      </c>
      <c r="BF7" t="str">
        <f>HYPERLINK("http://dx.doi.org/10.1002/2016JC012524","http://dx.doi.org/10.1002/2016JC012524")</f>
        <v>http://dx.doi.org/10.1002/2016JC012524</v>
      </c>
      <c r="BG7" t="s">
        <v>74</v>
      </c>
      <c r="BH7" t="s">
        <v>74</v>
      </c>
      <c r="BI7">
        <v>10</v>
      </c>
      <c r="BJ7" t="s">
        <v>127</v>
      </c>
      <c r="BK7" t="s">
        <v>103</v>
      </c>
      <c r="BL7" t="s">
        <v>127</v>
      </c>
      <c r="BM7" t="s">
        <v>230</v>
      </c>
      <c r="BN7" t="s">
        <v>74</v>
      </c>
      <c r="BO7" t="s">
        <v>231</v>
      </c>
      <c r="BP7" t="s">
        <v>74</v>
      </c>
      <c r="BQ7" t="s">
        <v>74</v>
      </c>
      <c r="BR7" t="s">
        <v>106</v>
      </c>
      <c r="BS7" t="s">
        <v>232</v>
      </c>
      <c r="BT7" t="str">
        <f>HYPERLINK("https%3A%2F%2Fwww.webofscience.com%2Fwos%2Fwoscc%2Ffull-record%2FWOS:000407088800011","View Full Record in Web of Science")</f>
        <v>View Full Record in Web of Science</v>
      </c>
    </row>
    <row r="8" spans="1:72" x14ac:dyDescent="0.15">
      <c r="A8" t="s">
        <v>72</v>
      </c>
      <c r="B8" t="s">
        <v>233</v>
      </c>
      <c r="C8" t="s">
        <v>74</v>
      </c>
      <c r="D8" t="s">
        <v>74</v>
      </c>
      <c r="E8" t="s">
        <v>74</v>
      </c>
      <c r="F8" t="s">
        <v>234</v>
      </c>
      <c r="G8" t="s">
        <v>74</v>
      </c>
      <c r="H8" t="s">
        <v>74</v>
      </c>
      <c r="I8" t="s">
        <v>235</v>
      </c>
      <c r="J8" t="s">
        <v>210</v>
      </c>
      <c r="K8" t="s">
        <v>74</v>
      </c>
      <c r="L8" t="s">
        <v>74</v>
      </c>
      <c r="M8" t="s">
        <v>78</v>
      </c>
      <c r="N8" t="s">
        <v>79</v>
      </c>
      <c r="O8" t="s">
        <v>74</v>
      </c>
      <c r="P8" t="s">
        <v>74</v>
      </c>
      <c r="Q8" t="s">
        <v>74</v>
      </c>
      <c r="R8" t="s">
        <v>74</v>
      </c>
      <c r="S8" t="s">
        <v>74</v>
      </c>
      <c r="T8" t="s">
        <v>74</v>
      </c>
      <c r="U8" t="s">
        <v>236</v>
      </c>
      <c r="V8" t="s">
        <v>237</v>
      </c>
      <c r="W8" t="s">
        <v>238</v>
      </c>
      <c r="X8" t="s">
        <v>239</v>
      </c>
      <c r="Y8" t="s">
        <v>240</v>
      </c>
      <c r="Z8" t="s">
        <v>241</v>
      </c>
      <c r="AA8" t="s">
        <v>242</v>
      </c>
      <c r="AB8" t="s">
        <v>243</v>
      </c>
      <c r="AC8" t="s">
        <v>244</v>
      </c>
      <c r="AD8" t="s">
        <v>245</v>
      </c>
      <c r="AE8" t="s">
        <v>246</v>
      </c>
      <c r="AF8" t="s">
        <v>74</v>
      </c>
      <c r="AG8">
        <v>97</v>
      </c>
      <c r="AH8">
        <v>91</v>
      </c>
      <c r="AI8">
        <v>95</v>
      </c>
      <c r="AJ8">
        <v>2</v>
      </c>
      <c r="AK8">
        <v>65</v>
      </c>
      <c r="AL8" t="s">
        <v>222</v>
      </c>
      <c r="AM8" t="s">
        <v>223</v>
      </c>
      <c r="AN8" t="s">
        <v>224</v>
      </c>
      <c r="AO8" t="s">
        <v>225</v>
      </c>
      <c r="AP8" t="s">
        <v>226</v>
      </c>
      <c r="AQ8" t="s">
        <v>74</v>
      </c>
      <c r="AR8" t="s">
        <v>227</v>
      </c>
      <c r="AS8" t="s">
        <v>228</v>
      </c>
      <c r="AT8" t="s">
        <v>128</v>
      </c>
      <c r="AU8">
        <v>2017</v>
      </c>
      <c r="AV8">
        <v>122</v>
      </c>
      <c r="AW8">
        <v>6</v>
      </c>
      <c r="AX8" t="s">
        <v>74</v>
      </c>
      <c r="AY8" t="s">
        <v>74</v>
      </c>
      <c r="AZ8" t="s">
        <v>74</v>
      </c>
      <c r="BA8" t="s">
        <v>74</v>
      </c>
      <c r="BB8">
        <v>5121</v>
      </c>
      <c r="BC8">
        <v>5139</v>
      </c>
      <c r="BD8" t="s">
        <v>74</v>
      </c>
      <c r="BE8" t="s">
        <v>247</v>
      </c>
      <c r="BF8" t="str">
        <f>HYPERLINK("http://dx.doi.org/10.1002/2016JC012582","http://dx.doi.org/10.1002/2016JC012582")</f>
        <v>http://dx.doi.org/10.1002/2016JC012582</v>
      </c>
      <c r="BG8" t="s">
        <v>74</v>
      </c>
      <c r="BH8" t="s">
        <v>74</v>
      </c>
      <c r="BI8">
        <v>19</v>
      </c>
      <c r="BJ8" t="s">
        <v>127</v>
      </c>
      <c r="BK8" t="s">
        <v>103</v>
      </c>
      <c r="BL8" t="s">
        <v>127</v>
      </c>
      <c r="BM8" t="s">
        <v>230</v>
      </c>
      <c r="BN8" t="s">
        <v>74</v>
      </c>
      <c r="BO8" t="s">
        <v>231</v>
      </c>
      <c r="BP8" t="s">
        <v>74</v>
      </c>
      <c r="BQ8" t="s">
        <v>74</v>
      </c>
      <c r="BR8" t="s">
        <v>106</v>
      </c>
      <c r="BS8" t="s">
        <v>248</v>
      </c>
      <c r="BT8" t="str">
        <f>HYPERLINK("https%3A%2F%2Fwww.webofscience.com%2Fwos%2Fwoscc%2Ffull-record%2FWOS:000407088800038","View Full Record in Web of Science")</f>
        <v>View Full Record in Web of Science</v>
      </c>
    </row>
    <row r="9" spans="1:72" x14ac:dyDescent="0.15">
      <c r="A9" t="s">
        <v>72</v>
      </c>
      <c r="B9" t="s">
        <v>249</v>
      </c>
      <c r="C9" t="s">
        <v>74</v>
      </c>
      <c r="D9" t="s">
        <v>74</v>
      </c>
      <c r="E9" t="s">
        <v>74</v>
      </c>
      <c r="F9" t="s">
        <v>250</v>
      </c>
      <c r="G9" t="s">
        <v>74</v>
      </c>
      <c r="H9" t="s">
        <v>74</v>
      </c>
      <c r="I9" t="s">
        <v>251</v>
      </c>
      <c r="J9" t="s">
        <v>252</v>
      </c>
      <c r="K9" t="s">
        <v>74</v>
      </c>
      <c r="L9" t="s">
        <v>74</v>
      </c>
      <c r="M9" t="s">
        <v>78</v>
      </c>
      <c r="N9" t="s">
        <v>79</v>
      </c>
      <c r="O9" t="s">
        <v>74</v>
      </c>
      <c r="P9" t="s">
        <v>74</v>
      </c>
      <c r="Q9" t="s">
        <v>74</v>
      </c>
      <c r="R9" t="s">
        <v>74</v>
      </c>
      <c r="S9" t="s">
        <v>74</v>
      </c>
      <c r="T9" t="s">
        <v>74</v>
      </c>
      <c r="U9" t="s">
        <v>253</v>
      </c>
      <c r="V9" t="s">
        <v>254</v>
      </c>
      <c r="W9" t="s">
        <v>255</v>
      </c>
      <c r="X9" t="s">
        <v>256</v>
      </c>
      <c r="Y9" t="s">
        <v>257</v>
      </c>
      <c r="Z9" t="s">
        <v>258</v>
      </c>
      <c r="AA9" t="s">
        <v>259</v>
      </c>
      <c r="AB9" t="s">
        <v>260</v>
      </c>
      <c r="AC9" t="s">
        <v>261</v>
      </c>
      <c r="AD9" t="s">
        <v>262</v>
      </c>
      <c r="AE9" t="s">
        <v>263</v>
      </c>
      <c r="AF9" t="s">
        <v>74</v>
      </c>
      <c r="AG9">
        <v>41</v>
      </c>
      <c r="AH9">
        <v>23</v>
      </c>
      <c r="AI9">
        <v>25</v>
      </c>
      <c r="AJ9">
        <v>2</v>
      </c>
      <c r="AK9">
        <v>22</v>
      </c>
      <c r="AL9" t="s">
        <v>222</v>
      </c>
      <c r="AM9" t="s">
        <v>223</v>
      </c>
      <c r="AN9" t="s">
        <v>224</v>
      </c>
      <c r="AO9" t="s">
        <v>264</v>
      </c>
      <c r="AP9" t="s">
        <v>265</v>
      </c>
      <c r="AQ9" t="s">
        <v>74</v>
      </c>
      <c r="AR9" t="s">
        <v>266</v>
      </c>
      <c r="AS9" t="s">
        <v>267</v>
      </c>
      <c r="AT9" t="s">
        <v>128</v>
      </c>
      <c r="AU9">
        <v>2017</v>
      </c>
      <c r="AV9">
        <v>122</v>
      </c>
      <c r="AW9">
        <v>6</v>
      </c>
      <c r="AX9" t="s">
        <v>74</v>
      </c>
      <c r="AY9" t="s">
        <v>74</v>
      </c>
      <c r="AZ9" t="s">
        <v>74</v>
      </c>
      <c r="BA9" t="s">
        <v>74</v>
      </c>
      <c r="BB9">
        <v>1456</v>
      </c>
      <c r="BC9">
        <v>1470</v>
      </c>
      <c r="BD9" t="s">
        <v>74</v>
      </c>
      <c r="BE9" t="s">
        <v>268</v>
      </c>
      <c r="BF9" t="str">
        <f>HYPERLINK("http://dx.doi.org/10.1002/2016JG003694","http://dx.doi.org/10.1002/2016JG003694")</f>
        <v>http://dx.doi.org/10.1002/2016JG003694</v>
      </c>
      <c r="BG9" t="s">
        <v>74</v>
      </c>
      <c r="BH9" t="s">
        <v>74</v>
      </c>
      <c r="BI9">
        <v>15</v>
      </c>
      <c r="BJ9" t="s">
        <v>269</v>
      </c>
      <c r="BK9" t="s">
        <v>103</v>
      </c>
      <c r="BL9" t="s">
        <v>270</v>
      </c>
      <c r="BM9" t="s">
        <v>271</v>
      </c>
      <c r="BN9" t="s">
        <v>74</v>
      </c>
      <c r="BO9" t="s">
        <v>272</v>
      </c>
      <c r="BP9" t="s">
        <v>74</v>
      </c>
      <c r="BQ9" t="s">
        <v>74</v>
      </c>
      <c r="BR9" t="s">
        <v>106</v>
      </c>
      <c r="BS9" t="s">
        <v>273</v>
      </c>
      <c r="BT9" t="str">
        <f>HYPERLINK("https%3A%2F%2Fwww.webofscience.com%2Fwos%2Fwoscc%2Ffull-record%2FWOS:000406520900010","View Full Record in Web of Science")</f>
        <v>View Full Record in Web of Science</v>
      </c>
    </row>
    <row r="10" spans="1:72" x14ac:dyDescent="0.15">
      <c r="A10" t="s">
        <v>72</v>
      </c>
      <c r="B10" t="s">
        <v>274</v>
      </c>
      <c r="C10" t="s">
        <v>74</v>
      </c>
      <c r="D10" t="s">
        <v>74</v>
      </c>
      <c r="E10" t="s">
        <v>74</v>
      </c>
      <c r="F10" t="s">
        <v>275</v>
      </c>
      <c r="G10" t="s">
        <v>74</v>
      </c>
      <c r="H10" t="s">
        <v>74</v>
      </c>
      <c r="I10" t="s">
        <v>276</v>
      </c>
      <c r="J10" t="s">
        <v>277</v>
      </c>
      <c r="K10" t="s">
        <v>74</v>
      </c>
      <c r="L10" t="s">
        <v>74</v>
      </c>
      <c r="M10" t="s">
        <v>78</v>
      </c>
      <c r="N10" t="s">
        <v>79</v>
      </c>
      <c r="O10" t="s">
        <v>74</v>
      </c>
      <c r="P10" t="s">
        <v>74</v>
      </c>
      <c r="Q10" t="s">
        <v>74</v>
      </c>
      <c r="R10" t="s">
        <v>74</v>
      </c>
      <c r="S10" t="s">
        <v>74</v>
      </c>
      <c r="T10" t="s">
        <v>278</v>
      </c>
      <c r="U10" t="s">
        <v>279</v>
      </c>
      <c r="V10" t="s">
        <v>280</v>
      </c>
      <c r="W10" t="s">
        <v>281</v>
      </c>
      <c r="X10" t="s">
        <v>282</v>
      </c>
      <c r="Y10" t="s">
        <v>283</v>
      </c>
      <c r="Z10" t="s">
        <v>284</v>
      </c>
      <c r="AA10" t="s">
        <v>285</v>
      </c>
      <c r="AB10" t="s">
        <v>74</v>
      </c>
      <c r="AC10" t="s">
        <v>286</v>
      </c>
      <c r="AD10" t="s">
        <v>287</v>
      </c>
      <c r="AE10" t="s">
        <v>288</v>
      </c>
      <c r="AF10" t="s">
        <v>74</v>
      </c>
      <c r="AG10">
        <v>21</v>
      </c>
      <c r="AH10">
        <v>6</v>
      </c>
      <c r="AI10">
        <v>6</v>
      </c>
      <c r="AJ10">
        <v>0</v>
      </c>
      <c r="AK10">
        <v>8</v>
      </c>
      <c r="AL10" t="s">
        <v>289</v>
      </c>
      <c r="AM10" t="s">
        <v>290</v>
      </c>
      <c r="AN10" t="s">
        <v>291</v>
      </c>
      <c r="AO10" t="s">
        <v>292</v>
      </c>
      <c r="AP10" t="s">
        <v>293</v>
      </c>
      <c r="AQ10" t="s">
        <v>74</v>
      </c>
      <c r="AR10" t="s">
        <v>294</v>
      </c>
      <c r="AS10" t="s">
        <v>295</v>
      </c>
      <c r="AT10" t="s">
        <v>128</v>
      </c>
      <c r="AU10">
        <v>2017</v>
      </c>
      <c r="AV10">
        <v>10</v>
      </c>
      <c r="AW10">
        <v>6</v>
      </c>
      <c r="AX10" t="s">
        <v>74</v>
      </c>
      <c r="AY10" t="s">
        <v>74</v>
      </c>
      <c r="AZ10" t="s">
        <v>74</v>
      </c>
      <c r="BA10" t="s">
        <v>74</v>
      </c>
      <c r="BB10">
        <v>2510</v>
      </c>
      <c r="BC10">
        <v>2517</v>
      </c>
      <c r="BD10" t="s">
        <v>74</v>
      </c>
      <c r="BE10" t="s">
        <v>296</v>
      </c>
      <c r="BF10" t="str">
        <f>HYPERLINK("http://dx.doi.org/10.1109/JSTARS.2017.2672723","http://dx.doi.org/10.1109/JSTARS.2017.2672723")</f>
        <v>http://dx.doi.org/10.1109/JSTARS.2017.2672723</v>
      </c>
      <c r="BG10" t="s">
        <v>74</v>
      </c>
      <c r="BH10" t="s">
        <v>74</v>
      </c>
      <c r="BI10">
        <v>8</v>
      </c>
      <c r="BJ10" t="s">
        <v>297</v>
      </c>
      <c r="BK10" t="s">
        <v>103</v>
      </c>
      <c r="BL10" t="s">
        <v>298</v>
      </c>
      <c r="BM10" t="s">
        <v>299</v>
      </c>
      <c r="BN10" t="s">
        <v>74</v>
      </c>
      <c r="BO10" t="s">
        <v>74</v>
      </c>
      <c r="BP10" t="s">
        <v>74</v>
      </c>
      <c r="BQ10" t="s">
        <v>74</v>
      </c>
      <c r="BR10" t="s">
        <v>106</v>
      </c>
      <c r="BS10" t="s">
        <v>300</v>
      </c>
      <c r="BT10" t="str">
        <f>HYPERLINK("https%3A%2F%2Fwww.webofscience.com%2Fwos%2Fwoscc%2Ffull-record%2FWOS:000406419400009","View Full Record in Web of Science")</f>
        <v>View Full Record in Web of Science</v>
      </c>
    </row>
    <row r="11" spans="1:72" x14ac:dyDescent="0.15">
      <c r="A11" t="s">
        <v>72</v>
      </c>
      <c r="B11" t="s">
        <v>301</v>
      </c>
      <c r="C11" t="s">
        <v>74</v>
      </c>
      <c r="D11" t="s">
        <v>74</v>
      </c>
      <c r="E11" t="s">
        <v>74</v>
      </c>
      <c r="F11" t="s">
        <v>302</v>
      </c>
      <c r="G11" t="s">
        <v>74</v>
      </c>
      <c r="H11" t="s">
        <v>74</v>
      </c>
      <c r="I11" t="s">
        <v>303</v>
      </c>
      <c r="J11" t="s">
        <v>304</v>
      </c>
      <c r="K11" t="s">
        <v>74</v>
      </c>
      <c r="L11" t="s">
        <v>74</v>
      </c>
      <c r="M11" t="s">
        <v>78</v>
      </c>
      <c r="N11" t="s">
        <v>79</v>
      </c>
      <c r="O11" t="s">
        <v>74</v>
      </c>
      <c r="P11" t="s">
        <v>74</v>
      </c>
      <c r="Q11" t="s">
        <v>74</v>
      </c>
      <c r="R11" t="s">
        <v>74</v>
      </c>
      <c r="S11" t="s">
        <v>74</v>
      </c>
      <c r="T11" t="s">
        <v>305</v>
      </c>
      <c r="U11" t="s">
        <v>306</v>
      </c>
      <c r="V11" t="s">
        <v>307</v>
      </c>
      <c r="W11" t="s">
        <v>308</v>
      </c>
      <c r="X11" t="s">
        <v>309</v>
      </c>
      <c r="Y11" t="s">
        <v>310</v>
      </c>
      <c r="Z11" t="s">
        <v>311</v>
      </c>
      <c r="AA11" t="s">
        <v>312</v>
      </c>
      <c r="AB11" t="s">
        <v>313</v>
      </c>
      <c r="AC11" t="s">
        <v>314</v>
      </c>
      <c r="AD11" t="s">
        <v>315</v>
      </c>
      <c r="AE11" t="s">
        <v>316</v>
      </c>
      <c r="AF11" t="s">
        <v>74</v>
      </c>
      <c r="AG11">
        <v>50</v>
      </c>
      <c r="AH11">
        <v>8</v>
      </c>
      <c r="AI11">
        <v>8</v>
      </c>
      <c r="AJ11">
        <v>0</v>
      </c>
      <c r="AK11">
        <v>14</v>
      </c>
      <c r="AL11" t="s">
        <v>317</v>
      </c>
      <c r="AM11" t="s">
        <v>318</v>
      </c>
      <c r="AN11" t="s">
        <v>319</v>
      </c>
      <c r="AO11" t="s">
        <v>320</v>
      </c>
      <c r="AP11" t="s">
        <v>321</v>
      </c>
      <c r="AQ11" t="s">
        <v>74</v>
      </c>
      <c r="AR11" t="s">
        <v>322</v>
      </c>
      <c r="AS11" t="s">
        <v>323</v>
      </c>
      <c r="AT11" t="s">
        <v>128</v>
      </c>
      <c r="AU11">
        <v>2017</v>
      </c>
      <c r="AV11">
        <v>77</v>
      </c>
      <c r="AW11" t="s">
        <v>74</v>
      </c>
      <c r="AX11" t="s">
        <v>74</v>
      </c>
      <c r="AY11" t="s">
        <v>74</v>
      </c>
      <c r="AZ11" t="s">
        <v>74</v>
      </c>
      <c r="BA11" t="s">
        <v>74</v>
      </c>
      <c r="BB11">
        <v>337</v>
      </c>
      <c r="BC11">
        <v>347</v>
      </c>
      <c r="BD11" t="s">
        <v>74</v>
      </c>
      <c r="BE11" t="s">
        <v>324</v>
      </c>
      <c r="BF11" t="str">
        <f>HYPERLINK("http://dx.doi.org/10.1016/j.ecolind.2017.02.030","http://dx.doi.org/10.1016/j.ecolind.2017.02.030")</f>
        <v>http://dx.doi.org/10.1016/j.ecolind.2017.02.030</v>
      </c>
      <c r="BG11" t="s">
        <v>74</v>
      </c>
      <c r="BH11" t="s">
        <v>74</v>
      </c>
      <c r="BI11">
        <v>11</v>
      </c>
      <c r="BJ11" t="s">
        <v>325</v>
      </c>
      <c r="BK11" t="s">
        <v>103</v>
      </c>
      <c r="BL11" t="s">
        <v>326</v>
      </c>
      <c r="BM11" t="s">
        <v>327</v>
      </c>
      <c r="BN11" t="s">
        <v>74</v>
      </c>
      <c r="BO11" t="s">
        <v>74</v>
      </c>
      <c r="BP11" t="s">
        <v>74</v>
      </c>
      <c r="BQ11" t="s">
        <v>74</v>
      </c>
      <c r="BR11" t="s">
        <v>106</v>
      </c>
      <c r="BS11" t="s">
        <v>328</v>
      </c>
      <c r="BT11" t="str">
        <f>HYPERLINK("https%3A%2F%2Fwww.webofscience.com%2Fwos%2Fwoscc%2Ffull-record%2FWOS:000406435800035","View Full Record in Web of Science")</f>
        <v>View Full Record in Web of Science</v>
      </c>
    </row>
    <row r="12" spans="1:72" x14ac:dyDescent="0.15">
      <c r="A12" t="s">
        <v>72</v>
      </c>
      <c r="B12" t="s">
        <v>329</v>
      </c>
      <c r="C12" t="s">
        <v>74</v>
      </c>
      <c r="D12" t="s">
        <v>74</v>
      </c>
      <c r="E12" t="s">
        <v>74</v>
      </c>
      <c r="F12" t="s">
        <v>330</v>
      </c>
      <c r="G12" t="s">
        <v>74</v>
      </c>
      <c r="H12" t="s">
        <v>74</v>
      </c>
      <c r="I12" t="s">
        <v>331</v>
      </c>
      <c r="J12" t="s">
        <v>332</v>
      </c>
      <c r="K12" t="s">
        <v>74</v>
      </c>
      <c r="L12" t="s">
        <v>74</v>
      </c>
      <c r="M12" t="s">
        <v>78</v>
      </c>
      <c r="N12" t="s">
        <v>333</v>
      </c>
      <c r="O12" t="s">
        <v>334</v>
      </c>
      <c r="P12">
        <v>2016</v>
      </c>
      <c r="Q12" t="s">
        <v>335</v>
      </c>
      <c r="R12" t="s">
        <v>74</v>
      </c>
      <c r="S12" t="s">
        <v>74</v>
      </c>
      <c r="T12" t="s">
        <v>336</v>
      </c>
      <c r="U12" t="s">
        <v>337</v>
      </c>
      <c r="V12" t="s">
        <v>338</v>
      </c>
      <c r="W12" t="s">
        <v>339</v>
      </c>
      <c r="X12" t="s">
        <v>340</v>
      </c>
      <c r="Y12" t="s">
        <v>341</v>
      </c>
      <c r="Z12" t="s">
        <v>342</v>
      </c>
      <c r="AA12" t="s">
        <v>343</v>
      </c>
      <c r="AB12" t="s">
        <v>344</v>
      </c>
      <c r="AC12" t="s">
        <v>345</v>
      </c>
      <c r="AD12" t="s">
        <v>346</v>
      </c>
      <c r="AE12" t="s">
        <v>347</v>
      </c>
      <c r="AF12" t="s">
        <v>74</v>
      </c>
      <c r="AG12">
        <v>37</v>
      </c>
      <c r="AH12">
        <v>6</v>
      </c>
      <c r="AI12">
        <v>6</v>
      </c>
      <c r="AJ12">
        <v>0</v>
      </c>
      <c r="AK12">
        <v>11</v>
      </c>
      <c r="AL12" t="s">
        <v>317</v>
      </c>
      <c r="AM12" t="s">
        <v>318</v>
      </c>
      <c r="AN12" t="s">
        <v>319</v>
      </c>
      <c r="AO12" t="s">
        <v>348</v>
      </c>
      <c r="AP12" t="s">
        <v>349</v>
      </c>
      <c r="AQ12" t="s">
        <v>74</v>
      </c>
      <c r="AR12" t="s">
        <v>350</v>
      </c>
      <c r="AS12" t="s">
        <v>351</v>
      </c>
      <c r="AT12" t="s">
        <v>128</v>
      </c>
      <c r="AU12">
        <v>2017</v>
      </c>
      <c r="AV12">
        <v>20</v>
      </c>
      <c r="AW12" t="s">
        <v>74</v>
      </c>
      <c r="AX12" t="s">
        <v>74</v>
      </c>
      <c r="AY12" t="s">
        <v>74</v>
      </c>
      <c r="AZ12" t="s">
        <v>74</v>
      </c>
      <c r="BA12" t="s">
        <v>74</v>
      </c>
      <c r="BB12">
        <v>433</v>
      </c>
      <c r="BC12">
        <v>442</v>
      </c>
      <c r="BD12" t="s">
        <v>74</v>
      </c>
      <c r="BE12" t="s">
        <v>352</v>
      </c>
      <c r="BF12" t="str">
        <f>HYPERLINK("http://dx.doi.org/10.1016/j.phytol.2016.12.026","http://dx.doi.org/10.1016/j.phytol.2016.12.026")</f>
        <v>http://dx.doi.org/10.1016/j.phytol.2016.12.026</v>
      </c>
      <c r="BG12" t="s">
        <v>74</v>
      </c>
      <c r="BH12" t="s">
        <v>74</v>
      </c>
      <c r="BI12">
        <v>10</v>
      </c>
      <c r="BJ12" t="s">
        <v>353</v>
      </c>
      <c r="BK12" t="s">
        <v>354</v>
      </c>
      <c r="BL12" t="s">
        <v>355</v>
      </c>
      <c r="BM12" t="s">
        <v>356</v>
      </c>
      <c r="BN12" t="s">
        <v>74</v>
      </c>
      <c r="BO12" t="s">
        <v>74</v>
      </c>
      <c r="BP12" t="s">
        <v>74</v>
      </c>
      <c r="BQ12" t="s">
        <v>74</v>
      </c>
      <c r="BR12" t="s">
        <v>106</v>
      </c>
      <c r="BS12" t="s">
        <v>357</v>
      </c>
      <c r="BT12" t="str">
        <f>HYPERLINK("https%3A%2F%2Fwww.webofscience.com%2Fwos%2Fwoscc%2Ffull-record%2FWOS:000405467600079","View Full Record in Web of Science")</f>
        <v>View Full Record in Web of Science</v>
      </c>
    </row>
    <row r="13" spans="1:72" x14ac:dyDescent="0.15">
      <c r="A13" t="s">
        <v>72</v>
      </c>
      <c r="B13" t="s">
        <v>358</v>
      </c>
      <c r="C13" t="s">
        <v>74</v>
      </c>
      <c r="D13" t="s">
        <v>74</v>
      </c>
      <c r="E13" t="s">
        <v>74</v>
      </c>
      <c r="F13" t="s">
        <v>359</v>
      </c>
      <c r="G13" t="s">
        <v>74</v>
      </c>
      <c r="H13" t="s">
        <v>74</v>
      </c>
      <c r="I13" t="s">
        <v>360</v>
      </c>
      <c r="J13" t="s">
        <v>361</v>
      </c>
      <c r="K13" t="s">
        <v>74</v>
      </c>
      <c r="L13" t="s">
        <v>74</v>
      </c>
      <c r="M13" t="s">
        <v>78</v>
      </c>
      <c r="N13" t="s">
        <v>79</v>
      </c>
      <c r="O13" t="s">
        <v>74</v>
      </c>
      <c r="P13" t="s">
        <v>74</v>
      </c>
      <c r="Q13" t="s">
        <v>74</v>
      </c>
      <c r="R13" t="s">
        <v>74</v>
      </c>
      <c r="S13" t="s">
        <v>74</v>
      </c>
      <c r="T13" t="s">
        <v>362</v>
      </c>
      <c r="U13" t="s">
        <v>363</v>
      </c>
      <c r="V13" t="s">
        <v>364</v>
      </c>
      <c r="W13" t="s">
        <v>365</v>
      </c>
      <c r="X13" t="s">
        <v>366</v>
      </c>
      <c r="Y13" t="s">
        <v>367</v>
      </c>
      <c r="Z13" t="s">
        <v>368</v>
      </c>
      <c r="AA13" t="s">
        <v>369</v>
      </c>
      <c r="AB13" t="s">
        <v>370</v>
      </c>
      <c r="AC13" t="s">
        <v>371</v>
      </c>
      <c r="AD13" t="s">
        <v>372</v>
      </c>
      <c r="AE13" t="s">
        <v>373</v>
      </c>
      <c r="AF13" t="s">
        <v>74</v>
      </c>
      <c r="AG13">
        <v>41</v>
      </c>
      <c r="AH13">
        <v>46</v>
      </c>
      <c r="AI13">
        <v>55</v>
      </c>
      <c r="AJ13">
        <v>4</v>
      </c>
      <c r="AK13">
        <v>46</v>
      </c>
      <c r="AL13" t="s">
        <v>374</v>
      </c>
      <c r="AM13" t="s">
        <v>93</v>
      </c>
      <c r="AN13" t="s">
        <v>375</v>
      </c>
      <c r="AO13" t="s">
        <v>376</v>
      </c>
      <c r="AP13" t="s">
        <v>377</v>
      </c>
      <c r="AQ13" t="s">
        <v>74</v>
      </c>
      <c r="AR13" t="s">
        <v>378</v>
      </c>
      <c r="AS13" t="s">
        <v>379</v>
      </c>
      <c r="AT13" t="s">
        <v>128</v>
      </c>
      <c r="AU13">
        <v>2017</v>
      </c>
      <c r="AV13">
        <v>210</v>
      </c>
      <c r="AW13" t="s">
        <v>74</v>
      </c>
      <c r="AX13" t="s">
        <v>380</v>
      </c>
      <c r="AY13" t="s">
        <v>74</v>
      </c>
      <c r="AZ13" t="s">
        <v>74</v>
      </c>
      <c r="BA13" t="s">
        <v>74</v>
      </c>
      <c r="BB13">
        <v>184</v>
      </c>
      <c r="BC13">
        <v>191</v>
      </c>
      <c r="BD13" t="s">
        <v>74</v>
      </c>
      <c r="BE13" t="s">
        <v>381</v>
      </c>
      <c r="BF13" t="str">
        <f>HYPERLINK("http://dx.doi.org/10.1016/j.biocon.2017.04.014","http://dx.doi.org/10.1016/j.biocon.2017.04.014")</f>
        <v>http://dx.doi.org/10.1016/j.biocon.2017.04.014</v>
      </c>
      <c r="BG13" t="s">
        <v>74</v>
      </c>
      <c r="BH13" t="s">
        <v>74</v>
      </c>
      <c r="BI13">
        <v>8</v>
      </c>
      <c r="BJ13" t="s">
        <v>382</v>
      </c>
      <c r="BK13" t="s">
        <v>103</v>
      </c>
      <c r="BL13" t="s">
        <v>326</v>
      </c>
      <c r="BM13" t="s">
        <v>383</v>
      </c>
      <c r="BN13" t="s">
        <v>74</v>
      </c>
      <c r="BO13" t="s">
        <v>384</v>
      </c>
      <c r="BP13" t="s">
        <v>74</v>
      </c>
      <c r="BQ13" t="s">
        <v>74</v>
      </c>
      <c r="BR13" t="s">
        <v>106</v>
      </c>
      <c r="BS13" t="s">
        <v>385</v>
      </c>
      <c r="BT13" t="str">
        <f>HYPERLINK("https%3A%2F%2Fwww.webofscience.com%2Fwos%2Fwoscc%2Ffull-record%2FWOS:000405881600021","View Full Record in Web of Science")</f>
        <v>View Full Record in Web of Science</v>
      </c>
    </row>
    <row r="14" spans="1:72" x14ac:dyDescent="0.15">
      <c r="A14" t="s">
        <v>72</v>
      </c>
      <c r="B14" t="s">
        <v>386</v>
      </c>
      <c r="C14" t="s">
        <v>74</v>
      </c>
      <c r="D14" t="s">
        <v>74</v>
      </c>
      <c r="E14" t="s">
        <v>74</v>
      </c>
      <c r="F14" t="s">
        <v>387</v>
      </c>
      <c r="G14" t="s">
        <v>74</v>
      </c>
      <c r="H14" t="s">
        <v>74</v>
      </c>
      <c r="I14" t="s">
        <v>388</v>
      </c>
      <c r="J14" t="s">
        <v>389</v>
      </c>
      <c r="K14" t="s">
        <v>74</v>
      </c>
      <c r="L14" t="s">
        <v>74</v>
      </c>
      <c r="M14" t="s">
        <v>78</v>
      </c>
      <c r="N14" t="s">
        <v>79</v>
      </c>
      <c r="O14" t="s">
        <v>74</v>
      </c>
      <c r="P14" t="s">
        <v>74</v>
      </c>
      <c r="Q14" t="s">
        <v>74</v>
      </c>
      <c r="R14" t="s">
        <v>74</v>
      </c>
      <c r="S14" t="s">
        <v>74</v>
      </c>
      <c r="T14" t="s">
        <v>390</v>
      </c>
      <c r="U14" t="s">
        <v>391</v>
      </c>
      <c r="V14" t="s">
        <v>392</v>
      </c>
      <c r="W14" t="s">
        <v>393</v>
      </c>
      <c r="X14" t="s">
        <v>394</v>
      </c>
      <c r="Y14" t="s">
        <v>395</v>
      </c>
      <c r="Z14" t="s">
        <v>396</v>
      </c>
      <c r="AA14" t="s">
        <v>397</v>
      </c>
      <c r="AB14" t="s">
        <v>398</v>
      </c>
      <c r="AC14" t="s">
        <v>399</v>
      </c>
      <c r="AD14" t="s">
        <v>400</v>
      </c>
      <c r="AE14" t="s">
        <v>401</v>
      </c>
      <c r="AF14" t="s">
        <v>74</v>
      </c>
      <c r="AG14">
        <v>26</v>
      </c>
      <c r="AH14">
        <v>3</v>
      </c>
      <c r="AI14">
        <v>3</v>
      </c>
      <c r="AJ14">
        <v>0</v>
      </c>
      <c r="AK14">
        <v>7</v>
      </c>
      <c r="AL14" t="s">
        <v>402</v>
      </c>
      <c r="AM14" t="s">
        <v>403</v>
      </c>
      <c r="AN14" t="s">
        <v>404</v>
      </c>
      <c r="AO14" t="s">
        <v>405</v>
      </c>
      <c r="AP14" t="s">
        <v>406</v>
      </c>
      <c r="AQ14" t="s">
        <v>74</v>
      </c>
      <c r="AR14" t="s">
        <v>407</v>
      </c>
      <c r="AS14" t="s">
        <v>408</v>
      </c>
      <c r="AT14" t="s">
        <v>128</v>
      </c>
      <c r="AU14">
        <v>2017</v>
      </c>
      <c r="AV14">
        <v>67</v>
      </c>
      <c r="AW14">
        <v>6</v>
      </c>
      <c r="AX14" t="s">
        <v>74</v>
      </c>
      <c r="AY14" t="s">
        <v>74</v>
      </c>
      <c r="AZ14" t="s">
        <v>74</v>
      </c>
      <c r="BA14" t="s">
        <v>74</v>
      </c>
      <c r="BB14">
        <v>1650</v>
      </c>
      <c r="BC14">
        <v>1655</v>
      </c>
      <c r="BD14" t="s">
        <v>74</v>
      </c>
      <c r="BE14" t="s">
        <v>409</v>
      </c>
      <c r="BF14" t="str">
        <f>HYPERLINK("http://dx.doi.org/10.1099/ijsem.0.001828","http://dx.doi.org/10.1099/ijsem.0.001828")</f>
        <v>http://dx.doi.org/10.1099/ijsem.0.001828</v>
      </c>
      <c r="BG14" t="s">
        <v>74</v>
      </c>
      <c r="BH14" t="s">
        <v>74</v>
      </c>
      <c r="BI14">
        <v>6</v>
      </c>
      <c r="BJ14" t="s">
        <v>410</v>
      </c>
      <c r="BK14" t="s">
        <v>103</v>
      </c>
      <c r="BL14" t="s">
        <v>410</v>
      </c>
      <c r="BM14" t="s">
        <v>411</v>
      </c>
      <c r="BN14">
        <v>28141485</v>
      </c>
      <c r="BO14" t="s">
        <v>412</v>
      </c>
      <c r="BP14" t="s">
        <v>74</v>
      </c>
      <c r="BQ14" t="s">
        <v>74</v>
      </c>
      <c r="BR14" t="s">
        <v>106</v>
      </c>
      <c r="BS14" t="s">
        <v>413</v>
      </c>
      <c r="BT14" t="str">
        <f>HYPERLINK("https%3A%2F%2Fwww.webofscience.com%2Fwos%2Fwoscc%2Ffull-record%2FWOS:000405503800005","View Full Record in Web of Science")</f>
        <v>View Full Record in Web of Science</v>
      </c>
    </row>
    <row r="15" spans="1:72" x14ac:dyDescent="0.15">
      <c r="A15" t="s">
        <v>72</v>
      </c>
      <c r="B15" t="s">
        <v>414</v>
      </c>
      <c r="C15" t="s">
        <v>74</v>
      </c>
      <c r="D15" t="s">
        <v>74</v>
      </c>
      <c r="E15" t="s">
        <v>74</v>
      </c>
      <c r="F15" t="s">
        <v>415</v>
      </c>
      <c r="G15" t="s">
        <v>74</v>
      </c>
      <c r="H15" t="s">
        <v>74</v>
      </c>
      <c r="I15" t="s">
        <v>416</v>
      </c>
      <c r="J15" t="s">
        <v>417</v>
      </c>
      <c r="K15" t="s">
        <v>74</v>
      </c>
      <c r="L15" t="s">
        <v>74</v>
      </c>
      <c r="M15" t="s">
        <v>78</v>
      </c>
      <c r="N15" t="s">
        <v>79</v>
      </c>
      <c r="O15" t="s">
        <v>74</v>
      </c>
      <c r="P15" t="s">
        <v>74</v>
      </c>
      <c r="Q15" t="s">
        <v>74</v>
      </c>
      <c r="R15" t="s">
        <v>74</v>
      </c>
      <c r="S15" t="s">
        <v>74</v>
      </c>
      <c r="T15" t="s">
        <v>74</v>
      </c>
      <c r="U15" t="s">
        <v>418</v>
      </c>
      <c r="V15" t="s">
        <v>419</v>
      </c>
      <c r="W15" t="s">
        <v>420</v>
      </c>
      <c r="X15" t="s">
        <v>421</v>
      </c>
      <c r="Y15" t="s">
        <v>422</v>
      </c>
      <c r="Z15" t="s">
        <v>423</v>
      </c>
      <c r="AA15" t="s">
        <v>424</v>
      </c>
      <c r="AB15" t="s">
        <v>425</v>
      </c>
      <c r="AC15" t="s">
        <v>426</v>
      </c>
      <c r="AD15" t="s">
        <v>427</v>
      </c>
      <c r="AE15" t="s">
        <v>428</v>
      </c>
      <c r="AF15" t="s">
        <v>74</v>
      </c>
      <c r="AG15">
        <v>6</v>
      </c>
      <c r="AH15">
        <v>2</v>
      </c>
      <c r="AI15">
        <v>2</v>
      </c>
      <c r="AJ15">
        <v>0</v>
      </c>
      <c r="AK15">
        <v>3</v>
      </c>
      <c r="AL15" t="s">
        <v>429</v>
      </c>
      <c r="AM15" t="s">
        <v>430</v>
      </c>
      <c r="AN15" t="s">
        <v>431</v>
      </c>
      <c r="AO15" t="s">
        <v>432</v>
      </c>
      <c r="AP15" t="s">
        <v>433</v>
      </c>
      <c r="AQ15" t="s">
        <v>74</v>
      </c>
      <c r="AR15" t="s">
        <v>434</v>
      </c>
      <c r="AS15" t="s">
        <v>435</v>
      </c>
      <c r="AT15" t="s">
        <v>128</v>
      </c>
      <c r="AU15">
        <v>2017</v>
      </c>
      <c r="AV15">
        <v>474</v>
      </c>
      <c r="AW15">
        <v>2</v>
      </c>
      <c r="AX15" t="s">
        <v>74</v>
      </c>
      <c r="AY15" t="s">
        <v>74</v>
      </c>
      <c r="AZ15" t="s">
        <v>74</v>
      </c>
      <c r="BA15" t="s">
        <v>74</v>
      </c>
      <c r="BB15">
        <v>653</v>
      </c>
      <c r="BC15">
        <v>656</v>
      </c>
      <c r="BD15" t="s">
        <v>74</v>
      </c>
      <c r="BE15" t="s">
        <v>436</v>
      </c>
      <c r="BF15" t="str">
        <f>HYPERLINK("http://dx.doi.org/10.1134/S1028334X17060058","http://dx.doi.org/10.1134/S1028334X17060058")</f>
        <v>http://dx.doi.org/10.1134/S1028334X17060058</v>
      </c>
      <c r="BG15" t="s">
        <v>74</v>
      </c>
      <c r="BH15" t="s">
        <v>74</v>
      </c>
      <c r="BI15">
        <v>4</v>
      </c>
      <c r="BJ15" t="s">
        <v>437</v>
      </c>
      <c r="BK15" t="s">
        <v>103</v>
      </c>
      <c r="BL15" t="s">
        <v>438</v>
      </c>
      <c r="BM15" t="s">
        <v>439</v>
      </c>
      <c r="BN15" t="s">
        <v>74</v>
      </c>
      <c r="BO15" t="s">
        <v>74</v>
      </c>
      <c r="BP15" t="s">
        <v>74</v>
      </c>
      <c r="BQ15" t="s">
        <v>74</v>
      </c>
      <c r="BR15" t="s">
        <v>106</v>
      </c>
      <c r="BS15" t="s">
        <v>440</v>
      </c>
      <c r="BT15" t="str">
        <f>HYPERLINK("https%3A%2F%2Fwww.webofscience.com%2Fwos%2Fwoscc%2Ffull-record%2FWOS:000405705400010","View Full Record in Web of Science")</f>
        <v>View Full Record in Web of Science</v>
      </c>
    </row>
    <row r="16" spans="1:72" x14ac:dyDescent="0.15">
      <c r="A16" t="s">
        <v>72</v>
      </c>
      <c r="B16" t="s">
        <v>441</v>
      </c>
      <c r="C16" t="s">
        <v>74</v>
      </c>
      <c r="D16" t="s">
        <v>74</v>
      </c>
      <c r="E16" t="s">
        <v>74</v>
      </c>
      <c r="F16" t="s">
        <v>442</v>
      </c>
      <c r="G16" t="s">
        <v>74</v>
      </c>
      <c r="H16" t="s">
        <v>74</v>
      </c>
      <c r="I16" t="s">
        <v>443</v>
      </c>
      <c r="J16" t="s">
        <v>444</v>
      </c>
      <c r="K16" t="s">
        <v>74</v>
      </c>
      <c r="L16" t="s">
        <v>74</v>
      </c>
      <c r="M16" t="s">
        <v>78</v>
      </c>
      <c r="N16" t="s">
        <v>79</v>
      </c>
      <c r="O16" t="s">
        <v>74</v>
      </c>
      <c r="P16" t="s">
        <v>74</v>
      </c>
      <c r="Q16" t="s">
        <v>74</v>
      </c>
      <c r="R16" t="s">
        <v>74</v>
      </c>
      <c r="S16" t="s">
        <v>74</v>
      </c>
      <c r="T16" t="s">
        <v>445</v>
      </c>
      <c r="U16" t="s">
        <v>446</v>
      </c>
      <c r="V16" t="s">
        <v>447</v>
      </c>
      <c r="W16" t="s">
        <v>448</v>
      </c>
      <c r="X16" t="s">
        <v>449</v>
      </c>
      <c r="Y16" t="s">
        <v>450</v>
      </c>
      <c r="Z16" t="s">
        <v>451</v>
      </c>
      <c r="AA16" t="s">
        <v>74</v>
      </c>
      <c r="AB16" t="s">
        <v>74</v>
      </c>
      <c r="AC16" t="s">
        <v>74</v>
      </c>
      <c r="AD16" t="s">
        <v>74</v>
      </c>
      <c r="AE16" t="s">
        <v>74</v>
      </c>
      <c r="AF16" t="s">
        <v>74</v>
      </c>
      <c r="AG16">
        <v>107</v>
      </c>
      <c r="AH16">
        <v>28</v>
      </c>
      <c r="AI16">
        <v>32</v>
      </c>
      <c r="AJ16">
        <v>3</v>
      </c>
      <c r="AK16">
        <v>40</v>
      </c>
      <c r="AL16" t="s">
        <v>222</v>
      </c>
      <c r="AM16" t="s">
        <v>223</v>
      </c>
      <c r="AN16" t="s">
        <v>224</v>
      </c>
      <c r="AO16" t="s">
        <v>452</v>
      </c>
      <c r="AP16" t="s">
        <v>74</v>
      </c>
      <c r="AQ16" t="s">
        <v>74</v>
      </c>
      <c r="AR16" t="s">
        <v>453</v>
      </c>
      <c r="AS16" t="s">
        <v>454</v>
      </c>
      <c r="AT16" t="s">
        <v>128</v>
      </c>
      <c r="AU16">
        <v>2017</v>
      </c>
      <c r="AV16">
        <v>18</v>
      </c>
      <c r="AW16">
        <v>6</v>
      </c>
      <c r="AX16" t="s">
        <v>74</v>
      </c>
      <c r="AY16" t="s">
        <v>74</v>
      </c>
      <c r="AZ16" t="s">
        <v>74</v>
      </c>
      <c r="BA16" t="s">
        <v>74</v>
      </c>
      <c r="BB16">
        <v>2177</v>
      </c>
      <c r="BC16">
        <v>2199</v>
      </c>
      <c r="BD16" t="s">
        <v>74</v>
      </c>
      <c r="BE16" t="s">
        <v>455</v>
      </c>
      <c r="BF16" t="str">
        <f>HYPERLINK("http://dx.doi.org/10.1002/2017GC006826","http://dx.doi.org/10.1002/2017GC006826")</f>
        <v>http://dx.doi.org/10.1002/2017GC006826</v>
      </c>
      <c r="BG16" t="s">
        <v>74</v>
      </c>
      <c r="BH16" t="s">
        <v>74</v>
      </c>
      <c r="BI16">
        <v>23</v>
      </c>
      <c r="BJ16" t="s">
        <v>176</v>
      </c>
      <c r="BK16" t="s">
        <v>103</v>
      </c>
      <c r="BL16" t="s">
        <v>176</v>
      </c>
      <c r="BM16" t="s">
        <v>456</v>
      </c>
      <c r="BN16" t="s">
        <v>74</v>
      </c>
      <c r="BO16" t="s">
        <v>74</v>
      </c>
      <c r="BP16" t="s">
        <v>74</v>
      </c>
      <c r="BQ16" t="s">
        <v>74</v>
      </c>
      <c r="BR16" t="s">
        <v>106</v>
      </c>
      <c r="BS16" t="s">
        <v>457</v>
      </c>
      <c r="BT16" t="str">
        <f>HYPERLINK("https%3A%2F%2Fwww.webofscience.com%2Fwos%2Fwoscc%2Ffull-record%2FWOS:000405585000010","View Full Record in Web of Science")</f>
        <v>View Full Record in Web of Science</v>
      </c>
    </row>
    <row r="17" spans="1:72" x14ac:dyDescent="0.15">
      <c r="A17" t="s">
        <v>72</v>
      </c>
      <c r="B17" t="s">
        <v>458</v>
      </c>
      <c r="C17" t="s">
        <v>74</v>
      </c>
      <c r="D17" t="s">
        <v>74</v>
      </c>
      <c r="E17" t="s">
        <v>74</v>
      </c>
      <c r="F17" t="s">
        <v>459</v>
      </c>
      <c r="G17" t="s">
        <v>74</v>
      </c>
      <c r="H17" t="s">
        <v>74</v>
      </c>
      <c r="I17" t="s">
        <v>460</v>
      </c>
      <c r="J17" t="s">
        <v>444</v>
      </c>
      <c r="K17" t="s">
        <v>74</v>
      </c>
      <c r="L17" t="s">
        <v>74</v>
      </c>
      <c r="M17" t="s">
        <v>78</v>
      </c>
      <c r="N17" t="s">
        <v>79</v>
      </c>
      <c r="O17" t="s">
        <v>74</v>
      </c>
      <c r="P17" t="s">
        <v>74</v>
      </c>
      <c r="Q17" t="s">
        <v>74</v>
      </c>
      <c r="R17" t="s">
        <v>74</v>
      </c>
      <c r="S17" t="s">
        <v>74</v>
      </c>
      <c r="T17" t="s">
        <v>74</v>
      </c>
      <c r="U17" t="s">
        <v>461</v>
      </c>
      <c r="V17" t="s">
        <v>462</v>
      </c>
      <c r="W17" t="s">
        <v>463</v>
      </c>
      <c r="X17" t="s">
        <v>464</v>
      </c>
      <c r="Y17" t="s">
        <v>465</v>
      </c>
      <c r="Z17" t="s">
        <v>466</v>
      </c>
      <c r="AA17" t="s">
        <v>467</v>
      </c>
      <c r="AB17" t="s">
        <v>468</v>
      </c>
      <c r="AC17" t="s">
        <v>469</v>
      </c>
      <c r="AD17" t="s">
        <v>470</v>
      </c>
      <c r="AE17" t="s">
        <v>471</v>
      </c>
      <c r="AF17" t="s">
        <v>74</v>
      </c>
      <c r="AG17">
        <v>90</v>
      </c>
      <c r="AH17">
        <v>12</v>
      </c>
      <c r="AI17">
        <v>12</v>
      </c>
      <c r="AJ17">
        <v>0</v>
      </c>
      <c r="AK17">
        <v>15</v>
      </c>
      <c r="AL17" t="s">
        <v>222</v>
      </c>
      <c r="AM17" t="s">
        <v>223</v>
      </c>
      <c r="AN17" t="s">
        <v>224</v>
      </c>
      <c r="AO17" t="s">
        <v>74</v>
      </c>
      <c r="AP17" t="s">
        <v>452</v>
      </c>
      <c r="AQ17" t="s">
        <v>74</v>
      </c>
      <c r="AR17" t="s">
        <v>453</v>
      </c>
      <c r="AS17" t="s">
        <v>454</v>
      </c>
      <c r="AT17" t="s">
        <v>128</v>
      </c>
      <c r="AU17">
        <v>2017</v>
      </c>
      <c r="AV17">
        <v>18</v>
      </c>
      <c r="AW17">
        <v>6</v>
      </c>
      <c r="AX17" t="s">
        <v>74</v>
      </c>
      <c r="AY17" t="s">
        <v>74</v>
      </c>
      <c r="AZ17" t="s">
        <v>74</v>
      </c>
      <c r="BA17" t="s">
        <v>74</v>
      </c>
      <c r="BB17">
        <v>2275</v>
      </c>
      <c r="BC17">
        <v>2304</v>
      </c>
      <c r="BD17" t="s">
        <v>74</v>
      </c>
      <c r="BE17" t="s">
        <v>472</v>
      </c>
      <c r="BF17" t="str">
        <f>HYPERLINK("http://dx.doi.org/10.1002/2016GC006728","http://dx.doi.org/10.1002/2016GC006728")</f>
        <v>http://dx.doi.org/10.1002/2016GC006728</v>
      </c>
      <c r="BG17" t="s">
        <v>74</v>
      </c>
      <c r="BH17" t="s">
        <v>74</v>
      </c>
      <c r="BI17">
        <v>30</v>
      </c>
      <c r="BJ17" t="s">
        <v>176</v>
      </c>
      <c r="BK17" t="s">
        <v>103</v>
      </c>
      <c r="BL17" t="s">
        <v>176</v>
      </c>
      <c r="BM17" t="s">
        <v>456</v>
      </c>
      <c r="BN17" t="s">
        <v>74</v>
      </c>
      <c r="BO17" t="s">
        <v>231</v>
      </c>
      <c r="BP17" t="s">
        <v>74</v>
      </c>
      <c r="BQ17" t="s">
        <v>74</v>
      </c>
      <c r="BR17" t="s">
        <v>106</v>
      </c>
      <c r="BS17" t="s">
        <v>473</v>
      </c>
      <c r="BT17" t="str">
        <f>HYPERLINK("https%3A%2F%2Fwww.webofscience.com%2Fwos%2Fwoscc%2Ffull-record%2FWOS:000405585000014","View Full Record in Web of Science")</f>
        <v>View Full Record in Web of Science</v>
      </c>
    </row>
    <row r="18" spans="1:72" x14ac:dyDescent="0.15">
      <c r="A18" t="s">
        <v>72</v>
      </c>
      <c r="B18" t="s">
        <v>474</v>
      </c>
      <c r="C18" t="s">
        <v>74</v>
      </c>
      <c r="D18" t="s">
        <v>74</v>
      </c>
      <c r="E18" t="s">
        <v>74</v>
      </c>
      <c r="F18" t="s">
        <v>475</v>
      </c>
      <c r="G18" t="s">
        <v>74</v>
      </c>
      <c r="H18" t="s">
        <v>74</v>
      </c>
      <c r="I18" t="s">
        <v>476</v>
      </c>
      <c r="J18" t="s">
        <v>477</v>
      </c>
      <c r="K18" t="s">
        <v>74</v>
      </c>
      <c r="L18" t="s">
        <v>74</v>
      </c>
      <c r="M18" t="s">
        <v>78</v>
      </c>
      <c r="N18" t="s">
        <v>79</v>
      </c>
      <c r="O18" t="s">
        <v>74</v>
      </c>
      <c r="P18" t="s">
        <v>74</v>
      </c>
      <c r="Q18" t="s">
        <v>74</v>
      </c>
      <c r="R18" t="s">
        <v>74</v>
      </c>
      <c r="S18" t="s">
        <v>74</v>
      </c>
      <c r="T18" t="s">
        <v>478</v>
      </c>
      <c r="U18" t="s">
        <v>479</v>
      </c>
      <c r="V18" t="s">
        <v>480</v>
      </c>
      <c r="W18" t="s">
        <v>481</v>
      </c>
      <c r="X18" t="s">
        <v>482</v>
      </c>
      <c r="Y18" t="s">
        <v>483</v>
      </c>
      <c r="Z18" t="s">
        <v>484</v>
      </c>
      <c r="AA18" t="s">
        <v>485</v>
      </c>
      <c r="AB18" t="s">
        <v>486</v>
      </c>
      <c r="AC18" t="s">
        <v>487</v>
      </c>
      <c r="AD18" t="s">
        <v>487</v>
      </c>
      <c r="AE18" t="s">
        <v>488</v>
      </c>
      <c r="AF18" t="s">
        <v>74</v>
      </c>
      <c r="AG18">
        <v>73</v>
      </c>
      <c r="AH18">
        <v>4</v>
      </c>
      <c r="AI18">
        <v>4</v>
      </c>
      <c r="AJ18">
        <v>0</v>
      </c>
      <c r="AK18">
        <v>8</v>
      </c>
      <c r="AL18" t="s">
        <v>222</v>
      </c>
      <c r="AM18" t="s">
        <v>223</v>
      </c>
      <c r="AN18" t="s">
        <v>224</v>
      </c>
      <c r="AO18" t="s">
        <v>489</v>
      </c>
      <c r="AP18" t="s">
        <v>490</v>
      </c>
      <c r="AQ18" t="s">
        <v>74</v>
      </c>
      <c r="AR18" t="s">
        <v>491</v>
      </c>
      <c r="AS18" t="s">
        <v>492</v>
      </c>
      <c r="AT18" t="s">
        <v>128</v>
      </c>
      <c r="AU18">
        <v>2017</v>
      </c>
      <c r="AV18">
        <v>122</v>
      </c>
      <c r="AW18">
        <v>6</v>
      </c>
      <c r="AX18" t="s">
        <v>74</v>
      </c>
      <c r="AY18" t="s">
        <v>74</v>
      </c>
      <c r="AZ18" t="s">
        <v>74</v>
      </c>
      <c r="BA18" t="s">
        <v>74</v>
      </c>
      <c r="BB18">
        <v>6332</v>
      </c>
      <c r="BC18">
        <v>6348</v>
      </c>
      <c r="BD18" t="s">
        <v>74</v>
      </c>
      <c r="BE18" t="s">
        <v>493</v>
      </c>
      <c r="BF18" t="str">
        <f>HYPERLINK("http://dx.doi.org/10.1002/2017JA024022","http://dx.doi.org/10.1002/2017JA024022")</f>
        <v>http://dx.doi.org/10.1002/2017JA024022</v>
      </c>
      <c r="BG18" t="s">
        <v>74</v>
      </c>
      <c r="BH18" t="s">
        <v>74</v>
      </c>
      <c r="BI18">
        <v>17</v>
      </c>
      <c r="BJ18" t="s">
        <v>494</v>
      </c>
      <c r="BK18" t="s">
        <v>103</v>
      </c>
      <c r="BL18" t="s">
        <v>494</v>
      </c>
      <c r="BM18" t="s">
        <v>495</v>
      </c>
      <c r="BN18" t="s">
        <v>74</v>
      </c>
      <c r="BO18" t="s">
        <v>74</v>
      </c>
      <c r="BP18" t="s">
        <v>74</v>
      </c>
      <c r="BQ18" t="s">
        <v>74</v>
      </c>
      <c r="BR18" t="s">
        <v>106</v>
      </c>
      <c r="BS18" t="s">
        <v>496</v>
      </c>
      <c r="BT18" t="str">
        <f>HYPERLINK("https%3A%2F%2Fwww.webofscience.com%2Fwos%2Fwoscc%2Ffull-record%2FWOS:000405534800029","View Full Record in Web of Science")</f>
        <v>View Full Record in Web of Science</v>
      </c>
    </row>
    <row r="19" spans="1:72" x14ac:dyDescent="0.15">
      <c r="A19" t="s">
        <v>72</v>
      </c>
      <c r="B19" t="s">
        <v>497</v>
      </c>
      <c r="C19" t="s">
        <v>74</v>
      </c>
      <c r="D19" t="s">
        <v>74</v>
      </c>
      <c r="E19" t="s">
        <v>74</v>
      </c>
      <c r="F19" t="s">
        <v>498</v>
      </c>
      <c r="G19" t="s">
        <v>74</v>
      </c>
      <c r="H19" t="s">
        <v>74</v>
      </c>
      <c r="I19" t="s">
        <v>499</v>
      </c>
      <c r="J19" t="s">
        <v>477</v>
      </c>
      <c r="K19" t="s">
        <v>74</v>
      </c>
      <c r="L19" t="s">
        <v>74</v>
      </c>
      <c r="M19" t="s">
        <v>78</v>
      </c>
      <c r="N19" t="s">
        <v>79</v>
      </c>
      <c r="O19" t="s">
        <v>74</v>
      </c>
      <c r="P19" t="s">
        <v>74</v>
      </c>
      <c r="Q19" t="s">
        <v>74</v>
      </c>
      <c r="R19" t="s">
        <v>74</v>
      </c>
      <c r="S19" t="s">
        <v>74</v>
      </c>
      <c r="T19" t="s">
        <v>500</v>
      </c>
      <c r="U19" t="s">
        <v>501</v>
      </c>
      <c r="V19" t="s">
        <v>502</v>
      </c>
      <c r="W19" t="s">
        <v>503</v>
      </c>
      <c r="X19" t="s">
        <v>504</v>
      </c>
      <c r="Y19" t="s">
        <v>505</v>
      </c>
      <c r="Z19" t="s">
        <v>506</v>
      </c>
      <c r="AA19" t="s">
        <v>507</v>
      </c>
      <c r="AB19" t="s">
        <v>508</v>
      </c>
      <c r="AC19" t="s">
        <v>509</v>
      </c>
      <c r="AD19" t="s">
        <v>510</v>
      </c>
      <c r="AE19" t="s">
        <v>511</v>
      </c>
      <c r="AF19" t="s">
        <v>74</v>
      </c>
      <c r="AG19">
        <v>51</v>
      </c>
      <c r="AH19">
        <v>7</v>
      </c>
      <c r="AI19">
        <v>7</v>
      </c>
      <c r="AJ19">
        <v>0</v>
      </c>
      <c r="AK19">
        <v>4</v>
      </c>
      <c r="AL19" t="s">
        <v>222</v>
      </c>
      <c r="AM19" t="s">
        <v>223</v>
      </c>
      <c r="AN19" t="s">
        <v>224</v>
      </c>
      <c r="AO19" t="s">
        <v>489</v>
      </c>
      <c r="AP19" t="s">
        <v>490</v>
      </c>
      <c r="AQ19" t="s">
        <v>74</v>
      </c>
      <c r="AR19" t="s">
        <v>491</v>
      </c>
      <c r="AS19" t="s">
        <v>492</v>
      </c>
      <c r="AT19" t="s">
        <v>128</v>
      </c>
      <c r="AU19">
        <v>2017</v>
      </c>
      <c r="AV19">
        <v>122</v>
      </c>
      <c r="AW19">
        <v>6</v>
      </c>
      <c r="AX19" t="s">
        <v>74</v>
      </c>
      <c r="AY19" t="s">
        <v>74</v>
      </c>
      <c r="AZ19" t="s">
        <v>74</v>
      </c>
      <c r="BA19" t="s">
        <v>74</v>
      </c>
      <c r="BB19">
        <v>6415</v>
      </c>
      <c r="BC19">
        <v>6429</v>
      </c>
      <c r="BD19" t="s">
        <v>74</v>
      </c>
      <c r="BE19" t="s">
        <v>512</v>
      </c>
      <c r="BF19" t="str">
        <f>HYPERLINK("http://dx.doi.org/10.1002/2017JA024214","http://dx.doi.org/10.1002/2017JA024214")</f>
        <v>http://dx.doi.org/10.1002/2017JA024214</v>
      </c>
      <c r="BG19" t="s">
        <v>74</v>
      </c>
      <c r="BH19" t="s">
        <v>74</v>
      </c>
      <c r="BI19">
        <v>15</v>
      </c>
      <c r="BJ19" t="s">
        <v>494</v>
      </c>
      <c r="BK19" t="s">
        <v>103</v>
      </c>
      <c r="BL19" t="s">
        <v>494</v>
      </c>
      <c r="BM19" t="s">
        <v>495</v>
      </c>
      <c r="BN19" t="s">
        <v>74</v>
      </c>
      <c r="BO19" t="s">
        <v>513</v>
      </c>
      <c r="BP19" t="s">
        <v>74</v>
      </c>
      <c r="BQ19" t="s">
        <v>74</v>
      </c>
      <c r="BR19" t="s">
        <v>106</v>
      </c>
      <c r="BS19" t="s">
        <v>514</v>
      </c>
      <c r="BT19" t="str">
        <f>HYPERLINK("https%3A%2F%2Fwww.webofscience.com%2Fwos%2Fwoscc%2Ffull-record%2FWOS:000405534800035","View Full Record in Web of Science")</f>
        <v>View Full Record in Web of Science</v>
      </c>
    </row>
    <row r="20" spans="1:72" x14ac:dyDescent="0.15">
      <c r="A20" t="s">
        <v>72</v>
      </c>
      <c r="B20" t="s">
        <v>515</v>
      </c>
      <c r="C20" t="s">
        <v>74</v>
      </c>
      <c r="D20" t="s">
        <v>74</v>
      </c>
      <c r="E20" t="s">
        <v>74</v>
      </c>
      <c r="F20" t="s">
        <v>516</v>
      </c>
      <c r="G20" t="s">
        <v>74</v>
      </c>
      <c r="H20" t="s">
        <v>74</v>
      </c>
      <c r="I20" t="s">
        <v>517</v>
      </c>
      <c r="J20" t="s">
        <v>477</v>
      </c>
      <c r="K20" t="s">
        <v>74</v>
      </c>
      <c r="L20" t="s">
        <v>74</v>
      </c>
      <c r="M20" t="s">
        <v>78</v>
      </c>
      <c r="N20" t="s">
        <v>518</v>
      </c>
      <c r="O20" t="s">
        <v>74</v>
      </c>
      <c r="P20" t="s">
        <v>74</v>
      </c>
      <c r="Q20" t="s">
        <v>74</v>
      </c>
      <c r="R20" t="s">
        <v>74</v>
      </c>
      <c r="S20" t="s">
        <v>74</v>
      </c>
      <c r="T20" t="s">
        <v>519</v>
      </c>
      <c r="U20" t="s">
        <v>520</v>
      </c>
      <c r="V20" t="s">
        <v>521</v>
      </c>
      <c r="W20" t="s">
        <v>522</v>
      </c>
      <c r="X20" t="s">
        <v>523</v>
      </c>
      <c r="Y20" t="s">
        <v>524</v>
      </c>
      <c r="Z20" t="s">
        <v>525</v>
      </c>
      <c r="AA20" t="s">
        <v>526</v>
      </c>
      <c r="AB20" t="s">
        <v>527</v>
      </c>
      <c r="AC20" t="s">
        <v>528</v>
      </c>
      <c r="AD20" t="s">
        <v>529</v>
      </c>
      <c r="AE20" t="s">
        <v>530</v>
      </c>
      <c r="AF20" t="s">
        <v>74</v>
      </c>
      <c r="AG20">
        <v>115</v>
      </c>
      <c r="AH20">
        <v>32</v>
      </c>
      <c r="AI20">
        <v>33</v>
      </c>
      <c r="AJ20">
        <v>0</v>
      </c>
      <c r="AK20">
        <v>28</v>
      </c>
      <c r="AL20" t="s">
        <v>222</v>
      </c>
      <c r="AM20" t="s">
        <v>223</v>
      </c>
      <c r="AN20" t="s">
        <v>224</v>
      </c>
      <c r="AO20" t="s">
        <v>489</v>
      </c>
      <c r="AP20" t="s">
        <v>490</v>
      </c>
      <c r="AQ20" t="s">
        <v>74</v>
      </c>
      <c r="AR20" t="s">
        <v>491</v>
      </c>
      <c r="AS20" t="s">
        <v>492</v>
      </c>
      <c r="AT20" t="s">
        <v>128</v>
      </c>
      <c r="AU20">
        <v>2017</v>
      </c>
      <c r="AV20">
        <v>122</v>
      </c>
      <c r="AW20">
        <v>6</v>
      </c>
      <c r="AX20" t="s">
        <v>74</v>
      </c>
      <c r="AY20" t="s">
        <v>74</v>
      </c>
      <c r="AZ20" t="s">
        <v>74</v>
      </c>
      <c r="BA20" t="s">
        <v>74</v>
      </c>
      <c r="BB20">
        <v>6812</v>
      </c>
      <c r="BC20">
        <v>6848</v>
      </c>
      <c r="BD20" t="s">
        <v>74</v>
      </c>
      <c r="BE20" t="s">
        <v>531</v>
      </c>
      <c r="BF20" t="str">
        <f>HYPERLINK("http://dx.doi.org/10.1002/2016JA023773","http://dx.doi.org/10.1002/2016JA023773")</f>
        <v>http://dx.doi.org/10.1002/2016JA023773</v>
      </c>
      <c r="BG20" t="s">
        <v>74</v>
      </c>
      <c r="BH20" t="s">
        <v>74</v>
      </c>
      <c r="BI20">
        <v>37</v>
      </c>
      <c r="BJ20" t="s">
        <v>494</v>
      </c>
      <c r="BK20" t="s">
        <v>103</v>
      </c>
      <c r="BL20" t="s">
        <v>494</v>
      </c>
      <c r="BM20" t="s">
        <v>495</v>
      </c>
      <c r="BN20" t="s">
        <v>74</v>
      </c>
      <c r="BO20" t="s">
        <v>412</v>
      </c>
      <c r="BP20" t="s">
        <v>74</v>
      </c>
      <c r="BQ20" t="s">
        <v>74</v>
      </c>
      <c r="BR20" t="s">
        <v>106</v>
      </c>
      <c r="BS20" t="s">
        <v>532</v>
      </c>
      <c r="BT20" t="str">
        <f>HYPERLINK("https%3A%2F%2Fwww.webofscience.com%2Fwos%2Fwoscc%2Ffull-record%2FWOS:000405534800062","View Full Record in Web of Science")</f>
        <v>View Full Record in Web of Science</v>
      </c>
    </row>
    <row r="21" spans="1:72" x14ac:dyDescent="0.15">
      <c r="A21" t="s">
        <v>72</v>
      </c>
      <c r="B21" t="s">
        <v>533</v>
      </c>
      <c r="C21" t="s">
        <v>74</v>
      </c>
      <c r="D21" t="s">
        <v>74</v>
      </c>
      <c r="E21" t="s">
        <v>74</v>
      </c>
      <c r="F21" t="s">
        <v>534</v>
      </c>
      <c r="G21" t="s">
        <v>74</v>
      </c>
      <c r="H21" t="s">
        <v>74</v>
      </c>
      <c r="I21" t="s">
        <v>535</v>
      </c>
      <c r="J21" t="s">
        <v>536</v>
      </c>
      <c r="K21" t="s">
        <v>74</v>
      </c>
      <c r="L21" t="s">
        <v>74</v>
      </c>
      <c r="M21" t="s">
        <v>78</v>
      </c>
      <c r="N21" t="s">
        <v>79</v>
      </c>
      <c r="O21" t="s">
        <v>74</v>
      </c>
      <c r="P21" t="s">
        <v>74</v>
      </c>
      <c r="Q21" t="s">
        <v>74</v>
      </c>
      <c r="R21" t="s">
        <v>74</v>
      </c>
      <c r="S21" t="s">
        <v>74</v>
      </c>
      <c r="T21" t="s">
        <v>537</v>
      </c>
      <c r="U21" t="s">
        <v>538</v>
      </c>
      <c r="V21" t="s">
        <v>539</v>
      </c>
      <c r="W21" t="s">
        <v>540</v>
      </c>
      <c r="X21" t="s">
        <v>541</v>
      </c>
      <c r="Y21" t="s">
        <v>542</v>
      </c>
      <c r="Z21" t="s">
        <v>543</v>
      </c>
      <c r="AA21" t="s">
        <v>74</v>
      </c>
      <c r="AB21" t="s">
        <v>544</v>
      </c>
      <c r="AC21" t="s">
        <v>545</v>
      </c>
      <c r="AD21" t="s">
        <v>546</v>
      </c>
      <c r="AE21" t="s">
        <v>547</v>
      </c>
      <c r="AF21" t="s">
        <v>74</v>
      </c>
      <c r="AG21">
        <v>41</v>
      </c>
      <c r="AH21">
        <v>4</v>
      </c>
      <c r="AI21">
        <v>4</v>
      </c>
      <c r="AJ21">
        <v>1</v>
      </c>
      <c r="AK21">
        <v>8</v>
      </c>
      <c r="AL21" t="s">
        <v>548</v>
      </c>
      <c r="AM21" t="s">
        <v>223</v>
      </c>
      <c r="AN21" t="s">
        <v>549</v>
      </c>
      <c r="AO21" t="s">
        <v>550</v>
      </c>
      <c r="AP21" t="s">
        <v>551</v>
      </c>
      <c r="AQ21" t="s">
        <v>74</v>
      </c>
      <c r="AR21" t="s">
        <v>536</v>
      </c>
      <c r="AS21" t="s">
        <v>552</v>
      </c>
      <c r="AT21" t="s">
        <v>128</v>
      </c>
      <c r="AU21">
        <v>2017</v>
      </c>
      <c r="AV21">
        <v>40</v>
      </c>
      <c r="AW21">
        <v>2</v>
      </c>
      <c r="AX21" t="s">
        <v>74</v>
      </c>
      <c r="AY21" t="s">
        <v>74</v>
      </c>
      <c r="AZ21" t="s">
        <v>74</v>
      </c>
      <c r="BA21" t="s">
        <v>74</v>
      </c>
      <c r="BB21">
        <v>162</v>
      </c>
      <c r="BC21">
        <v>167</v>
      </c>
      <c r="BD21" t="s">
        <v>74</v>
      </c>
      <c r="BE21" t="s">
        <v>553</v>
      </c>
      <c r="BF21" t="str">
        <f>HYPERLINK("http://dx.doi.org/10.1675/063.040.0208","http://dx.doi.org/10.1675/063.040.0208")</f>
        <v>http://dx.doi.org/10.1675/063.040.0208</v>
      </c>
      <c r="BG21" t="s">
        <v>74</v>
      </c>
      <c r="BH21" t="s">
        <v>74</v>
      </c>
      <c r="BI21">
        <v>6</v>
      </c>
      <c r="BJ21" t="s">
        <v>554</v>
      </c>
      <c r="BK21" t="s">
        <v>103</v>
      </c>
      <c r="BL21" t="s">
        <v>555</v>
      </c>
      <c r="BM21" t="s">
        <v>556</v>
      </c>
      <c r="BN21" t="s">
        <v>74</v>
      </c>
      <c r="BO21" t="s">
        <v>74</v>
      </c>
      <c r="BP21" t="s">
        <v>74</v>
      </c>
      <c r="BQ21" t="s">
        <v>74</v>
      </c>
      <c r="BR21" t="s">
        <v>106</v>
      </c>
      <c r="BS21" t="s">
        <v>557</v>
      </c>
      <c r="BT21" t="str">
        <f>HYPERLINK("https%3A%2F%2Fwww.webofscience.com%2Fwos%2Fwoscc%2Ffull-record%2FWOS:000403128000007","View Full Record in Web of Science")</f>
        <v>View Full Record in Web of Science</v>
      </c>
    </row>
    <row r="22" spans="1:72" x14ac:dyDescent="0.15">
      <c r="A22" t="s">
        <v>72</v>
      </c>
      <c r="B22" t="s">
        <v>558</v>
      </c>
      <c r="C22" t="s">
        <v>74</v>
      </c>
      <c r="D22" t="s">
        <v>74</v>
      </c>
      <c r="E22" t="s">
        <v>74</v>
      </c>
      <c r="F22" t="s">
        <v>559</v>
      </c>
      <c r="G22" t="s">
        <v>74</v>
      </c>
      <c r="H22" t="s">
        <v>74</v>
      </c>
      <c r="I22" t="s">
        <v>560</v>
      </c>
      <c r="J22" t="s">
        <v>561</v>
      </c>
      <c r="K22" t="s">
        <v>74</v>
      </c>
      <c r="L22" t="s">
        <v>74</v>
      </c>
      <c r="M22" t="s">
        <v>562</v>
      </c>
      <c r="N22" t="s">
        <v>79</v>
      </c>
      <c r="O22" t="s">
        <v>74</v>
      </c>
      <c r="P22" t="s">
        <v>74</v>
      </c>
      <c r="Q22" t="s">
        <v>74</v>
      </c>
      <c r="R22" t="s">
        <v>74</v>
      </c>
      <c r="S22" t="s">
        <v>74</v>
      </c>
      <c r="T22" t="s">
        <v>563</v>
      </c>
      <c r="U22" t="s">
        <v>564</v>
      </c>
      <c r="V22" t="s">
        <v>565</v>
      </c>
      <c r="W22" t="s">
        <v>566</v>
      </c>
      <c r="X22" t="s">
        <v>567</v>
      </c>
      <c r="Y22" t="s">
        <v>568</v>
      </c>
      <c r="Z22" t="s">
        <v>569</v>
      </c>
      <c r="AA22" t="s">
        <v>570</v>
      </c>
      <c r="AB22" t="s">
        <v>571</v>
      </c>
      <c r="AC22" t="s">
        <v>74</v>
      </c>
      <c r="AD22" t="s">
        <v>74</v>
      </c>
      <c r="AE22" t="s">
        <v>74</v>
      </c>
      <c r="AF22" t="s">
        <v>74</v>
      </c>
      <c r="AG22">
        <v>44</v>
      </c>
      <c r="AH22">
        <v>1</v>
      </c>
      <c r="AI22">
        <v>1</v>
      </c>
      <c r="AJ22">
        <v>0</v>
      </c>
      <c r="AK22">
        <v>9</v>
      </c>
      <c r="AL22" t="s">
        <v>572</v>
      </c>
      <c r="AM22" t="s">
        <v>573</v>
      </c>
      <c r="AN22" t="s">
        <v>574</v>
      </c>
      <c r="AO22" t="s">
        <v>575</v>
      </c>
      <c r="AP22" t="s">
        <v>74</v>
      </c>
      <c r="AQ22" t="s">
        <v>74</v>
      </c>
      <c r="AR22" t="s">
        <v>561</v>
      </c>
      <c r="AS22" t="s">
        <v>576</v>
      </c>
      <c r="AT22" t="s">
        <v>128</v>
      </c>
      <c r="AU22">
        <v>2017</v>
      </c>
      <c r="AV22">
        <v>28</v>
      </c>
      <c r="AW22">
        <v>2</v>
      </c>
      <c r="AX22" t="s">
        <v>74</v>
      </c>
      <c r="AY22" t="s">
        <v>74</v>
      </c>
      <c r="AZ22" t="s">
        <v>74</v>
      </c>
      <c r="BA22" t="s">
        <v>74</v>
      </c>
      <c r="BB22">
        <v>179</v>
      </c>
      <c r="BC22">
        <v>184</v>
      </c>
      <c r="BD22" t="s">
        <v>74</v>
      </c>
      <c r="BE22" t="s">
        <v>74</v>
      </c>
      <c r="BF22" t="s">
        <v>74</v>
      </c>
      <c r="BG22" t="s">
        <v>74</v>
      </c>
      <c r="BH22" t="s">
        <v>74</v>
      </c>
      <c r="BI22">
        <v>6</v>
      </c>
      <c r="BJ22" t="s">
        <v>437</v>
      </c>
      <c r="BK22" t="s">
        <v>103</v>
      </c>
      <c r="BL22" t="s">
        <v>438</v>
      </c>
      <c r="BM22" t="s">
        <v>577</v>
      </c>
      <c r="BN22" t="s">
        <v>74</v>
      </c>
      <c r="BO22" t="s">
        <v>74</v>
      </c>
      <c r="BP22" t="s">
        <v>74</v>
      </c>
      <c r="BQ22" t="s">
        <v>74</v>
      </c>
      <c r="BR22" t="s">
        <v>106</v>
      </c>
      <c r="BS22" t="s">
        <v>578</v>
      </c>
      <c r="BT22" t="str">
        <f>HYPERLINK("https%3A%2F%2Fwww.webofscience.com%2Fwos%2Fwoscc%2Ffull-record%2FWOS:000404769000009","View Full Record in Web of Science")</f>
        <v>View Full Record in Web of Science</v>
      </c>
    </row>
    <row r="23" spans="1:72" x14ac:dyDescent="0.15">
      <c r="A23" t="s">
        <v>72</v>
      </c>
      <c r="B23" t="s">
        <v>579</v>
      </c>
      <c r="C23" t="s">
        <v>74</v>
      </c>
      <c r="D23" t="s">
        <v>74</v>
      </c>
      <c r="E23" t="s">
        <v>74</v>
      </c>
      <c r="F23" t="s">
        <v>580</v>
      </c>
      <c r="G23" t="s">
        <v>74</v>
      </c>
      <c r="H23" t="s">
        <v>74</v>
      </c>
      <c r="I23" t="s">
        <v>581</v>
      </c>
      <c r="J23" t="s">
        <v>561</v>
      </c>
      <c r="K23" t="s">
        <v>74</v>
      </c>
      <c r="L23" t="s">
        <v>74</v>
      </c>
      <c r="M23" t="s">
        <v>78</v>
      </c>
      <c r="N23" t="s">
        <v>79</v>
      </c>
      <c r="O23" t="s">
        <v>74</v>
      </c>
      <c r="P23" t="s">
        <v>74</v>
      </c>
      <c r="Q23" t="s">
        <v>74</v>
      </c>
      <c r="R23" t="s">
        <v>74</v>
      </c>
      <c r="S23" t="s">
        <v>74</v>
      </c>
      <c r="T23" t="s">
        <v>582</v>
      </c>
      <c r="U23" t="s">
        <v>583</v>
      </c>
      <c r="V23" t="s">
        <v>584</v>
      </c>
      <c r="W23" t="s">
        <v>585</v>
      </c>
      <c r="X23" t="s">
        <v>586</v>
      </c>
      <c r="Y23" t="s">
        <v>587</v>
      </c>
      <c r="Z23" t="s">
        <v>588</v>
      </c>
      <c r="AA23" t="s">
        <v>589</v>
      </c>
      <c r="AB23" t="s">
        <v>590</v>
      </c>
      <c r="AC23" t="s">
        <v>591</v>
      </c>
      <c r="AD23" t="s">
        <v>592</v>
      </c>
      <c r="AE23" t="s">
        <v>593</v>
      </c>
      <c r="AF23" t="s">
        <v>74</v>
      </c>
      <c r="AG23">
        <v>39</v>
      </c>
      <c r="AH23">
        <v>2</v>
      </c>
      <c r="AI23">
        <v>2</v>
      </c>
      <c r="AJ23">
        <v>0</v>
      </c>
      <c r="AK23">
        <v>14</v>
      </c>
      <c r="AL23" t="s">
        <v>572</v>
      </c>
      <c r="AM23" t="s">
        <v>573</v>
      </c>
      <c r="AN23" t="s">
        <v>574</v>
      </c>
      <c r="AO23" t="s">
        <v>575</v>
      </c>
      <c r="AP23" t="s">
        <v>74</v>
      </c>
      <c r="AQ23" t="s">
        <v>74</v>
      </c>
      <c r="AR23" t="s">
        <v>561</v>
      </c>
      <c r="AS23" t="s">
        <v>576</v>
      </c>
      <c r="AT23" t="s">
        <v>128</v>
      </c>
      <c r="AU23">
        <v>2017</v>
      </c>
      <c r="AV23">
        <v>28</v>
      </c>
      <c r="AW23">
        <v>2</v>
      </c>
      <c r="AX23" t="s">
        <v>74</v>
      </c>
      <c r="AY23" t="s">
        <v>74</v>
      </c>
      <c r="AZ23" t="s">
        <v>74</v>
      </c>
      <c r="BA23" t="s">
        <v>74</v>
      </c>
      <c r="BB23">
        <v>185</v>
      </c>
      <c r="BC23">
        <v>193</v>
      </c>
      <c r="BD23" t="s">
        <v>74</v>
      </c>
      <c r="BE23" t="s">
        <v>74</v>
      </c>
      <c r="BF23" t="s">
        <v>74</v>
      </c>
      <c r="BG23" t="s">
        <v>74</v>
      </c>
      <c r="BH23" t="s">
        <v>74</v>
      </c>
      <c r="BI23">
        <v>9</v>
      </c>
      <c r="BJ23" t="s">
        <v>437</v>
      </c>
      <c r="BK23" t="s">
        <v>103</v>
      </c>
      <c r="BL23" t="s">
        <v>438</v>
      </c>
      <c r="BM23" t="s">
        <v>577</v>
      </c>
      <c r="BN23" t="s">
        <v>74</v>
      </c>
      <c r="BO23" t="s">
        <v>74</v>
      </c>
      <c r="BP23" t="s">
        <v>74</v>
      </c>
      <c r="BQ23" t="s">
        <v>74</v>
      </c>
      <c r="BR23" t="s">
        <v>106</v>
      </c>
      <c r="BS23" t="s">
        <v>594</v>
      </c>
      <c r="BT23" t="str">
        <f>HYPERLINK("https%3A%2F%2Fwww.webofscience.com%2Fwos%2Fwoscc%2Ffull-record%2FWOS:000404769000010","View Full Record in Web of Science")</f>
        <v>View Full Record in Web of Science</v>
      </c>
    </row>
    <row r="24" spans="1:72" x14ac:dyDescent="0.15">
      <c r="A24" t="s">
        <v>72</v>
      </c>
      <c r="B24" t="s">
        <v>595</v>
      </c>
      <c r="C24" t="s">
        <v>74</v>
      </c>
      <c r="D24" t="s">
        <v>74</v>
      </c>
      <c r="E24" t="s">
        <v>74</v>
      </c>
      <c r="F24" t="s">
        <v>596</v>
      </c>
      <c r="G24" t="s">
        <v>74</v>
      </c>
      <c r="H24" t="s">
        <v>74</v>
      </c>
      <c r="I24" t="s">
        <v>597</v>
      </c>
      <c r="J24" t="s">
        <v>598</v>
      </c>
      <c r="K24" t="s">
        <v>74</v>
      </c>
      <c r="L24" t="s">
        <v>74</v>
      </c>
      <c r="M24" t="s">
        <v>78</v>
      </c>
      <c r="N24" t="s">
        <v>79</v>
      </c>
      <c r="O24" t="s">
        <v>74</v>
      </c>
      <c r="P24" t="s">
        <v>74</v>
      </c>
      <c r="Q24" t="s">
        <v>74</v>
      </c>
      <c r="R24" t="s">
        <v>74</v>
      </c>
      <c r="S24" t="s">
        <v>74</v>
      </c>
      <c r="T24" t="s">
        <v>599</v>
      </c>
      <c r="U24" t="s">
        <v>600</v>
      </c>
      <c r="V24" t="s">
        <v>601</v>
      </c>
      <c r="W24" t="s">
        <v>602</v>
      </c>
      <c r="X24" t="s">
        <v>603</v>
      </c>
      <c r="Y24" t="s">
        <v>604</v>
      </c>
      <c r="Z24" t="s">
        <v>605</v>
      </c>
      <c r="AA24" t="s">
        <v>606</v>
      </c>
      <c r="AB24" t="s">
        <v>607</v>
      </c>
      <c r="AC24" t="s">
        <v>608</v>
      </c>
      <c r="AD24" t="s">
        <v>609</v>
      </c>
      <c r="AE24" t="s">
        <v>610</v>
      </c>
      <c r="AF24" t="s">
        <v>74</v>
      </c>
      <c r="AG24">
        <v>60</v>
      </c>
      <c r="AH24">
        <v>41</v>
      </c>
      <c r="AI24">
        <v>42</v>
      </c>
      <c r="AJ24">
        <v>0</v>
      </c>
      <c r="AK24">
        <v>29</v>
      </c>
      <c r="AL24" t="s">
        <v>611</v>
      </c>
      <c r="AM24" t="s">
        <v>612</v>
      </c>
      <c r="AN24" t="s">
        <v>613</v>
      </c>
      <c r="AO24" t="s">
        <v>74</v>
      </c>
      <c r="AP24" t="s">
        <v>614</v>
      </c>
      <c r="AQ24" t="s">
        <v>74</v>
      </c>
      <c r="AR24" t="s">
        <v>615</v>
      </c>
      <c r="AS24" t="s">
        <v>616</v>
      </c>
      <c r="AT24" t="s">
        <v>128</v>
      </c>
      <c r="AU24">
        <v>2017</v>
      </c>
      <c r="AV24">
        <v>9</v>
      </c>
      <c r="AW24">
        <v>6</v>
      </c>
      <c r="AX24" t="s">
        <v>74</v>
      </c>
      <c r="AY24" t="s">
        <v>74</v>
      </c>
      <c r="AZ24" t="s">
        <v>74</v>
      </c>
      <c r="BA24" t="s">
        <v>74</v>
      </c>
      <c r="BB24" t="s">
        <v>74</v>
      </c>
      <c r="BC24" t="s">
        <v>74</v>
      </c>
      <c r="BD24">
        <v>520</v>
      </c>
      <c r="BE24" t="s">
        <v>617</v>
      </c>
      <c r="BF24" t="str">
        <f>HYPERLINK("http://dx.doi.org/10.3390/rs9060520","http://dx.doi.org/10.3390/rs9060520")</f>
        <v>http://dx.doi.org/10.3390/rs9060520</v>
      </c>
      <c r="BG24" t="s">
        <v>74</v>
      </c>
      <c r="BH24" t="s">
        <v>74</v>
      </c>
      <c r="BI24">
        <v>18</v>
      </c>
      <c r="BJ24" t="s">
        <v>618</v>
      </c>
      <c r="BK24" t="s">
        <v>103</v>
      </c>
      <c r="BL24" t="s">
        <v>619</v>
      </c>
      <c r="BM24" t="s">
        <v>620</v>
      </c>
      <c r="BN24" t="s">
        <v>74</v>
      </c>
      <c r="BO24" t="s">
        <v>621</v>
      </c>
      <c r="BP24" t="s">
        <v>74</v>
      </c>
      <c r="BQ24" t="s">
        <v>74</v>
      </c>
      <c r="BR24" t="s">
        <v>106</v>
      </c>
      <c r="BS24" t="s">
        <v>622</v>
      </c>
      <c r="BT24" t="str">
        <f>HYPERLINK("https%3A%2F%2Fwww.webofscience.com%2Fwos%2Fwoscc%2Ffull-record%2FWOS:000404623900011","View Full Record in Web of Science")</f>
        <v>View Full Record in Web of Science</v>
      </c>
    </row>
    <row r="25" spans="1:72" x14ac:dyDescent="0.15">
      <c r="A25" t="s">
        <v>72</v>
      </c>
      <c r="B25" t="s">
        <v>623</v>
      </c>
      <c r="C25" t="s">
        <v>74</v>
      </c>
      <c r="D25" t="s">
        <v>74</v>
      </c>
      <c r="E25" t="s">
        <v>74</v>
      </c>
      <c r="F25" t="s">
        <v>624</v>
      </c>
      <c r="G25" t="s">
        <v>74</v>
      </c>
      <c r="H25" t="s">
        <v>74</v>
      </c>
      <c r="I25" t="s">
        <v>625</v>
      </c>
      <c r="J25" t="s">
        <v>598</v>
      </c>
      <c r="K25" t="s">
        <v>74</v>
      </c>
      <c r="L25" t="s">
        <v>74</v>
      </c>
      <c r="M25" t="s">
        <v>78</v>
      </c>
      <c r="N25" t="s">
        <v>79</v>
      </c>
      <c r="O25" t="s">
        <v>74</v>
      </c>
      <c r="P25" t="s">
        <v>74</v>
      </c>
      <c r="Q25" t="s">
        <v>74</v>
      </c>
      <c r="R25" t="s">
        <v>74</v>
      </c>
      <c r="S25" t="s">
        <v>74</v>
      </c>
      <c r="T25" t="s">
        <v>626</v>
      </c>
      <c r="U25" t="s">
        <v>627</v>
      </c>
      <c r="V25" t="s">
        <v>628</v>
      </c>
      <c r="W25" t="s">
        <v>629</v>
      </c>
      <c r="X25" t="s">
        <v>630</v>
      </c>
      <c r="Y25" t="s">
        <v>631</v>
      </c>
      <c r="Z25" t="s">
        <v>632</v>
      </c>
      <c r="AA25" t="s">
        <v>633</v>
      </c>
      <c r="AB25" t="s">
        <v>634</v>
      </c>
      <c r="AC25" t="s">
        <v>635</v>
      </c>
      <c r="AD25" t="s">
        <v>635</v>
      </c>
      <c r="AE25" t="s">
        <v>636</v>
      </c>
      <c r="AF25" t="s">
        <v>74</v>
      </c>
      <c r="AG25">
        <v>38</v>
      </c>
      <c r="AH25">
        <v>18</v>
      </c>
      <c r="AI25">
        <v>22</v>
      </c>
      <c r="AJ25">
        <v>1</v>
      </c>
      <c r="AK25">
        <v>19</v>
      </c>
      <c r="AL25" t="s">
        <v>637</v>
      </c>
      <c r="AM25" t="s">
        <v>612</v>
      </c>
      <c r="AN25" t="s">
        <v>613</v>
      </c>
      <c r="AO25" t="s">
        <v>614</v>
      </c>
      <c r="AP25" t="s">
        <v>74</v>
      </c>
      <c r="AQ25" t="s">
        <v>74</v>
      </c>
      <c r="AR25" t="s">
        <v>615</v>
      </c>
      <c r="AS25" t="s">
        <v>616</v>
      </c>
      <c r="AT25" t="s">
        <v>128</v>
      </c>
      <c r="AU25">
        <v>2017</v>
      </c>
      <c r="AV25">
        <v>9</v>
      </c>
      <c r="AW25">
        <v>6</v>
      </c>
      <c r="AX25" t="s">
        <v>74</v>
      </c>
      <c r="AY25" t="s">
        <v>74</v>
      </c>
      <c r="AZ25" t="s">
        <v>74</v>
      </c>
      <c r="BA25" t="s">
        <v>74</v>
      </c>
      <c r="BB25" t="s">
        <v>74</v>
      </c>
      <c r="BC25" t="s">
        <v>74</v>
      </c>
      <c r="BD25">
        <v>635</v>
      </c>
      <c r="BE25" t="s">
        <v>638</v>
      </c>
      <c r="BF25" t="str">
        <f>HYPERLINK("http://dx.doi.org/10.3390/rs9060635","http://dx.doi.org/10.3390/rs9060635")</f>
        <v>http://dx.doi.org/10.3390/rs9060635</v>
      </c>
      <c r="BG25" t="s">
        <v>74</v>
      </c>
      <c r="BH25" t="s">
        <v>74</v>
      </c>
      <c r="BI25">
        <v>18</v>
      </c>
      <c r="BJ25" t="s">
        <v>618</v>
      </c>
      <c r="BK25" t="s">
        <v>103</v>
      </c>
      <c r="BL25" t="s">
        <v>619</v>
      </c>
      <c r="BM25" t="s">
        <v>620</v>
      </c>
      <c r="BN25" t="s">
        <v>74</v>
      </c>
      <c r="BO25" t="s">
        <v>205</v>
      </c>
      <c r="BP25" t="s">
        <v>74</v>
      </c>
      <c r="BQ25" t="s">
        <v>74</v>
      </c>
      <c r="BR25" t="s">
        <v>106</v>
      </c>
      <c r="BS25" t="s">
        <v>639</v>
      </c>
      <c r="BT25" t="str">
        <f>HYPERLINK("https%3A%2F%2Fwww.webofscience.com%2Fwos%2Fwoscc%2Ffull-record%2FWOS:000404623900124","View Full Record in Web of Science")</f>
        <v>View Full Record in Web of Science</v>
      </c>
    </row>
    <row r="26" spans="1:72" x14ac:dyDescent="0.15">
      <c r="A26" t="s">
        <v>72</v>
      </c>
      <c r="B26" t="s">
        <v>640</v>
      </c>
      <c r="C26" t="s">
        <v>74</v>
      </c>
      <c r="D26" t="s">
        <v>74</v>
      </c>
      <c r="E26" t="s">
        <v>74</v>
      </c>
      <c r="F26" t="s">
        <v>641</v>
      </c>
      <c r="G26" t="s">
        <v>74</v>
      </c>
      <c r="H26" t="s">
        <v>74</v>
      </c>
      <c r="I26" t="s">
        <v>642</v>
      </c>
      <c r="J26" t="s">
        <v>643</v>
      </c>
      <c r="K26" t="s">
        <v>74</v>
      </c>
      <c r="L26" t="s">
        <v>74</v>
      </c>
      <c r="M26" t="s">
        <v>78</v>
      </c>
      <c r="N26" t="s">
        <v>79</v>
      </c>
      <c r="O26" t="s">
        <v>74</v>
      </c>
      <c r="P26" t="s">
        <v>74</v>
      </c>
      <c r="Q26" t="s">
        <v>74</v>
      </c>
      <c r="R26" t="s">
        <v>74</v>
      </c>
      <c r="S26" t="s">
        <v>74</v>
      </c>
      <c r="T26" t="s">
        <v>644</v>
      </c>
      <c r="U26" t="s">
        <v>645</v>
      </c>
      <c r="V26" t="s">
        <v>646</v>
      </c>
      <c r="W26" t="s">
        <v>647</v>
      </c>
      <c r="X26" t="s">
        <v>648</v>
      </c>
      <c r="Y26" t="s">
        <v>649</v>
      </c>
      <c r="Z26" t="s">
        <v>650</v>
      </c>
      <c r="AA26" t="s">
        <v>651</v>
      </c>
      <c r="AB26" t="s">
        <v>652</v>
      </c>
      <c r="AC26" t="s">
        <v>653</v>
      </c>
      <c r="AD26" t="s">
        <v>654</v>
      </c>
      <c r="AE26" t="s">
        <v>655</v>
      </c>
      <c r="AF26" t="s">
        <v>74</v>
      </c>
      <c r="AG26">
        <v>91</v>
      </c>
      <c r="AH26">
        <v>15</v>
      </c>
      <c r="AI26">
        <v>16</v>
      </c>
      <c r="AJ26">
        <v>0</v>
      </c>
      <c r="AK26">
        <v>17</v>
      </c>
      <c r="AL26" t="s">
        <v>656</v>
      </c>
      <c r="AM26" t="s">
        <v>93</v>
      </c>
      <c r="AN26" t="s">
        <v>657</v>
      </c>
      <c r="AO26" t="s">
        <v>658</v>
      </c>
      <c r="AP26" t="s">
        <v>659</v>
      </c>
      <c r="AQ26" t="s">
        <v>74</v>
      </c>
      <c r="AR26" t="s">
        <v>660</v>
      </c>
      <c r="AS26" t="s">
        <v>661</v>
      </c>
      <c r="AT26" t="s">
        <v>128</v>
      </c>
      <c r="AU26">
        <v>2017</v>
      </c>
      <c r="AV26">
        <v>124</v>
      </c>
      <c r="AW26" t="s">
        <v>74</v>
      </c>
      <c r="AX26" t="s">
        <v>74</v>
      </c>
      <c r="AY26" t="s">
        <v>74</v>
      </c>
      <c r="AZ26" t="s">
        <v>74</v>
      </c>
      <c r="BA26" t="s">
        <v>74</v>
      </c>
      <c r="BB26">
        <v>103</v>
      </c>
      <c r="BC26">
        <v>125</v>
      </c>
      <c r="BD26" t="s">
        <v>74</v>
      </c>
      <c r="BE26" t="s">
        <v>662</v>
      </c>
      <c r="BF26" t="str">
        <f>HYPERLINK("http://dx.doi.org/10.1016/j.dsr.2017.04.007","http://dx.doi.org/10.1016/j.dsr.2017.04.007")</f>
        <v>http://dx.doi.org/10.1016/j.dsr.2017.04.007</v>
      </c>
      <c r="BG26" t="s">
        <v>74</v>
      </c>
      <c r="BH26" t="s">
        <v>74</v>
      </c>
      <c r="BI26">
        <v>23</v>
      </c>
      <c r="BJ26" t="s">
        <v>127</v>
      </c>
      <c r="BK26" t="s">
        <v>103</v>
      </c>
      <c r="BL26" t="s">
        <v>127</v>
      </c>
      <c r="BM26" t="s">
        <v>663</v>
      </c>
      <c r="BN26" t="s">
        <v>74</v>
      </c>
      <c r="BO26" t="s">
        <v>664</v>
      </c>
      <c r="BP26" t="s">
        <v>74</v>
      </c>
      <c r="BQ26" t="s">
        <v>74</v>
      </c>
      <c r="BR26" t="s">
        <v>106</v>
      </c>
      <c r="BS26" t="s">
        <v>665</v>
      </c>
      <c r="BT26" t="str">
        <f>HYPERLINK("https%3A%2F%2Fwww.webofscience.com%2Fwos%2Fwoscc%2Ffull-record%2FWOS:000404700200009","View Full Record in Web of Science")</f>
        <v>View Full Record in Web of Science</v>
      </c>
    </row>
    <row r="27" spans="1:72" x14ac:dyDescent="0.15">
      <c r="A27" t="s">
        <v>72</v>
      </c>
      <c r="B27" t="s">
        <v>666</v>
      </c>
      <c r="C27" t="s">
        <v>74</v>
      </c>
      <c r="D27" t="s">
        <v>74</v>
      </c>
      <c r="E27" t="s">
        <v>74</v>
      </c>
      <c r="F27" t="s">
        <v>667</v>
      </c>
      <c r="G27" t="s">
        <v>74</v>
      </c>
      <c r="H27" t="s">
        <v>74</v>
      </c>
      <c r="I27" t="s">
        <v>668</v>
      </c>
      <c r="J27" t="s">
        <v>669</v>
      </c>
      <c r="K27" t="s">
        <v>74</v>
      </c>
      <c r="L27" t="s">
        <v>74</v>
      </c>
      <c r="M27" t="s">
        <v>78</v>
      </c>
      <c r="N27" t="s">
        <v>79</v>
      </c>
      <c r="O27" t="s">
        <v>74</v>
      </c>
      <c r="P27" t="s">
        <v>74</v>
      </c>
      <c r="Q27" t="s">
        <v>74</v>
      </c>
      <c r="R27" t="s">
        <v>74</v>
      </c>
      <c r="S27" t="s">
        <v>74</v>
      </c>
      <c r="T27" t="s">
        <v>670</v>
      </c>
      <c r="U27" t="s">
        <v>671</v>
      </c>
      <c r="V27" t="s">
        <v>672</v>
      </c>
      <c r="W27" t="s">
        <v>673</v>
      </c>
      <c r="X27" t="s">
        <v>674</v>
      </c>
      <c r="Y27" t="s">
        <v>675</v>
      </c>
      <c r="Z27" t="s">
        <v>676</v>
      </c>
      <c r="AA27" t="s">
        <v>74</v>
      </c>
      <c r="AB27" t="s">
        <v>677</v>
      </c>
      <c r="AC27" t="s">
        <v>678</v>
      </c>
      <c r="AD27" t="s">
        <v>679</v>
      </c>
      <c r="AE27" t="s">
        <v>680</v>
      </c>
      <c r="AF27" t="s">
        <v>74</v>
      </c>
      <c r="AG27">
        <v>58</v>
      </c>
      <c r="AH27">
        <v>5</v>
      </c>
      <c r="AI27">
        <v>7</v>
      </c>
      <c r="AJ27">
        <v>0</v>
      </c>
      <c r="AK27">
        <v>17</v>
      </c>
      <c r="AL27" t="s">
        <v>681</v>
      </c>
      <c r="AM27" t="s">
        <v>682</v>
      </c>
      <c r="AN27" t="s">
        <v>683</v>
      </c>
      <c r="AO27" t="s">
        <v>684</v>
      </c>
      <c r="AP27" t="s">
        <v>685</v>
      </c>
      <c r="AQ27" t="s">
        <v>74</v>
      </c>
      <c r="AR27" t="s">
        <v>686</v>
      </c>
      <c r="AS27" t="s">
        <v>687</v>
      </c>
      <c r="AT27" t="s">
        <v>128</v>
      </c>
      <c r="AU27">
        <v>2017</v>
      </c>
      <c r="AV27">
        <v>136</v>
      </c>
      <c r="AW27">
        <v>2</v>
      </c>
      <c r="AX27" t="s">
        <v>74</v>
      </c>
      <c r="AY27" t="s">
        <v>74</v>
      </c>
      <c r="AZ27" t="s">
        <v>74</v>
      </c>
      <c r="BA27" t="s">
        <v>74</v>
      </c>
      <c r="BB27">
        <v>121</v>
      </c>
      <c r="BC27">
        <v>133</v>
      </c>
      <c r="BD27" t="s">
        <v>74</v>
      </c>
      <c r="BE27" t="s">
        <v>688</v>
      </c>
      <c r="BF27" t="str">
        <f>HYPERLINK("http://dx.doi.org/10.1111/ivb.12172","http://dx.doi.org/10.1111/ivb.12172")</f>
        <v>http://dx.doi.org/10.1111/ivb.12172</v>
      </c>
      <c r="BG27" t="s">
        <v>74</v>
      </c>
      <c r="BH27" t="s">
        <v>74</v>
      </c>
      <c r="BI27">
        <v>13</v>
      </c>
      <c r="BJ27" t="s">
        <v>689</v>
      </c>
      <c r="BK27" t="s">
        <v>103</v>
      </c>
      <c r="BL27" t="s">
        <v>689</v>
      </c>
      <c r="BM27" t="s">
        <v>690</v>
      </c>
      <c r="BN27" t="s">
        <v>74</v>
      </c>
      <c r="BO27" t="s">
        <v>74</v>
      </c>
      <c r="BP27" t="s">
        <v>74</v>
      </c>
      <c r="BQ27" t="s">
        <v>74</v>
      </c>
      <c r="BR27" t="s">
        <v>106</v>
      </c>
      <c r="BS27" t="s">
        <v>691</v>
      </c>
      <c r="BT27" t="str">
        <f>HYPERLINK("https%3A%2F%2Fwww.webofscience.com%2Fwos%2Fwoscc%2Ffull-record%2FWOS:000404615500001","View Full Record in Web of Science")</f>
        <v>View Full Record in Web of Science</v>
      </c>
    </row>
    <row r="28" spans="1:72" x14ac:dyDescent="0.15">
      <c r="A28" t="s">
        <v>72</v>
      </c>
      <c r="B28" t="s">
        <v>692</v>
      </c>
      <c r="C28" t="s">
        <v>74</v>
      </c>
      <c r="D28" t="s">
        <v>74</v>
      </c>
      <c r="E28" t="s">
        <v>74</v>
      </c>
      <c r="F28" t="s">
        <v>693</v>
      </c>
      <c r="G28" t="s">
        <v>74</v>
      </c>
      <c r="H28" t="s">
        <v>74</v>
      </c>
      <c r="I28" t="s">
        <v>694</v>
      </c>
      <c r="J28" t="s">
        <v>695</v>
      </c>
      <c r="K28" t="s">
        <v>74</v>
      </c>
      <c r="L28" t="s">
        <v>74</v>
      </c>
      <c r="M28" t="s">
        <v>78</v>
      </c>
      <c r="N28" t="s">
        <v>79</v>
      </c>
      <c r="O28" t="s">
        <v>74</v>
      </c>
      <c r="P28" t="s">
        <v>74</v>
      </c>
      <c r="Q28" t="s">
        <v>74</v>
      </c>
      <c r="R28" t="s">
        <v>74</v>
      </c>
      <c r="S28" t="s">
        <v>74</v>
      </c>
      <c r="T28" t="s">
        <v>696</v>
      </c>
      <c r="U28" t="s">
        <v>697</v>
      </c>
      <c r="V28" t="s">
        <v>698</v>
      </c>
      <c r="W28" t="s">
        <v>699</v>
      </c>
      <c r="X28" t="s">
        <v>700</v>
      </c>
      <c r="Y28" t="s">
        <v>701</v>
      </c>
      <c r="Z28" t="s">
        <v>702</v>
      </c>
      <c r="AA28" t="s">
        <v>703</v>
      </c>
      <c r="AB28" t="s">
        <v>704</v>
      </c>
      <c r="AC28" t="s">
        <v>705</v>
      </c>
      <c r="AD28" t="s">
        <v>706</v>
      </c>
      <c r="AE28" t="s">
        <v>707</v>
      </c>
      <c r="AF28" t="s">
        <v>74</v>
      </c>
      <c r="AG28">
        <v>55</v>
      </c>
      <c r="AH28">
        <v>22</v>
      </c>
      <c r="AI28">
        <v>23</v>
      </c>
      <c r="AJ28">
        <v>3</v>
      </c>
      <c r="AK28">
        <v>15</v>
      </c>
      <c r="AL28" t="s">
        <v>656</v>
      </c>
      <c r="AM28" t="s">
        <v>93</v>
      </c>
      <c r="AN28" t="s">
        <v>657</v>
      </c>
      <c r="AO28" t="s">
        <v>708</v>
      </c>
      <c r="AP28" t="s">
        <v>709</v>
      </c>
      <c r="AQ28" t="s">
        <v>74</v>
      </c>
      <c r="AR28" t="s">
        <v>710</v>
      </c>
      <c r="AS28" t="s">
        <v>711</v>
      </c>
      <c r="AT28" t="s">
        <v>99</v>
      </c>
      <c r="AU28">
        <v>2017</v>
      </c>
      <c r="AV28">
        <v>141</v>
      </c>
      <c r="AW28" t="s">
        <v>74</v>
      </c>
      <c r="AX28" t="s">
        <v>74</v>
      </c>
      <c r="AY28" t="s">
        <v>74</v>
      </c>
      <c r="AZ28" t="s">
        <v>74</v>
      </c>
      <c r="BA28" t="s">
        <v>74</v>
      </c>
      <c r="BB28">
        <v>1</v>
      </c>
      <c r="BC28">
        <v>10</v>
      </c>
      <c r="BD28" t="s">
        <v>74</v>
      </c>
      <c r="BE28" t="s">
        <v>712</v>
      </c>
      <c r="BF28" t="str">
        <f>HYPERLINK("http://dx.doi.org/10.1016/j.csr.2017.04.010","http://dx.doi.org/10.1016/j.csr.2017.04.010")</f>
        <v>http://dx.doi.org/10.1016/j.csr.2017.04.010</v>
      </c>
      <c r="BG28" t="s">
        <v>74</v>
      </c>
      <c r="BH28" t="s">
        <v>74</v>
      </c>
      <c r="BI28">
        <v>10</v>
      </c>
      <c r="BJ28" t="s">
        <v>127</v>
      </c>
      <c r="BK28" t="s">
        <v>103</v>
      </c>
      <c r="BL28" t="s">
        <v>127</v>
      </c>
      <c r="BM28" t="s">
        <v>713</v>
      </c>
      <c r="BN28" t="s">
        <v>74</v>
      </c>
      <c r="BO28" t="s">
        <v>105</v>
      </c>
      <c r="BP28" t="s">
        <v>74</v>
      </c>
      <c r="BQ28" t="s">
        <v>74</v>
      </c>
      <c r="BR28" t="s">
        <v>106</v>
      </c>
      <c r="BS28" t="s">
        <v>714</v>
      </c>
      <c r="BT28" t="str">
        <f>HYPERLINK("https%3A%2F%2Fwww.webofscience.com%2Fwos%2Fwoscc%2Ffull-record%2FWOS:000404495300001","View Full Record in Web of Science")</f>
        <v>View Full Record in Web of Science</v>
      </c>
    </row>
    <row r="29" spans="1:72" x14ac:dyDescent="0.15">
      <c r="A29" t="s">
        <v>72</v>
      </c>
      <c r="B29" t="s">
        <v>715</v>
      </c>
      <c r="C29" t="s">
        <v>74</v>
      </c>
      <c r="D29" t="s">
        <v>74</v>
      </c>
      <c r="E29" t="s">
        <v>74</v>
      </c>
      <c r="F29" t="s">
        <v>716</v>
      </c>
      <c r="G29" t="s">
        <v>74</v>
      </c>
      <c r="H29" t="s">
        <v>74</v>
      </c>
      <c r="I29" t="s">
        <v>717</v>
      </c>
      <c r="J29" t="s">
        <v>718</v>
      </c>
      <c r="K29" t="s">
        <v>74</v>
      </c>
      <c r="L29" t="s">
        <v>74</v>
      </c>
      <c r="M29" t="s">
        <v>78</v>
      </c>
      <c r="N29" t="s">
        <v>79</v>
      </c>
      <c r="O29" t="s">
        <v>74</v>
      </c>
      <c r="P29" t="s">
        <v>74</v>
      </c>
      <c r="Q29" t="s">
        <v>74</v>
      </c>
      <c r="R29" t="s">
        <v>74</v>
      </c>
      <c r="S29" t="s">
        <v>74</v>
      </c>
      <c r="T29" t="s">
        <v>74</v>
      </c>
      <c r="U29" t="s">
        <v>719</v>
      </c>
      <c r="V29" t="s">
        <v>720</v>
      </c>
      <c r="W29" t="s">
        <v>721</v>
      </c>
      <c r="X29" t="s">
        <v>722</v>
      </c>
      <c r="Y29" t="s">
        <v>723</v>
      </c>
      <c r="Z29" t="s">
        <v>724</v>
      </c>
      <c r="AA29" t="s">
        <v>74</v>
      </c>
      <c r="AB29" t="s">
        <v>725</v>
      </c>
      <c r="AC29" t="s">
        <v>726</v>
      </c>
      <c r="AD29" t="s">
        <v>727</v>
      </c>
      <c r="AE29" t="s">
        <v>728</v>
      </c>
      <c r="AF29" t="s">
        <v>74</v>
      </c>
      <c r="AG29">
        <v>66</v>
      </c>
      <c r="AH29">
        <v>12</v>
      </c>
      <c r="AI29">
        <v>13</v>
      </c>
      <c r="AJ29">
        <v>1</v>
      </c>
      <c r="AK29">
        <v>16</v>
      </c>
      <c r="AL29" t="s">
        <v>729</v>
      </c>
      <c r="AM29" t="s">
        <v>730</v>
      </c>
      <c r="AN29" t="s">
        <v>731</v>
      </c>
      <c r="AO29" t="s">
        <v>732</v>
      </c>
      <c r="AP29" t="s">
        <v>733</v>
      </c>
      <c r="AQ29" t="s">
        <v>74</v>
      </c>
      <c r="AR29" t="s">
        <v>734</v>
      </c>
      <c r="AS29" t="s">
        <v>735</v>
      </c>
      <c r="AT29" t="s">
        <v>128</v>
      </c>
      <c r="AU29">
        <v>2017</v>
      </c>
      <c r="AV29">
        <v>164</v>
      </c>
      <c r="AW29">
        <v>6</v>
      </c>
      <c r="AX29" t="s">
        <v>74</v>
      </c>
      <c r="AY29" t="s">
        <v>74</v>
      </c>
      <c r="AZ29" t="s">
        <v>74</v>
      </c>
      <c r="BA29" t="s">
        <v>74</v>
      </c>
      <c r="BB29" t="s">
        <v>74</v>
      </c>
      <c r="BC29" t="s">
        <v>74</v>
      </c>
      <c r="BD29">
        <v>150</v>
      </c>
      <c r="BE29" t="s">
        <v>736</v>
      </c>
      <c r="BF29" t="str">
        <f>HYPERLINK("http://dx.doi.org/10.1007/s00227-017-3182-1","http://dx.doi.org/10.1007/s00227-017-3182-1")</f>
        <v>http://dx.doi.org/10.1007/s00227-017-3182-1</v>
      </c>
      <c r="BG29" t="s">
        <v>74</v>
      </c>
      <c r="BH29" t="s">
        <v>74</v>
      </c>
      <c r="BI29">
        <v>13</v>
      </c>
      <c r="BJ29" t="s">
        <v>737</v>
      </c>
      <c r="BK29" t="s">
        <v>103</v>
      </c>
      <c r="BL29" t="s">
        <v>737</v>
      </c>
      <c r="BM29" t="s">
        <v>738</v>
      </c>
      <c r="BN29" t="s">
        <v>74</v>
      </c>
      <c r="BO29" t="s">
        <v>74</v>
      </c>
      <c r="BP29" t="s">
        <v>74</v>
      </c>
      <c r="BQ29" t="s">
        <v>74</v>
      </c>
      <c r="BR29" t="s">
        <v>106</v>
      </c>
      <c r="BS29" t="s">
        <v>739</v>
      </c>
      <c r="BT29" t="str">
        <f>HYPERLINK("https%3A%2F%2Fwww.webofscience.com%2Fwos%2Fwoscc%2Ffull-record%2FWOS:000404573800005","View Full Record in Web of Science")</f>
        <v>View Full Record in Web of Science</v>
      </c>
    </row>
    <row r="30" spans="1:72" x14ac:dyDescent="0.15">
      <c r="A30" t="s">
        <v>72</v>
      </c>
      <c r="B30" t="s">
        <v>740</v>
      </c>
      <c r="C30" t="s">
        <v>74</v>
      </c>
      <c r="D30" t="s">
        <v>74</v>
      </c>
      <c r="E30" t="s">
        <v>74</v>
      </c>
      <c r="F30" t="s">
        <v>741</v>
      </c>
      <c r="G30" t="s">
        <v>74</v>
      </c>
      <c r="H30" t="s">
        <v>74</v>
      </c>
      <c r="I30" t="s">
        <v>742</v>
      </c>
      <c r="J30" t="s">
        <v>743</v>
      </c>
      <c r="K30" t="s">
        <v>74</v>
      </c>
      <c r="L30" t="s">
        <v>74</v>
      </c>
      <c r="M30" t="s">
        <v>78</v>
      </c>
      <c r="N30" t="s">
        <v>79</v>
      </c>
      <c r="O30" t="s">
        <v>74</v>
      </c>
      <c r="P30" t="s">
        <v>74</v>
      </c>
      <c r="Q30" t="s">
        <v>74</v>
      </c>
      <c r="R30" t="s">
        <v>74</v>
      </c>
      <c r="S30" t="s">
        <v>74</v>
      </c>
      <c r="T30" t="s">
        <v>744</v>
      </c>
      <c r="U30" t="s">
        <v>745</v>
      </c>
      <c r="V30" t="s">
        <v>746</v>
      </c>
      <c r="W30" t="s">
        <v>747</v>
      </c>
      <c r="X30" t="s">
        <v>748</v>
      </c>
      <c r="Y30" t="s">
        <v>749</v>
      </c>
      <c r="Z30" t="s">
        <v>750</v>
      </c>
      <c r="AA30" t="s">
        <v>751</v>
      </c>
      <c r="AB30" t="s">
        <v>752</v>
      </c>
      <c r="AC30" t="s">
        <v>753</v>
      </c>
      <c r="AD30" t="s">
        <v>754</v>
      </c>
      <c r="AE30" t="s">
        <v>755</v>
      </c>
      <c r="AF30" t="s">
        <v>74</v>
      </c>
      <c r="AG30">
        <v>37</v>
      </c>
      <c r="AH30">
        <v>22</v>
      </c>
      <c r="AI30">
        <v>22</v>
      </c>
      <c r="AJ30">
        <v>2</v>
      </c>
      <c r="AK30">
        <v>36</v>
      </c>
      <c r="AL30" t="s">
        <v>681</v>
      </c>
      <c r="AM30" t="s">
        <v>682</v>
      </c>
      <c r="AN30" t="s">
        <v>683</v>
      </c>
      <c r="AO30" t="s">
        <v>756</v>
      </c>
      <c r="AP30" t="s">
        <v>757</v>
      </c>
      <c r="AQ30" t="s">
        <v>74</v>
      </c>
      <c r="AR30" t="s">
        <v>758</v>
      </c>
      <c r="AS30" t="s">
        <v>759</v>
      </c>
      <c r="AT30" t="s">
        <v>128</v>
      </c>
      <c r="AU30">
        <v>2017</v>
      </c>
      <c r="AV30">
        <v>36</v>
      </c>
      <c r="AW30">
        <v>6</v>
      </c>
      <c r="AX30" t="s">
        <v>74</v>
      </c>
      <c r="AY30" t="s">
        <v>74</v>
      </c>
      <c r="AZ30" t="s">
        <v>74</v>
      </c>
      <c r="BA30" t="s">
        <v>74</v>
      </c>
      <c r="BB30">
        <v>1563</v>
      </c>
      <c r="BC30">
        <v>1571</v>
      </c>
      <c r="BD30" t="s">
        <v>74</v>
      </c>
      <c r="BE30" t="s">
        <v>760</v>
      </c>
      <c r="BF30" t="str">
        <f>HYPERLINK("http://dx.doi.org/10.1002/etc.3679","http://dx.doi.org/10.1002/etc.3679")</f>
        <v>http://dx.doi.org/10.1002/etc.3679</v>
      </c>
      <c r="BG30" t="s">
        <v>74</v>
      </c>
      <c r="BH30" t="s">
        <v>74</v>
      </c>
      <c r="BI30">
        <v>9</v>
      </c>
      <c r="BJ30" t="s">
        <v>761</v>
      </c>
      <c r="BK30" t="s">
        <v>103</v>
      </c>
      <c r="BL30" t="s">
        <v>762</v>
      </c>
      <c r="BM30" t="s">
        <v>763</v>
      </c>
      <c r="BN30">
        <v>27813135</v>
      </c>
      <c r="BO30" t="s">
        <v>74</v>
      </c>
      <c r="BP30" t="s">
        <v>74</v>
      </c>
      <c r="BQ30" t="s">
        <v>74</v>
      </c>
      <c r="BR30" t="s">
        <v>106</v>
      </c>
      <c r="BS30" t="s">
        <v>764</v>
      </c>
      <c r="BT30" t="str">
        <f>HYPERLINK("https%3A%2F%2Fwww.webofscience.com%2Fwos%2Fwoscc%2Ffull-record%2FWOS:000404386300017","View Full Record in Web of Science")</f>
        <v>View Full Record in Web of Science</v>
      </c>
    </row>
    <row r="31" spans="1:72" x14ac:dyDescent="0.15">
      <c r="A31" t="s">
        <v>72</v>
      </c>
      <c r="B31" t="s">
        <v>765</v>
      </c>
      <c r="C31" t="s">
        <v>74</v>
      </c>
      <c r="D31" t="s">
        <v>74</v>
      </c>
      <c r="E31" t="s">
        <v>74</v>
      </c>
      <c r="F31" t="s">
        <v>766</v>
      </c>
      <c r="G31" t="s">
        <v>74</v>
      </c>
      <c r="H31" t="s">
        <v>74</v>
      </c>
      <c r="I31" t="s">
        <v>767</v>
      </c>
      <c r="J31" t="s">
        <v>768</v>
      </c>
      <c r="K31" t="s">
        <v>74</v>
      </c>
      <c r="L31" t="s">
        <v>74</v>
      </c>
      <c r="M31" t="s">
        <v>78</v>
      </c>
      <c r="N31" t="s">
        <v>79</v>
      </c>
      <c r="O31" t="s">
        <v>74</v>
      </c>
      <c r="P31" t="s">
        <v>74</v>
      </c>
      <c r="Q31" t="s">
        <v>74</v>
      </c>
      <c r="R31" t="s">
        <v>74</v>
      </c>
      <c r="S31" t="s">
        <v>74</v>
      </c>
      <c r="T31" t="s">
        <v>769</v>
      </c>
      <c r="U31" t="s">
        <v>770</v>
      </c>
      <c r="V31" t="s">
        <v>771</v>
      </c>
      <c r="W31" t="s">
        <v>772</v>
      </c>
      <c r="X31" t="s">
        <v>309</v>
      </c>
      <c r="Y31" t="s">
        <v>773</v>
      </c>
      <c r="Z31" t="s">
        <v>774</v>
      </c>
      <c r="AA31" t="s">
        <v>775</v>
      </c>
      <c r="AB31" t="s">
        <v>776</v>
      </c>
      <c r="AC31" t="s">
        <v>777</v>
      </c>
      <c r="AD31" t="s">
        <v>778</v>
      </c>
      <c r="AE31" t="s">
        <v>779</v>
      </c>
      <c r="AF31" t="s">
        <v>74</v>
      </c>
      <c r="AG31">
        <v>87</v>
      </c>
      <c r="AH31">
        <v>6</v>
      </c>
      <c r="AI31">
        <v>6</v>
      </c>
      <c r="AJ31">
        <v>1</v>
      </c>
      <c r="AK31">
        <v>19</v>
      </c>
      <c r="AL31" t="s">
        <v>681</v>
      </c>
      <c r="AM31" t="s">
        <v>682</v>
      </c>
      <c r="AN31" t="s">
        <v>683</v>
      </c>
      <c r="AO31" t="s">
        <v>780</v>
      </c>
      <c r="AP31" t="s">
        <v>781</v>
      </c>
      <c r="AQ31" t="s">
        <v>74</v>
      </c>
      <c r="AR31" t="s">
        <v>782</v>
      </c>
      <c r="AS31" t="s">
        <v>783</v>
      </c>
      <c r="AT31" t="s">
        <v>128</v>
      </c>
      <c r="AU31">
        <v>2017</v>
      </c>
      <c r="AV31">
        <v>48</v>
      </c>
      <c r="AW31">
        <v>6</v>
      </c>
      <c r="AX31" t="s">
        <v>74</v>
      </c>
      <c r="AY31" t="s">
        <v>74</v>
      </c>
      <c r="AZ31" t="s">
        <v>74</v>
      </c>
      <c r="BA31" t="s">
        <v>74</v>
      </c>
      <c r="BB31">
        <v>2752</v>
      </c>
      <c r="BC31">
        <v>2766</v>
      </c>
      <c r="BD31" t="s">
        <v>74</v>
      </c>
      <c r="BE31" t="s">
        <v>784</v>
      </c>
      <c r="BF31" t="str">
        <f>HYPERLINK("http://dx.doi.org/10.1111/are.13108","http://dx.doi.org/10.1111/are.13108")</f>
        <v>http://dx.doi.org/10.1111/are.13108</v>
      </c>
      <c r="BG31" t="s">
        <v>74</v>
      </c>
      <c r="BH31" t="s">
        <v>74</v>
      </c>
      <c r="BI31">
        <v>15</v>
      </c>
      <c r="BJ31" t="s">
        <v>785</v>
      </c>
      <c r="BK31" t="s">
        <v>103</v>
      </c>
      <c r="BL31" t="s">
        <v>785</v>
      </c>
      <c r="BM31" t="s">
        <v>786</v>
      </c>
      <c r="BN31" t="s">
        <v>74</v>
      </c>
      <c r="BO31" t="s">
        <v>131</v>
      </c>
      <c r="BP31" t="s">
        <v>74</v>
      </c>
      <c r="BQ31" t="s">
        <v>74</v>
      </c>
      <c r="BR31" t="s">
        <v>106</v>
      </c>
      <c r="BS31" t="s">
        <v>787</v>
      </c>
      <c r="BT31" t="str">
        <f>HYPERLINK("https%3A%2F%2Fwww.webofscience.com%2Fwos%2Fwoscc%2Ffull-record%2FWOS:000404300300012","View Full Record in Web of Science")</f>
        <v>View Full Record in Web of Science</v>
      </c>
    </row>
    <row r="32" spans="1:72" x14ac:dyDescent="0.15">
      <c r="A32" t="s">
        <v>72</v>
      </c>
      <c r="B32" t="s">
        <v>788</v>
      </c>
      <c r="C32" t="s">
        <v>74</v>
      </c>
      <c r="D32" t="s">
        <v>74</v>
      </c>
      <c r="E32" t="s">
        <v>74</v>
      </c>
      <c r="F32" t="s">
        <v>789</v>
      </c>
      <c r="G32" t="s">
        <v>74</v>
      </c>
      <c r="H32" t="s">
        <v>74</v>
      </c>
      <c r="I32" t="s">
        <v>790</v>
      </c>
      <c r="J32" t="s">
        <v>791</v>
      </c>
      <c r="K32" t="s">
        <v>74</v>
      </c>
      <c r="L32" t="s">
        <v>74</v>
      </c>
      <c r="M32" t="s">
        <v>78</v>
      </c>
      <c r="N32" t="s">
        <v>79</v>
      </c>
      <c r="O32" t="s">
        <v>74</v>
      </c>
      <c r="P32" t="s">
        <v>74</v>
      </c>
      <c r="Q32" t="s">
        <v>74</v>
      </c>
      <c r="R32" t="s">
        <v>74</v>
      </c>
      <c r="S32" t="s">
        <v>74</v>
      </c>
      <c r="T32" t="s">
        <v>792</v>
      </c>
      <c r="U32" t="s">
        <v>793</v>
      </c>
      <c r="V32" t="s">
        <v>794</v>
      </c>
      <c r="W32" t="s">
        <v>795</v>
      </c>
      <c r="X32" t="s">
        <v>796</v>
      </c>
      <c r="Y32" t="s">
        <v>797</v>
      </c>
      <c r="Z32" t="s">
        <v>798</v>
      </c>
      <c r="AA32" t="s">
        <v>74</v>
      </c>
      <c r="AB32" t="s">
        <v>799</v>
      </c>
      <c r="AC32" t="s">
        <v>800</v>
      </c>
      <c r="AD32" t="s">
        <v>801</v>
      </c>
      <c r="AE32" t="s">
        <v>802</v>
      </c>
      <c r="AF32" t="s">
        <v>74</v>
      </c>
      <c r="AG32">
        <v>27</v>
      </c>
      <c r="AH32">
        <v>12</v>
      </c>
      <c r="AI32">
        <v>14</v>
      </c>
      <c r="AJ32">
        <v>2</v>
      </c>
      <c r="AK32">
        <v>68</v>
      </c>
      <c r="AL32" t="s">
        <v>803</v>
      </c>
      <c r="AM32" t="s">
        <v>430</v>
      </c>
      <c r="AN32" t="s">
        <v>804</v>
      </c>
      <c r="AO32" t="s">
        <v>805</v>
      </c>
      <c r="AP32" t="s">
        <v>806</v>
      </c>
      <c r="AQ32" t="s">
        <v>74</v>
      </c>
      <c r="AR32" t="s">
        <v>807</v>
      </c>
      <c r="AS32" t="s">
        <v>808</v>
      </c>
      <c r="AT32" t="s">
        <v>128</v>
      </c>
      <c r="AU32">
        <v>2017</v>
      </c>
      <c r="AV32">
        <v>29</v>
      </c>
      <c r="AW32">
        <v>3</v>
      </c>
      <c r="AX32" t="s">
        <v>74</v>
      </c>
      <c r="AY32" t="s">
        <v>74</v>
      </c>
      <c r="AZ32" t="s">
        <v>74</v>
      </c>
      <c r="BA32" t="s">
        <v>74</v>
      </c>
      <c r="BB32">
        <v>201</v>
      </c>
      <c r="BC32">
        <v>208</v>
      </c>
      <c r="BD32" t="s">
        <v>74</v>
      </c>
      <c r="BE32" t="s">
        <v>809</v>
      </c>
      <c r="BF32" t="str">
        <f>HYPERLINK("http://dx.doi.org/10.1017/S0954102016000559","http://dx.doi.org/10.1017/S0954102016000559")</f>
        <v>http://dx.doi.org/10.1017/S0954102016000559</v>
      </c>
      <c r="BG32" t="s">
        <v>74</v>
      </c>
      <c r="BH32" t="s">
        <v>74</v>
      </c>
      <c r="BI32">
        <v>8</v>
      </c>
      <c r="BJ32" t="s">
        <v>810</v>
      </c>
      <c r="BK32" t="s">
        <v>103</v>
      </c>
      <c r="BL32" t="s">
        <v>811</v>
      </c>
      <c r="BM32" t="s">
        <v>812</v>
      </c>
      <c r="BN32" t="s">
        <v>74</v>
      </c>
      <c r="BO32" t="s">
        <v>74</v>
      </c>
      <c r="BP32" t="s">
        <v>74</v>
      </c>
      <c r="BQ32" t="s">
        <v>74</v>
      </c>
      <c r="BR32" t="s">
        <v>106</v>
      </c>
      <c r="BS32" t="s">
        <v>813</v>
      </c>
      <c r="BT32" t="str">
        <f>HYPERLINK("https%3A%2F%2Fwww.webofscience.com%2Fwos%2Fwoscc%2Ffull-record%2FWOS:000404282500002","View Full Record in Web of Science")</f>
        <v>View Full Record in Web of Science</v>
      </c>
    </row>
    <row r="33" spans="1:72" x14ac:dyDescent="0.15">
      <c r="A33" t="s">
        <v>72</v>
      </c>
      <c r="B33" t="s">
        <v>814</v>
      </c>
      <c r="C33" t="s">
        <v>74</v>
      </c>
      <c r="D33" t="s">
        <v>74</v>
      </c>
      <c r="E33" t="s">
        <v>74</v>
      </c>
      <c r="F33" t="s">
        <v>815</v>
      </c>
      <c r="G33" t="s">
        <v>74</v>
      </c>
      <c r="H33" t="s">
        <v>74</v>
      </c>
      <c r="I33" t="s">
        <v>816</v>
      </c>
      <c r="J33" t="s">
        <v>791</v>
      </c>
      <c r="K33" t="s">
        <v>74</v>
      </c>
      <c r="L33" t="s">
        <v>74</v>
      </c>
      <c r="M33" t="s">
        <v>78</v>
      </c>
      <c r="N33" t="s">
        <v>79</v>
      </c>
      <c r="O33" t="s">
        <v>74</v>
      </c>
      <c r="P33" t="s">
        <v>74</v>
      </c>
      <c r="Q33" t="s">
        <v>74</v>
      </c>
      <c r="R33" t="s">
        <v>74</v>
      </c>
      <c r="S33" t="s">
        <v>74</v>
      </c>
      <c r="T33" t="s">
        <v>817</v>
      </c>
      <c r="U33" t="s">
        <v>818</v>
      </c>
      <c r="V33" t="s">
        <v>819</v>
      </c>
      <c r="W33" t="s">
        <v>820</v>
      </c>
      <c r="X33" t="s">
        <v>821</v>
      </c>
      <c r="Y33" t="s">
        <v>822</v>
      </c>
      <c r="Z33" t="s">
        <v>823</v>
      </c>
      <c r="AA33" t="s">
        <v>74</v>
      </c>
      <c r="AB33" t="s">
        <v>74</v>
      </c>
      <c r="AC33" t="s">
        <v>824</v>
      </c>
      <c r="AD33" t="s">
        <v>824</v>
      </c>
      <c r="AE33" t="s">
        <v>825</v>
      </c>
      <c r="AF33" t="s">
        <v>74</v>
      </c>
      <c r="AG33">
        <v>36</v>
      </c>
      <c r="AH33">
        <v>3</v>
      </c>
      <c r="AI33">
        <v>3</v>
      </c>
      <c r="AJ33">
        <v>0</v>
      </c>
      <c r="AK33">
        <v>23</v>
      </c>
      <c r="AL33" t="s">
        <v>803</v>
      </c>
      <c r="AM33" t="s">
        <v>430</v>
      </c>
      <c r="AN33" t="s">
        <v>804</v>
      </c>
      <c r="AO33" t="s">
        <v>805</v>
      </c>
      <c r="AP33" t="s">
        <v>806</v>
      </c>
      <c r="AQ33" t="s">
        <v>74</v>
      </c>
      <c r="AR33" t="s">
        <v>807</v>
      </c>
      <c r="AS33" t="s">
        <v>808</v>
      </c>
      <c r="AT33" t="s">
        <v>128</v>
      </c>
      <c r="AU33">
        <v>2017</v>
      </c>
      <c r="AV33">
        <v>29</v>
      </c>
      <c r="AW33">
        <v>3</v>
      </c>
      <c r="AX33" t="s">
        <v>74</v>
      </c>
      <c r="AY33" t="s">
        <v>74</v>
      </c>
      <c r="AZ33" t="s">
        <v>74</v>
      </c>
      <c r="BA33" t="s">
        <v>74</v>
      </c>
      <c r="BB33">
        <v>209</v>
      </c>
      <c r="BC33">
        <v>216</v>
      </c>
      <c r="BD33" t="s">
        <v>74</v>
      </c>
      <c r="BE33" t="s">
        <v>826</v>
      </c>
      <c r="BF33" t="str">
        <f>HYPERLINK("http://dx.doi.org/10.1017/S0954102016000626","http://dx.doi.org/10.1017/S0954102016000626")</f>
        <v>http://dx.doi.org/10.1017/S0954102016000626</v>
      </c>
      <c r="BG33" t="s">
        <v>74</v>
      </c>
      <c r="BH33" t="s">
        <v>74</v>
      </c>
      <c r="BI33">
        <v>8</v>
      </c>
      <c r="BJ33" t="s">
        <v>810</v>
      </c>
      <c r="BK33" t="s">
        <v>103</v>
      </c>
      <c r="BL33" t="s">
        <v>811</v>
      </c>
      <c r="BM33" t="s">
        <v>812</v>
      </c>
      <c r="BN33" t="s">
        <v>74</v>
      </c>
      <c r="BO33" t="s">
        <v>74</v>
      </c>
      <c r="BP33" t="s">
        <v>74</v>
      </c>
      <c r="BQ33" t="s">
        <v>74</v>
      </c>
      <c r="BR33" t="s">
        <v>106</v>
      </c>
      <c r="BS33" t="s">
        <v>827</v>
      </c>
      <c r="BT33" t="str">
        <f>HYPERLINK("https%3A%2F%2Fwww.webofscience.com%2Fwos%2Fwoscc%2Ffull-record%2FWOS:000404282500003","View Full Record in Web of Science")</f>
        <v>View Full Record in Web of Science</v>
      </c>
    </row>
    <row r="34" spans="1:72" x14ac:dyDescent="0.15">
      <c r="A34" t="s">
        <v>72</v>
      </c>
      <c r="B34" t="s">
        <v>828</v>
      </c>
      <c r="C34" t="s">
        <v>74</v>
      </c>
      <c r="D34" t="s">
        <v>74</v>
      </c>
      <c r="E34" t="s">
        <v>74</v>
      </c>
      <c r="F34" t="s">
        <v>829</v>
      </c>
      <c r="G34" t="s">
        <v>74</v>
      </c>
      <c r="H34" t="s">
        <v>74</v>
      </c>
      <c r="I34" t="s">
        <v>830</v>
      </c>
      <c r="J34" t="s">
        <v>791</v>
      </c>
      <c r="K34" t="s">
        <v>74</v>
      </c>
      <c r="L34" t="s">
        <v>74</v>
      </c>
      <c r="M34" t="s">
        <v>78</v>
      </c>
      <c r="N34" t="s">
        <v>79</v>
      </c>
      <c r="O34" t="s">
        <v>74</v>
      </c>
      <c r="P34" t="s">
        <v>74</v>
      </c>
      <c r="Q34" t="s">
        <v>74</v>
      </c>
      <c r="R34" t="s">
        <v>74</v>
      </c>
      <c r="S34" t="s">
        <v>74</v>
      </c>
      <c r="T34" t="s">
        <v>831</v>
      </c>
      <c r="U34" t="s">
        <v>832</v>
      </c>
      <c r="V34" t="s">
        <v>833</v>
      </c>
      <c r="W34" t="s">
        <v>834</v>
      </c>
      <c r="X34" t="s">
        <v>835</v>
      </c>
      <c r="Y34" t="s">
        <v>836</v>
      </c>
      <c r="Z34" t="s">
        <v>837</v>
      </c>
      <c r="AA34" t="s">
        <v>74</v>
      </c>
      <c r="AB34" t="s">
        <v>74</v>
      </c>
      <c r="AC34" t="s">
        <v>838</v>
      </c>
      <c r="AD34" t="s">
        <v>839</v>
      </c>
      <c r="AE34" t="s">
        <v>840</v>
      </c>
      <c r="AF34" t="s">
        <v>74</v>
      </c>
      <c r="AG34">
        <v>39</v>
      </c>
      <c r="AH34">
        <v>8</v>
      </c>
      <c r="AI34">
        <v>8</v>
      </c>
      <c r="AJ34">
        <v>0</v>
      </c>
      <c r="AK34">
        <v>7</v>
      </c>
      <c r="AL34" t="s">
        <v>803</v>
      </c>
      <c r="AM34" t="s">
        <v>430</v>
      </c>
      <c r="AN34" t="s">
        <v>804</v>
      </c>
      <c r="AO34" t="s">
        <v>805</v>
      </c>
      <c r="AP34" t="s">
        <v>806</v>
      </c>
      <c r="AQ34" t="s">
        <v>74</v>
      </c>
      <c r="AR34" t="s">
        <v>807</v>
      </c>
      <c r="AS34" t="s">
        <v>808</v>
      </c>
      <c r="AT34" t="s">
        <v>128</v>
      </c>
      <c r="AU34">
        <v>2017</v>
      </c>
      <c r="AV34">
        <v>29</v>
      </c>
      <c r="AW34">
        <v>3</v>
      </c>
      <c r="AX34" t="s">
        <v>74</v>
      </c>
      <c r="AY34" t="s">
        <v>74</v>
      </c>
      <c r="AZ34" t="s">
        <v>74</v>
      </c>
      <c r="BA34" t="s">
        <v>74</v>
      </c>
      <c r="BB34">
        <v>239</v>
      </c>
      <c r="BC34">
        <v>251</v>
      </c>
      <c r="BD34" t="s">
        <v>74</v>
      </c>
      <c r="BE34" t="s">
        <v>841</v>
      </c>
      <c r="BF34" t="str">
        <f>HYPERLINK("http://dx.doi.org/10.1017/S0954102016000687","http://dx.doi.org/10.1017/S0954102016000687")</f>
        <v>http://dx.doi.org/10.1017/S0954102016000687</v>
      </c>
      <c r="BG34" t="s">
        <v>74</v>
      </c>
      <c r="BH34" t="s">
        <v>74</v>
      </c>
      <c r="BI34">
        <v>13</v>
      </c>
      <c r="BJ34" t="s">
        <v>810</v>
      </c>
      <c r="BK34" t="s">
        <v>103</v>
      </c>
      <c r="BL34" t="s">
        <v>811</v>
      </c>
      <c r="BM34" t="s">
        <v>812</v>
      </c>
      <c r="BN34" t="s">
        <v>74</v>
      </c>
      <c r="BO34" t="s">
        <v>412</v>
      </c>
      <c r="BP34" t="s">
        <v>74</v>
      </c>
      <c r="BQ34" t="s">
        <v>74</v>
      </c>
      <c r="BR34" t="s">
        <v>106</v>
      </c>
      <c r="BS34" t="s">
        <v>842</v>
      </c>
      <c r="BT34" t="str">
        <f>HYPERLINK("https%3A%2F%2Fwww.webofscience.com%2Fwos%2Fwoscc%2Ffull-record%2FWOS:000404282500006","View Full Record in Web of Science")</f>
        <v>View Full Record in Web of Science</v>
      </c>
    </row>
    <row r="35" spans="1:72" x14ac:dyDescent="0.15">
      <c r="A35" t="s">
        <v>72</v>
      </c>
      <c r="B35" t="s">
        <v>843</v>
      </c>
      <c r="C35" t="s">
        <v>74</v>
      </c>
      <c r="D35" t="s">
        <v>74</v>
      </c>
      <c r="E35" t="s">
        <v>74</v>
      </c>
      <c r="F35" t="s">
        <v>844</v>
      </c>
      <c r="G35" t="s">
        <v>74</v>
      </c>
      <c r="H35" t="s">
        <v>74</v>
      </c>
      <c r="I35" t="s">
        <v>845</v>
      </c>
      <c r="J35" t="s">
        <v>791</v>
      </c>
      <c r="K35" t="s">
        <v>74</v>
      </c>
      <c r="L35" t="s">
        <v>74</v>
      </c>
      <c r="M35" t="s">
        <v>78</v>
      </c>
      <c r="N35" t="s">
        <v>79</v>
      </c>
      <c r="O35" t="s">
        <v>74</v>
      </c>
      <c r="P35" t="s">
        <v>74</v>
      </c>
      <c r="Q35" t="s">
        <v>74</v>
      </c>
      <c r="R35" t="s">
        <v>74</v>
      </c>
      <c r="S35" t="s">
        <v>74</v>
      </c>
      <c r="T35" t="s">
        <v>846</v>
      </c>
      <c r="U35" t="s">
        <v>74</v>
      </c>
      <c r="V35" t="s">
        <v>847</v>
      </c>
      <c r="W35" t="s">
        <v>848</v>
      </c>
      <c r="X35" t="s">
        <v>849</v>
      </c>
      <c r="Y35" t="s">
        <v>850</v>
      </c>
      <c r="Z35" t="s">
        <v>851</v>
      </c>
      <c r="AA35" t="s">
        <v>852</v>
      </c>
      <c r="AB35" t="s">
        <v>853</v>
      </c>
      <c r="AC35" t="s">
        <v>854</v>
      </c>
      <c r="AD35" t="s">
        <v>854</v>
      </c>
      <c r="AE35" t="s">
        <v>855</v>
      </c>
      <c r="AF35" t="s">
        <v>74</v>
      </c>
      <c r="AG35">
        <v>38</v>
      </c>
      <c r="AH35">
        <v>4</v>
      </c>
      <c r="AI35">
        <v>4</v>
      </c>
      <c r="AJ35">
        <v>0</v>
      </c>
      <c r="AK35">
        <v>3</v>
      </c>
      <c r="AL35" t="s">
        <v>803</v>
      </c>
      <c r="AM35" t="s">
        <v>430</v>
      </c>
      <c r="AN35" t="s">
        <v>804</v>
      </c>
      <c r="AO35" t="s">
        <v>805</v>
      </c>
      <c r="AP35" t="s">
        <v>806</v>
      </c>
      <c r="AQ35" t="s">
        <v>74</v>
      </c>
      <c r="AR35" t="s">
        <v>807</v>
      </c>
      <c r="AS35" t="s">
        <v>808</v>
      </c>
      <c r="AT35" t="s">
        <v>128</v>
      </c>
      <c r="AU35">
        <v>2017</v>
      </c>
      <c r="AV35">
        <v>29</v>
      </c>
      <c r="AW35">
        <v>3</v>
      </c>
      <c r="AX35" t="s">
        <v>74</v>
      </c>
      <c r="AY35" t="s">
        <v>74</v>
      </c>
      <c r="AZ35" t="s">
        <v>74</v>
      </c>
      <c r="BA35" t="s">
        <v>74</v>
      </c>
      <c r="BB35">
        <v>265</v>
      </c>
      <c r="BC35">
        <v>276</v>
      </c>
      <c r="BD35" t="s">
        <v>74</v>
      </c>
      <c r="BE35" t="s">
        <v>856</v>
      </c>
      <c r="BF35" t="str">
        <f>HYPERLINK("http://dx.doi.org/10.1017/S0954102016000602","http://dx.doi.org/10.1017/S0954102016000602")</f>
        <v>http://dx.doi.org/10.1017/S0954102016000602</v>
      </c>
      <c r="BG35" t="s">
        <v>74</v>
      </c>
      <c r="BH35" t="s">
        <v>74</v>
      </c>
      <c r="BI35">
        <v>12</v>
      </c>
      <c r="BJ35" t="s">
        <v>810</v>
      </c>
      <c r="BK35" t="s">
        <v>103</v>
      </c>
      <c r="BL35" t="s">
        <v>811</v>
      </c>
      <c r="BM35" t="s">
        <v>812</v>
      </c>
      <c r="BN35" t="s">
        <v>74</v>
      </c>
      <c r="BO35" t="s">
        <v>74</v>
      </c>
      <c r="BP35" t="s">
        <v>74</v>
      </c>
      <c r="BQ35" t="s">
        <v>74</v>
      </c>
      <c r="BR35" t="s">
        <v>106</v>
      </c>
      <c r="BS35" t="s">
        <v>857</v>
      </c>
      <c r="BT35" t="str">
        <f>HYPERLINK("https%3A%2F%2Fwww.webofscience.com%2Fwos%2Fwoscc%2Ffull-record%2FWOS:000404282500008","View Full Record in Web of Science")</f>
        <v>View Full Record in Web of Science</v>
      </c>
    </row>
    <row r="36" spans="1:72" x14ac:dyDescent="0.15">
      <c r="A36" t="s">
        <v>72</v>
      </c>
      <c r="B36" t="s">
        <v>858</v>
      </c>
      <c r="C36" t="s">
        <v>74</v>
      </c>
      <c r="D36" t="s">
        <v>74</v>
      </c>
      <c r="E36" t="s">
        <v>74</v>
      </c>
      <c r="F36" t="s">
        <v>859</v>
      </c>
      <c r="G36" t="s">
        <v>74</v>
      </c>
      <c r="H36" t="s">
        <v>74</v>
      </c>
      <c r="I36" t="s">
        <v>860</v>
      </c>
      <c r="J36" t="s">
        <v>791</v>
      </c>
      <c r="K36" t="s">
        <v>74</v>
      </c>
      <c r="L36" t="s">
        <v>74</v>
      </c>
      <c r="M36" t="s">
        <v>78</v>
      </c>
      <c r="N36" t="s">
        <v>79</v>
      </c>
      <c r="O36" t="s">
        <v>74</v>
      </c>
      <c r="P36" t="s">
        <v>74</v>
      </c>
      <c r="Q36" t="s">
        <v>74</v>
      </c>
      <c r="R36" t="s">
        <v>74</v>
      </c>
      <c r="S36" t="s">
        <v>74</v>
      </c>
      <c r="T36" t="s">
        <v>861</v>
      </c>
      <c r="U36" t="s">
        <v>862</v>
      </c>
      <c r="V36" t="s">
        <v>863</v>
      </c>
      <c r="W36" t="s">
        <v>864</v>
      </c>
      <c r="X36" t="s">
        <v>865</v>
      </c>
      <c r="Y36" t="s">
        <v>866</v>
      </c>
      <c r="Z36" t="s">
        <v>867</v>
      </c>
      <c r="AA36" t="s">
        <v>868</v>
      </c>
      <c r="AB36" t="s">
        <v>869</v>
      </c>
      <c r="AC36" t="s">
        <v>870</v>
      </c>
      <c r="AD36" t="s">
        <v>871</v>
      </c>
      <c r="AE36" t="s">
        <v>872</v>
      </c>
      <c r="AF36" t="s">
        <v>74</v>
      </c>
      <c r="AG36">
        <v>40</v>
      </c>
      <c r="AH36">
        <v>44</v>
      </c>
      <c r="AI36">
        <v>47</v>
      </c>
      <c r="AJ36">
        <v>3</v>
      </c>
      <c r="AK36">
        <v>37</v>
      </c>
      <c r="AL36" t="s">
        <v>803</v>
      </c>
      <c r="AM36" t="s">
        <v>430</v>
      </c>
      <c r="AN36" t="s">
        <v>804</v>
      </c>
      <c r="AO36" t="s">
        <v>805</v>
      </c>
      <c r="AP36" t="s">
        <v>806</v>
      </c>
      <c r="AQ36" t="s">
        <v>74</v>
      </c>
      <c r="AR36" t="s">
        <v>807</v>
      </c>
      <c r="AS36" t="s">
        <v>808</v>
      </c>
      <c r="AT36" t="s">
        <v>128</v>
      </c>
      <c r="AU36">
        <v>2017</v>
      </c>
      <c r="AV36">
        <v>29</v>
      </c>
      <c r="AW36">
        <v>3</v>
      </c>
      <c r="AX36" t="s">
        <v>74</v>
      </c>
      <c r="AY36" t="s">
        <v>74</v>
      </c>
      <c r="AZ36" t="s">
        <v>74</v>
      </c>
      <c r="BA36" t="s">
        <v>74</v>
      </c>
      <c r="BB36">
        <v>277</v>
      </c>
      <c r="BC36">
        <v>291</v>
      </c>
      <c r="BD36" t="s">
        <v>74</v>
      </c>
      <c r="BE36" t="s">
        <v>873</v>
      </c>
      <c r="BF36" t="str">
        <f>HYPERLINK("http://dx.doi.org/10.1017/S095410201600064X","http://dx.doi.org/10.1017/S095410201600064X")</f>
        <v>http://dx.doi.org/10.1017/S095410201600064X</v>
      </c>
      <c r="BG36" t="s">
        <v>74</v>
      </c>
      <c r="BH36" t="s">
        <v>74</v>
      </c>
      <c r="BI36">
        <v>15</v>
      </c>
      <c r="BJ36" t="s">
        <v>810</v>
      </c>
      <c r="BK36" t="s">
        <v>103</v>
      </c>
      <c r="BL36" t="s">
        <v>811</v>
      </c>
      <c r="BM36" t="s">
        <v>812</v>
      </c>
      <c r="BN36" t="s">
        <v>74</v>
      </c>
      <c r="BO36" t="s">
        <v>74</v>
      </c>
      <c r="BP36" t="s">
        <v>74</v>
      </c>
      <c r="BQ36" t="s">
        <v>74</v>
      </c>
      <c r="BR36" t="s">
        <v>106</v>
      </c>
      <c r="BS36" t="s">
        <v>874</v>
      </c>
      <c r="BT36" t="str">
        <f>HYPERLINK("https%3A%2F%2Fwww.webofscience.com%2Fwos%2Fwoscc%2Ffull-record%2FWOS:000404282500009","View Full Record in Web of Science")</f>
        <v>View Full Record in Web of Science</v>
      </c>
    </row>
    <row r="37" spans="1:72" x14ac:dyDescent="0.15">
      <c r="A37" t="s">
        <v>72</v>
      </c>
      <c r="B37" t="s">
        <v>875</v>
      </c>
      <c r="C37" t="s">
        <v>74</v>
      </c>
      <c r="D37" t="s">
        <v>74</v>
      </c>
      <c r="E37" t="s">
        <v>74</v>
      </c>
      <c r="F37" t="s">
        <v>876</v>
      </c>
      <c r="G37" t="s">
        <v>74</v>
      </c>
      <c r="H37" t="s">
        <v>74</v>
      </c>
      <c r="I37" t="s">
        <v>877</v>
      </c>
      <c r="J37" t="s">
        <v>791</v>
      </c>
      <c r="K37" t="s">
        <v>74</v>
      </c>
      <c r="L37" t="s">
        <v>74</v>
      </c>
      <c r="M37" t="s">
        <v>78</v>
      </c>
      <c r="N37" t="s">
        <v>79</v>
      </c>
      <c r="O37" t="s">
        <v>74</v>
      </c>
      <c r="P37" t="s">
        <v>74</v>
      </c>
      <c r="Q37" t="s">
        <v>74</v>
      </c>
      <c r="R37" t="s">
        <v>74</v>
      </c>
      <c r="S37" t="s">
        <v>74</v>
      </c>
      <c r="T37" t="s">
        <v>878</v>
      </c>
      <c r="U37" t="s">
        <v>879</v>
      </c>
      <c r="V37" t="s">
        <v>880</v>
      </c>
      <c r="W37" t="s">
        <v>881</v>
      </c>
      <c r="X37" t="s">
        <v>882</v>
      </c>
      <c r="Y37" t="s">
        <v>883</v>
      </c>
      <c r="Z37" t="s">
        <v>884</v>
      </c>
      <c r="AA37" t="s">
        <v>885</v>
      </c>
      <c r="AB37" t="s">
        <v>886</v>
      </c>
      <c r="AC37" t="s">
        <v>887</v>
      </c>
      <c r="AD37" t="s">
        <v>888</v>
      </c>
      <c r="AE37" t="s">
        <v>889</v>
      </c>
      <c r="AF37" t="s">
        <v>74</v>
      </c>
      <c r="AG37">
        <v>33</v>
      </c>
      <c r="AH37">
        <v>10</v>
      </c>
      <c r="AI37">
        <v>13</v>
      </c>
      <c r="AJ37">
        <v>1</v>
      </c>
      <c r="AK37">
        <v>17</v>
      </c>
      <c r="AL37" t="s">
        <v>803</v>
      </c>
      <c r="AM37" t="s">
        <v>430</v>
      </c>
      <c r="AN37" t="s">
        <v>804</v>
      </c>
      <c r="AO37" t="s">
        <v>805</v>
      </c>
      <c r="AP37" t="s">
        <v>806</v>
      </c>
      <c r="AQ37" t="s">
        <v>74</v>
      </c>
      <c r="AR37" t="s">
        <v>807</v>
      </c>
      <c r="AS37" t="s">
        <v>808</v>
      </c>
      <c r="AT37" t="s">
        <v>128</v>
      </c>
      <c r="AU37">
        <v>2017</v>
      </c>
      <c r="AV37">
        <v>29</v>
      </c>
      <c r="AW37">
        <v>3</v>
      </c>
      <c r="AX37" t="s">
        <v>74</v>
      </c>
      <c r="AY37" t="s">
        <v>74</v>
      </c>
      <c r="AZ37" t="s">
        <v>74</v>
      </c>
      <c r="BA37" t="s">
        <v>74</v>
      </c>
      <c r="BB37">
        <v>292</v>
      </c>
      <c r="BC37">
        <v>296</v>
      </c>
      <c r="BD37" t="s">
        <v>74</v>
      </c>
      <c r="BE37" t="s">
        <v>890</v>
      </c>
      <c r="BF37" t="str">
        <f>HYPERLINK("http://dx.doi.org/10.1017/S0954102016000705","http://dx.doi.org/10.1017/S0954102016000705")</f>
        <v>http://dx.doi.org/10.1017/S0954102016000705</v>
      </c>
      <c r="BG37" t="s">
        <v>74</v>
      </c>
      <c r="BH37" t="s">
        <v>74</v>
      </c>
      <c r="BI37">
        <v>5</v>
      </c>
      <c r="BJ37" t="s">
        <v>810</v>
      </c>
      <c r="BK37" t="s">
        <v>103</v>
      </c>
      <c r="BL37" t="s">
        <v>811</v>
      </c>
      <c r="BM37" t="s">
        <v>812</v>
      </c>
      <c r="BN37" t="s">
        <v>74</v>
      </c>
      <c r="BO37" t="s">
        <v>74</v>
      </c>
      <c r="BP37" t="s">
        <v>74</v>
      </c>
      <c r="BQ37" t="s">
        <v>74</v>
      </c>
      <c r="BR37" t="s">
        <v>106</v>
      </c>
      <c r="BS37" t="s">
        <v>891</v>
      </c>
      <c r="BT37" t="str">
        <f>HYPERLINK("https%3A%2F%2Fwww.webofscience.com%2Fwos%2Fwoscc%2Ffull-record%2FWOS:000404282500010","View Full Record in Web of Science")</f>
        <v>View Full Record in Web of Science</v>
      </c>
    </row>
    <row r="38" spans="1:72" x14ac:dyDescent="0.15">
      <c r="A38" t="s">
        <v>72</v>
      </c>
      <c r="B38" t="s">
        <v>892</v>
      </c>
      <c r="C38" t="s">
        <v>74</v>
      </c>
      <c r="D38" t="s">
        <v>74</v>
      </c>
      <c r="E38" t="s">
        <v>74</v>
      </c>
      <c r="F38" t="s">
        <v>893</v>
      </c>
      <c r="G38" t="s">
        <v>74</v>
      </c>
      <c r="H38" t="s">
        <v>74</v>
      </c>
      <c r="I38" t="s">
        <v>894</v>
      </c>
      <c r="J38" t="s">
        <v>895</v>
      </c>
      <c r="K38" t="s">
        <v>74</v>
      </c>
      <c r="L38" t="s">
        <v>74</v>
      </c>
      <c r="M38" t="s">
        <v>78</v>
      </c>
      <c r="N38" t="s">
        <v>333</v>
      </c>
      <c r="O38" t="s">
        <v>896</v>
      </c>
      <c r="P38" t="s">
        <v>897</v>
      </c>
      <c r="Q38" t="s">
        <v>898</v>
      </c>
      <c r="R38" t="s">
        <v>74</v>
      </c>
      <c r="S38" t="s">
        <v>74</v>
      </c>
      <c r="T38" t="s">
        <v>899</v>
      </c>
      <c r="U38" t="s">
        <v>900</v>
      </c>
      <c r="V38" t="s">
        <v>901</v>
      </c>
      <c r="W38" t="s">
        <v>902</v>
      </c>
      <c r="X38" t="s">
        <v>903</v>
      </c>
      <c r="Y38" t="s">
        <v>904</v>
      </c>
      <c r="Z38" t="s">
        <v>905</v>
      </c>
      <c r="AA38" t="s">
        <v>906</v>
      </c>
      <c r="AB38" t="s">
        <v>907</v>
      </c>
      <c r="AC38" t="s">
        <v>908</v>
      </c>
      <c r="AD38" t="s">
        <v>909</v>
      </c>
      <c r="AE38" t="s">
        <v>910</v>
      </c>
      <c r="AF38" t="s">
        <v>74</v>
      </c>
      <c r="AG38">
        <v>65</v>
      </c>
      <c r="AH38">
        <v>27</v>
      </c>
      <c r="AI38">
        <v>37</v>
      </c>
      <c r="AJ38">
        <v>0</v>
      </c>
      <c r="AK38">
        <v>27</v>
      </c>
      <c r="AL38" t="s">
        <v>656</v>
      </c>
      <c r="AM38" t="s">
        <v>93</v>
      </c>
      <c r="AN38" t="s">
        <v>657</v>
      </c>
      <c r="AO38" t="s">
        <v>911</v>
      </c>
      <c r="AP38" t="s">
        <v>912</v>
      </c>
      <c r="AQ38" t="s">
        <v>74</v>
      </c>
      <c r="AR38" t="s">
        <v>913</v>
      </c>
      <c r="AS38" t="s">
        <v>914</v>
      </c>
      <c r="AT38" t="s">
        <v>128</v>
      </c>
      <c r="AU38">
        <v>2017</v>
      </c>
      <c r="AV38">
        <v>140</v>
      </c>
      <c r="AW38" t="s">
        <v>74</v>
      </c>
      <c r="AX38" t="s">
        <v>74</v>
      </c>
      <c r="AY38" t="s">
        <v>74</v>
      </c>
      <c r="AZ38" t="s">
        <v>100</v>
      </c>
      <c r="BA38" t="s">
        <v>74</v>
      </c>
      <c r="BB38">
        <v>36</v>
      </c>
      <c r="BC38">
        <v>44</v>
      </c>
      <c r="BD38" t="s">
        <v>74</v>
      </c>
      <c r="BE38" t="s">
        <v>915</v>
      </c>
      <c r="BF38" t="str">
        <f>HYPERLINK("http://dx.doi.org/10.1016/j.dsr2.2016.05.017","http://dx.doi.org/10.1016/j.dsr2.2016.05.017")</f>
        <v>http://dx.doi.org/10.1016/j.dsr2.2016.05.017</v>
      </c>
      <c r="BG38" t="s">
        <v>74</v>
      </c>
      <c r="BH38" t="s">
        <v>74</v>
      </c>
      <c r="BI38">
        <v>9</v>
      </c>
      <c r="BJ38" t="s">
        <v>127</v>
      </c>
      <c r="BK38" t="s">
        <v>354</v>
      </c>
      <c r="BL38" t="s">
        <v>127</v>
      </c>
      <c r="BM38" t="s">
        <v>916</v>
      </c>
      <c r="BN38" t="s">
        <v>74</v>
      </c>
      <c r="BO38" t="s">
        <v>384</v>
      </c>
      <c r="BP38" t="s">
        <v>74</v>
      </c>
      <c r="BQ38" t="s">
        <v>74</v>
      </c>
      <c r="BR38" t="s">
        <v>106</v>
      </c>
      <c r="BS38" t="s">
        <v>917</v>
      </c>
      <c r="BT38" t="str">
        <f>HYPERLINK("https%3A%2F%2Fwww.webofscience.com%2Fwos%2Fwoscc%2Ffull-record%2FWOS:000403513400005","View Full Record in Web of Science")</f>
        <v>View Full Record in Web of Science</v>
      </c>
    </row>
    <row r="39" spans="1:72" x14ac:dyDescent="0.15">
      <c r="A39" t="s">
        <v>72</v>
      </c>
      <c r="B39" t="s">
        <v>918</v>
      </c>
      <c r="C39" t="s">
        <v>74</v>
      </c>
      <c r="D39" t="s">
        <v>74</v>
      </c>
      <c r="E39" t="s">
        <v>74</v>
      </c>
      <c r="F39" t="s">
        <v>919</v>
      </c>
      <c r="G39" t="s">
        <v>74</v>
      </c>
      <c r="H39" t="s">
        <v>74</v>
      </c>
      <c r="I39" t="s">
        <v>920</v>
      </c>
      <c r="J39" t="s">
        <v>895</v>
      </c>
      <c r="K39" t="s">
        <v>74</v>
      </c>
      <c r="L39" t="s">
        <v>74</v>
      </c>
      <c r="M39" t="s">
        <v>78</v>
      </c>
      <c r="N39" t="s">
        <v>333</v>
      </c>
      <c r="O39" t="s">
        <v>896</v>
      </c>
      <c r="P39" t="s">
        <v>897</v>
      </c>
      <c r="Q39" t="s">
        <v>898</v>
      </c>
      <c r="R39" t="s">
        <v>74</v>
      </c>
      <c r="S39" t="s">
        <v>74</v>
      </c>
      <c r="T39" t="s">
        <v>74</v>
      </c>
      <c r="U39" t="s">
        <v>921</v>
      </c>
      <c r="V39" t="s">
        <v>922</v>
      </c>
      <c r="W39" t="s">
        <v>923</v>
      </c>
      <c r="X39" t="s">
        <v>924</v>
      </c>
      <c r="Y39" t="s">
        <v>925</v>
      </c>
      <c r="Z39" t="s">
        <v>926</v>
      </c>
      <c r="AA39" t="s">
        <v>927</v>
      </c>
      <c r="AB39" t="s">
        <v>928</v>
      </c>
      <c r="AC39" t="s">
        <v>929</v>
      </c>
      <c r="AD39" t="s">
        <v>930</v>
      </c>
      <c r="AE39" t="s">
        <v>931</v>
      </c>
      <c r="AF39" t="s">
        <v>74</v>
      </c>
      <c r="AG39">
        <v>90</v>
      </c>
      <c r="AH39">
        <v>17</v>
      </c>
      <c r="AI39">
        <v>17</v>
      </c>
      <c r="AJ39">
        <v>1</v>
      </c>
      <c r="AK39">
        <v>28</v>
      </c>
      <c r="AL39" t="s">
        <v>656</v>
      </c>
      <c r="AM39" t="s">
        <v>93</v>
      </c>
      <c r="AN39" t="s">
        <v>657</v>
      </c>
      <c r="AO39" t="s">
        <v>911</v>
      </c>
      <c r="AP39" t="s">
        <v>912</v>
      </c>
      <c r="AQ39" t="s">
        <v>74</v>
      </c>
      <c r="AR39" t="s">
        <v>913</v>
      </c>
      <c r="AS39" t="s">
        <v>914</v>
      </c>
      <c r="AT39" t="s">
        <v>128</v>
      </c>
      <c r="AU39">
        <v>2017</v>
      </c>
      <c r="AV39">
        <v>140</v>
      </c>
      <c r="AW39" t="s">
        <v>74</v>
      </c>
      <c r="AX39" t="s">
        <v>74</v>
      </c>
      <c r="AY39" t="s">
        <v>74</v>
      </c>
      <c r="AZ39" t="s">
        <v>100</v>
      </c>
      <c r="BA39" t="s">
        <v>74</v>
      </c>
      <c r="BB39">
        <v>212</v>
      </c>
      <c r="BC39">
        <v>221</v>
      </c>
      <c r="BD39" t="s">
        <v>74</v>
      </c>
      <c r="BE39" t="s">
        <v>932</v>
      </c>
      <c r="BF39" t="str">
        <f>HYPERLINK("http://dx.doi.org/10.1016/j.dsr2.2016.12.014","http://dx.doi.org/10.1016/j.dsr2.2016.12.014")</f>
        <v>http://dx.doi.org/10.1016/j.dsr2.2016.12.014</v>
      </c>
      <c r="BG39" t="s">
        <v>74</v>
      </c>
      <c r="BH39" t="s">
        <v>74</v>
      </c>
      <c r="BI39">
        <v>10</v>
      </c>
      <c r="BJ39" t="s">
        <v>127</v>
      </c>
      <c r="BK39" t="s">
        <v>354</v>
      </c>
      <c r="BL39" t="s">
        <v>127</v>
      </c>
      <c r="BM39" t="s">
        <v>916</v>
      </c>
      <c r="BN39" t="s">
        <v>74</v>
      </c>
      <c r="BO39" t="s">
        <v>74</v>
      </c>
      <c r="BP39" t="s">
        <v>74</v>
      </c>
      <c r="BQ39" t="s">
        <v>74</v>
      </c>
      <c r="BR39" t="s">
        <v>106</v>
      </c>
      <c r="BS39" t="s">
        <v>933</v>
      </c>
      <c r="BT39" t="str">
        <f>HYPERLINK("https%3A%2F%2Fwww.webofscience.com%2Fwos%2Fwoscc%2Ffull-record%2FWOS:000403513400021","View Full Record in Web of Science")</f>
        <v>View Full Record in Web of Science</v>
      </c>
    </row>
    <row r="40" spans="1:72" x14ac:dyDescent="0.15">
      <c r="A40" t="s">
        <v>72</v>
      </c>
      <c r="B40" t="s">
        <v>934</v>
      </c>
      <c r="C40" t="s">
        <v>74</v>
      </c>
      <c r="D40" t="s">
        <v>74</v>
      </c>
      <c r="E40" t="s">
        <v>74</v>
      </c>
      <c r="F40" t="s">
        <v>935</v>
      </c>
      <c r="G40" t="s">
        <v>74</v>
      </c>
      <c r="H40" t="s">
        <v>74</v>
      </c>
      <c r="I40" t="s">
        <v>936</v>
      </c>
      <c r="J40" t="s">
        <v>895</v>
      </c>
      <c r="K40" t="s">
        <v>74</v>
      </c>
      <c r="L40" t="s">
        <v>74</v>
      </c>
      <c r="M40" t="s">
        <v>78</v>
      </c>
      <c r="N40" t="s">
        <v>333</v>
      </c>
      <c r="O40" t="s">
        <v>896</v>
      </c>
      <c r="P40" t="s">
        <v>897</v>
      </c>
      <c r="Q40" t="s">
        <v>898</v>
      </c>
      <c r="R40" t="s">
        <v>74</v>
      </c>
      <c r="S40" t="s">
        <v>74</v>
      </c>
      <c r="T40" t="s">
        <v>937</v>
      </c>
      <c r="U40" t="s">
        <v>938</v>
      </c>
      <c r="V40" t="s">
        <v>939</v>
      </c>
      <c r="W40" t="s">
        <v>940</v>
      </c>
      <c r="X40" t="s">
        <v>941</v>
      </c>
      <c r="Y40" t="s">
        <v>942</v>
      </c>
      <c r="Z40" t="s">
        <v>943</v>
      </c>
      <c r="AA40" t="s">
        <v>944</v>
      </c>
      <c r="AB40" t="s">
        <v>945</v>
      </c>
      <c r="AC40" t="s">
        <v>74</v>
      </c>
      <c r="AD40" t="s">
        <v>74</v>
      </c>
      <c r="AE40" t="s">
        <v>74</v>
      </c>
      <c r="AF40" t="s">
        <v>74</v>
      </c>
      <c r="AG40">
        <v>61</v>
      </c>
      <c r="AH40">
        <v>12</v>
      </c>
      <c r="AI40">
        <v>12</v>
      </c>
      <c r="AJ40">
        <v>1</v>
      </c>
      <c r="AK40">
        <v>17</v>
      </c>
      <c r="AL40" t="s">
        <v>656</v>
      </c>
      <c r="AM40" t="s">
        <v>93</v>
      </c>
      <c r="AN40" t="s">
        <v>657</v>
      </c>
      <c r="AO40" t="s">
        <v>911</v>
      </c>
      <c r="AP40" t="s">
        <v>912</v>
      </c>
      <c r="AQ40" t="s">
        <v>74</v>
      </c>
      <c r="AR40" t="s">
        <v>913</v>
      </c>
      <c r="AS40" t="s">
        <v>914</v>
      </c>
      <c r="AT40" t="s">
        <v>128</v>
      </c>
      <c r="AU40">
        <v>2017</v>
      </c>
      <c r="AV40">
        <v>140</v>
      </c>
      <c r="AW40" t="s">
        <v>74</v>
      </c>
      <c r="AX40" t="s">
        <v>74</v>
      </c>
      <c r="AY40" t="s">
        <v>74</v>
      </c>
      <c r="AZ40" t="s">
        <v>100</v>
      </c>
      <c r="BA40" t="s">
        <v>74</v>
      </c>
      <c r="BB40">
        <v>242</v>
      </c>
      <c r="BC40">
        <v>250</v>
      </c>
      <c r="BD40" t="s">
        <v>74</v>
      </c>
      <c r="BE40" t="s">
        <v>946</v>
      </c>
      <c r="BF40" t="str">
        <f>HYPERLINK("http://dx.doi.org/10.1016/j.dsr2.2016.12.003","http://dx.doi.org/10.1016/j.dsr2.2016.12.003")</f>
        <v>http://dx.doi.org/10.1016/j.dsr2.2016.12.003</v>
      </c>
      <c r="BG40" t="s">
        <v>74</v>
      </c>
      <c r="BH40" t="s">
        <v>74</v>
      </c>
      <c r="BI40">
        <v>9</v>
      </c>
      <c r="BJ40" t="s">
        <v>127</v>
      </c>
      <c r="BK40" t="s">
        <v>354</v>
      </c>
      <c r="BL40" t="s">
        <v>127</v>
      </c>
      <c r="BM40" t="s">
        <v>916</v>
      </c>
      <c r="BN40" t="s">
        <v>74</v>
      </c>
      <c r="BO40" t="s">
        <v>74</v>
      </c>
      <c r="BP40" t="s">
        <v>74</v>
      </c>
      <c r="BQ40" t="s">
        <v>74</v>
      </c>
      <c r="BR40" t="s">
        <v>106</v>
      </c>
      <c r="BS40" t="s">
        <v>947</v>
      </c>
      <c r="BT40" t="str">
        <f>HYPERLINK("https%3A%2F%2Fwww.webofscience.com%2Fwos%2Fwoscc%2Ffull-record%2FWOS:000403513400024","View Full Record in Web of Science")</f>
        <v>View Full Record in Web of Science</v>
      </c>
    </row>
    <row r="41" spans="1:72" x14ac:dyDescent="0.15">
      <c r="A41" t="s">
        <v>72</v>
      </c>
      <c r="B41" t="s">
        <v>948</v>
      </c>
      <c r="C41" t="s">
        <v>74</v>
      </c>
      <c r="D41" t="s">
        <v>74</v>
      </c>
      <c r="E41" t="s">
        <v>74</v>
      </c>
      <c r="F41" t="s">
        <v>949</v>
      </c>
      <c r="G41" t="s">
        <v>74</v>
      </c>
      <c r="H41" t="s">
        <v>74</v>
      </c>
      <c r="I41" t="s">
        <v>950</v>
      </c>
      <c r="J41" t="s">
        <v>951</v>
      </c>
      <c r="K41" t="s">
        <v>74</v>
      </c>
      <c r="L41" t="s">
        <v>74</v>
      </c>
      <c r="M41" t="s">
        <v>78</v>
      </c>
      <c r="N41" t="s">
        <v>79</v>
      </c>
      <c r="O41" t="s">
        <v>74</v>
      </c>
      <c r="P41" t="s">
        <v>74</v>
      </c>
      <c r="Q41" t="s">
        <v>74</v>
      </c>
      <c r="R41" t="s">
        <v>74</v>
      </c>
      <c r="S41" t="s">
        <v>74</v>
      </c>
      <c r="T41" t="s">
        <v>74</v>
      </c>
      <c r="U41" t="s">
        <v>952</v>
      </c>
      <c r="V41" t="s">
        <v>953</v>
      </c>
      <c r="W41" t="s">
        <v>954</v>
      </c>
      <c r="X41" t="s">
        <v>955</v>
      </c>
      <c r="Y41" t="s">
        <v>956</v>
      </c>
      <c r="Z41" t="s">
        <v>957</v>
      </c>
      <c r="AA41" t="s">
        <v>958</v>
      </c>
      <c r="AB41" t="s">
        <v>959</v>
      </c>
      <c r="AC41" t="s">
        <v>960</v>
      </c>
      <c r="AD41" t="s">
        <v>961</v>
      </c>
      <c r="AE41" t="s">
        <v>962</v>
      </c>
      <c r="AF41" t="s">
        <v>74</v>
      </c>
      <c r="AG41">
        <v>118</v>
      </c>
      <c r="AH41">
        <v>26</v>
      </c>
      <c r="AI41">
        <v>28</v>
      </c>
      <c r="AJ41">
        <v>4</v>
      </c>
      <c r="AK41">
        <v>42</v>
      </c>
      <c r="AL41" t="s">
        <v>681</v>
      </c>
      <c r="AM41" t="s">
        <v>682</v>
      </c>
      <c r="AN41" t="s">
        <v>683</v>
      </c>
      <c r="AO41" t="s">
        <v>963</v>
      </c>
      <c r="AP41" t="s">
        <v>964</v>
      </c>
      <c r="AQ41" t="s">
        <v>74</v>
      </c>
      <c r="AR41" t="s">
        <v>965</v>
      </c>
      <c r="AS41" t="s">
        <v>966</v>
      </c>
      <c r="AT41" t="s">
        <v>128</v>
      </c>
      <c r="AU41">
        <v>2017</v>
      </c>
      <c r="AV41">
        <v>19</v>
      </c>
      <c r="AW41">
        <v>6</v>
      </c>
      <c r="AX41" t="s">
        <v>74</v>
      </c>
      <c r="AY41" t="s">
        <v>74</v>
      </c>
      <c r="AZ41" t="s">
        <v>100</v>
      </c>
      <c r="BA41" t="s">
        <v>74</v>
      </c>
      <c r="BB41">
        <v>2210</v>
      </c>
      <c r="BC41">
        <v>2227</v>
      </c>
      <c r="BD41" t="s">
        <v>74</v>
      </c>
      <c r="BE41" t="s">
        <v>967</v>
      </c>
      <c r="BF41" t="str">
        <f>HYPERLINK("http://dx.doi.org/10.1111/1462-2920.13705","http://dx.doi.org/10.1111/1462-2920.13705")</f>
        <v>http://dx.doi.org/10.1111/1462-2920.13705</v>
      </c>
      <c r="BG41" t="s">
        <v>74</v>
      </c>
      <c r="BH41" t="s">
        <v>74</v>
      </c>
      <c r="BI41">
        <v>18</v>
      </c>
      <c r="BJ41" t="s">
        <v>410</v>
      </c>
      <c r="BK41" t="s">
        <v>103</v>
      </c>
      <c r="BL41" t="s">
        <v>410</v>
      </c>
      <c r="BM41" t="s">
        <v>968</v>
      </c>
      <c r="BN41">
        <v>28217912</v>
      </c>
      <c r="BO41" t="s">
        <v>74</v>
      </c>
      <c r="BP41" t="s">
        <v>74</v>
      </c>
      <c r="BQ41" t="s">
        <v>74</v>
      </c>
      <c r="BR41" t="s">
        <v>106</v>
      </c>
      <c r="BS41" t="s">
        <v>969</v>
      </c>
      <c r="BT41" t="str">
        <f>HYPERLINK("https%3A%2F%2Fwww.webofscience.com%2Fwos%2Fwoscc%2Ffull-record%2FWOS:000404007700012","View Full Record in Web of Science")</f>
        <v>View Full Record in Web of Science</v>
      </c>
    </row>
    <row r="42" spans="1:72" x14ac:dyDescent="0.15">
      <c r="A42" t="s">
        <v>72</v>
      </c>
      <c r="B42" t="s">
        <v>970</v>
      </c>
      <c r="C42" t="s">
        <v>74</v>
      </c>
      <c r="D42" t="s">
        <v>74</v>
      </c>
      <c r="E42" t="s">
        <v>74</v>
      </c>
      <c r="F42" t="s">
        <v>971</v>
      </c>
      <c r="G42" t="s">
        <v>74</v>
      </c>
      <c r="H42" t="s">
        <v>74</v>
      </c>
      <c r="I42" t="s">
        <v>972</v>
      </c>
      <c r="J42" t="s">
        <v>973</v>
      </c>
      <c r="K42" t="s">
        <v>74</v>
      </c>
      <c r="L42" t="s">
        <v>74</v>
      </c>
      <c r="M42" t="s">
        <v>78</v>
      </c>
      <c r="N42" t="s">
        <v>79</v>
      </c>
      <c r="O42" t="s">
        <v>74</v>
      </c>
      <c r="P42" t="s">
        <v>74</v>
      </c>
      <c r="Q42" t="s">
        <v>74</v>
      </c>
      <c r="R42" t="s">
        <v>74</v>
      </c>
      <c r="S42" t="s">
        <v>74</v>
      </c>
      <c r="T42" t="s">
        <v>974</v>
      </c>
      <c r="U42" t="s">
        <v>975</v>
      </c>
      <c r="V42" t="s">
        <v>976</v>
      </c>
      <c r="W42" t="s">
        <v>977</v>
      </c>
      <c r="X42" t="s">
        <v>978</v>
      </c>
      <c r="Y42" t="s">
        <v>979</v>
      </c>
      <c r="Z42" t="s">
        <v>980</v>
      </c>
      <c r="AA42" t="s">
        <v>981</v>
      </c>
      <c r="AB42" t="s">
        <v>982</v>
      </c>
      <c r="AC42" t="s">
        <v>983</v>
      </c>
      <c r="AD42" t="s">
        <v>984</v>
      </c>
      <c r="AE42" t="s">
        <v>985</v>
      </c>
      <c r="AF42" t="s">
        <v>74</v>
      </c>
      <c r="AG42">
        <v>42</v>
      </c>
      <c r="AH42">
        <v>29</v>
      </c>
      <c r="AI42">
        <v>32</v>
      </c>
      <c r="AJ42">
        <v>1</v>
      </c>
      <c r="AK42">
        <v>24</v>
      </c>
      <c r="AL42" t="s">
        <v>986</v>
      </c>
      <c r="AM42" t="s">
        <v>430</v>
      </c>
      <c r="AN42" t="s">
        <v>987</v>
      </c>
      <c r="AO42" t="s">
        <v>988</v>
      </c>
      <c r="AP42" t="s">
        <v>989</v>
      </c>
      <c r="AQ42" t="s">
        <v>74</v>
      </c>
      <c r="AR42" t="s">
        <v>973</v>
      </c>
      <c r="AS42" t="s">
        <v>990</v>
      </c>
      <c r="AT42" t="s">
        <v>128</v>
      </c>
      <c r="AU42">
        <v>2017</v>
      </c>
      <c r="AV42">
        <v>184</v>
      </c>
      <c r="AW42">
        <v>2</v>
      </c>
      <c r="AX42" t="s">
        <v>74</v>
      </c>
      <c r="AY42" t="s">
        <v>74</v>
      </c>
      <c r="AZ42" t="s">
        <v>74</v>
      </c>
      <c r="BA42" t="s">
        <v>74</v>
      </c>
      <c r="BB42">
        <v>341</v>
      </c>
      <c r="BC42">
        <v>350</v>
      </c>
      <c r="BD42" t="s">
        <v>74</v>
      </c>
      <c r="BE42" t="s">
        <v>991</v>
      </c>
      <c r="BF42" t="str">
        <f>HYPERLINK("http://dx.doi.org/10.1007/s00442-017-3887-3","http://dx.doi.org/10.1007/s00442-017-3887-3")</f>
        <v>http://dx.doi.org/10.1007/s00442-017-3887-3</v>
      </c>
      <c r="BG42" t="s">
        <v>74</v>
      </c>
      <c r="BH42" t="s">
        <v>74</v>
      </c>
      <c r="BI42">
        <v>10</v>
      </c>
      <c r="BJ42" t="s">
        <v>992</v>
      </c>
      <c r="BK42" t="s">
        <v>103</v>
      </c>
      <c r="BL42" t="s">
        <v>993</v>
      </c>
      <c r="BM42" t="s">
        <v>994</v>
      </c>
      <c r="BN42">
        <v>28547179</v>
      </c>
      <c r="BO42" t="s">
        <v>995</v>
      </c>
      <c r="BP42" t="s">
        <v>74</v>
      </c>
      <c r="BQ42" t="s">
        <v>74</v>
      </c>
      <c r="BR42" t="s">
        <v>106</v>
      </c>
      <c r="BS42" t="s">
        <v>996</v>
      </c>
      <c r="BT42" t="str">
        <f>HYPERLINK("https%3A%2F%2Fwww.webofscience.com%2Fwos%2Fwoscc%2Ffull-record%2FWOS:000403483100005","View Full Record in Web of Science")</f>
        <v>View Full Record in Web of Science</v>
      </c>
    </row>
    <row r="43" spans="1:72" x14ac:dyDescent="0.15">
      <c r="A43" t="s">
        <v>72</v>
      </c>
      <c r="B43" t="s">
        <v>997</v>
      </c>
      <c r="C43" t="s">
        <v>74</v>
      </c>
      <c r="D43" t="s">
        <v>74</v>
      </c>
      <c r="E43" t="s">
        <v>74</v>
      </c>
      <c r="F43" t="s">
        <v>998</v>
      </c>
      <c r="G43" t="s">
        <v>74</v>
      </c>
      <c r="H43" t="s">
        <v>74</v>
      </c>
      <c r="I43" t="s">
        <v>999</v>
      </c>
      <c r="J43" t="s">
        <v>1000</v>
      </c>
      <c r="K43" t="s">
        <v>74</v>
      </c>
      <c r="L43" t="s">
        <v>74</v>
      </c>
      <c r="M43" t="s">
        <v>78</v>
      </c>
      <c r="N43" t="s">
        <v>79</v>
      </c>
      <c r="O43" t="s">
        <v>74</v>
      </c>
      <c r="P43" t="s">
        <v>74</v>
      </c>
      <c r="Q43" t="s">
        <v>74</v>
      </c>
      <c r="R43" t="s">
        <v>74</v>
      </c>
      <c r="S43" t="s">
        <v>74</v>
      </c>
      <c r="T43" t="s">
        <v>1001</v>
      </c>
      <c r="U43" t="s">
        <v>1002</v>
      </c>
      <c r="V43" t="s">
        <v>1003</v>
      </c>
      <c r="W43" t="s">
        <v>1004</v>
      </c>
      <c r="X43" t="s">
        <v>1005</v>
      </c>
      <c r="Y43" t="s">
        <v>1006</v>
      </c>
      <c r="Z43" t="s">
        <v>1007</v>
      </c>
      <c r="AA43" t="s">
        <v>1008</v>
      </c>
      <c r="AB43" t="s">
        <v>1009</v>
      </c>
      <c r="AC43" t="s">
        <v>1010</v>
      </c>
      <c r="AD43" t="s">
        <v>1011</v>
      </c>
      <c r="AE43" t="s">
        <v>1012</v>
      </c>
      <c r="AF43" t="s">
        <v>74</v>
      </c>
      <c r="AG43">
        <v>58</v>
      </c>
      <c r="AH43">
        <v>13</v>
      </c>
      <c r="AI43">
        <v>13</v>
      </c>
      <c r="AJ43">
        <v>0</v>
      </c>
      <c r="AK43">
        <v>26</v>
      </c>
      <c r="AL43" t="s">
        <v>986</v>
      </c>
      <c r="AM43" t="s">
        <v>430</v>
      </c>
      <c r="AN43" t="s">
        <v>987</v>
      </c>
      <c r="AO43" t="s">
        <v>1013</v>
      </c>
      <c r="AP43" t="s">
        <v>1014</v>
      </c>
      <c r="AQ43" t="s">
        <v>74</v>
      </c>
      <c r="AR43" t="s">
        <v>1015</v>
      </c>
      <c r="AS43" t="s">
        <v>1016</v>
      </c>
      <c r="AT43" t="s">
        <v>128</v>
      </c>
      <c r="AU43">
        <v>2017</v>
      </c>
      <c r="AV43">
        <v>40</v>
      </c>
      <c r="AW43">
        <v>6</v>
      </c>
      <c r="AX43" t="s">
        <v>74</v>
      </c>
      <c r="AY43" t="s">
        <v>74</v>
      </c>
      <c r="AZ43" t="s">
        <v>74</v>
      </c>
      <c r="BA43" t="s">
        <v>74</v>
      </c>
      <c r="BB43">
        <v>1261</v>
      </c>
      <c r="BC43">
        <v>1276</v>
      </c>
      <c r="BD43" t="s">
        <v>74</v>
      </c>
      <c r="BE43" t="s">
        <v>1017</v>
      </c>
      <c r="BF43" t="str">
        <f>HYPERLINK("http://dx.doi.org/10.1007/s00300-016-2051-6","http://dx.doi.org/10.1007/s00300-016-2051-6")</f>
        <v>http://dx.doi.org/10.1007/s00300-016-2051-6</v>
      </c>
      <c r="BG43" t="s">
        <v>74</v>
      </c>
      <c r="BH43" t="s">
        <v>74</v>
      </c>
      <c r="BI43">
        <v>16</v>
      </c>
      <c r="BJ43" t="s">
        <v>1018</v>
      </c>
      <c r="BK43" t="s">
        <v>103</v>
      </c>
      <c r="BL43" t="s">
        <v>326</v>
      </c>
      <c r="BM43" t="s">
        <v>1019</v>
      </c>
      <c r="BN43" t="s">
        <v>74</v>
      </c>
      <c r="BO43" t="s">
        <v>74</v>
      </c>
      <c r="BP43" t="s">
        <v>74</v>
      </c>
      <c r="BQ43" t="s">
        <v>74</v>
      </c>
      <c r="BR43" t="s">
        <v>106</v>
      </c>
      <c r="BS43" t="s">
        <v>1020</v>
      </c>
      <c r="BT43" t="str">
        <f>HYPERLINK("https%3A%2F%2Fwww.webofscience.com%2Fwos%2Fwoscc%2Ffull-record%2FWOS:000403470300007","View Full Record in Web of Science")</f>
        <v>View Full Record in Web of Science</v>
      </c>
    </row>
    <row r="44" spans="1:72" x14ac:dyDescent="0.15">
      <c r="A44" t="s">
        <v>72</v>
      </c>
      <c r="B44" t="s">
        <v>1021</v>
      </c>
      <c r="C44" t="s">
        <v>74</v>
      </c>
      <c r="D44" t="s">
        <v>74</v>
      </c>
      <c r="E44" t="s">
        <v>74</v>
      </c>
      <c r="F44" t="s">
        <v>1022</v>
      </c>
      <c r="G44" t="s">
        <v>74</v>
      </c>
      <c r="H44" t="s">
        <v>74</v>
      </c>
      <c r="I44" t="s">
        <v>1023</v>
      </c>
      <c r="J44" t="s">
        <v>1000</v>
      </c>
      <c r="K44" t="s">
        <v>74</v>
      </c>
      <c r="L44" t="s">
        <v>74</v>
      </c>
      <c r="M44" t="s">
        <v>78</v>
      </c>
      <c r="N44" t="s">
        <v>79</v>
      </c>
      <c r="O44" t="s">
        <v>74</v>
      </c>
      <c r="P44" t="s">
        <v>74</v>
      </c>
      <c r="Q44" t="s">
        <v>74</v>
      </c>
      <c r="R44" t="s">
        <v>74</v>
      </c>
      <c r="S44" t="s">
        <v>74</v>
      </c>
      <c r="T44" t="s">
        <v>1024</v>
      </c>
      <c r="U44" t="s">
        <v>1025</v>
      </c>
      <c r="V44" t="s">
        <v>1026</v>
      </c>
      <c r="W44" t="s">
        <v>1027</v>
      </c>
      <c r="X44" t="s">
        <v>1028</v>
      </c>
      <c r="Y44" t="s">
        <v>1029</v>
      </c>
      <c r="Z44" t="s">
        <v>1030</v>
      </c>
      <c r="AA44" t="s">
        <v>1031</v>
      </c>
      <c r="AB44" t="s">
        <v>1032</v>
      </c>
      <c r="AC44" t="s">
        <v>1033</v>
      </c>
      <c r="AD44" t="s">
        <v>1034</v>
      </c>
      <c r="AE44" t="s">
        <v>1035</v>
      </c>
      <c r="AF44" t="s">
        <v>74</v>
      </c>
      <c r="AG44">
        <v>56</v>
      </c>
      <c r="AH44">
        <v>7</v>
      </c>
      <c r="AI44">
        <v>9</v>
      </c>
      <c r="AJ44">
        <v>0</v>
      </c>
      <c r="AK44">
        <v>11</v>
      </c>
      <c r="AL44" t="s">
        <v>986</v>
      </c>
      <c r="AM44" t="s">
        <v>430</v>
      </c>
      <c r="AN44" t="s">
        <v>987</v>
      </c>
      <c r="AO44" t="s">
        <v>1013</v>
      </c>
      <c r="AP44" t="s">
        <v>1014</v>
      </c>
      <c r="AQ44" t="s">
        <v>74</v>
      </c>
      <c r="AR44" t="s">
        <v>1015</v>
      </c>
      <c r="AS44" t="s">
        <v>1016</v>
      </c>
      <c r="AT44" t="s">
        <v>128</v>
      </c>
      <c r="AU44">
        <v>2017</v>
      </c>
      <c r="AV44">
        <v>40</v>
      </c>
      <c r="AW44">
        <v>6</v>
      </c>
      <c r="AX44" t="s">
        <v>74</v>
      </c>
      <c r="AY44" t="s">
        <v>74</v>
      </c>
      <c r="AZ44" t="s">
        <v>74</v>
      </c>
      <c r="BA44" t="s">
        <v>74</v>
      </c>
      <c r="BB44">
        <v>1311</v>
      </c>
      <c r="BC44">
        <v>1318</v>
      </c>
      <c r="BD44" t="s">
        <v>74</v>
      </c>
      <c r="BE44" t="s">
        <v>1036</v>
      </c>
      <c r="BF44" t="str">
        <f>HYPERLINK("http://dx.doi.org/10.1007/s00300-016-2055-2","http://dx.doi.org/10.1007/s00300-016-2055-2")</f>
        <v>http://dx.doi.org/10.1007/s00300-016-2055-2</v>
      </c>
      <c r="BG44" t="s">
        <v>74</v>
      </c>
      <c r="BH44" t="s">
        <v>74</v>
      </c>
      <c r="BI44">
        <v>8</v>
      </c>
      <c r="BJ44" t="s">
        <v>1018</v>
      </c>
      <c r="BK44" t="s">
        <v>103</v>
      </c>
      <c r="BL44" t="s">
        <v>326</v>
      </c>
      <c r="BM44" t="s">
        <v>1019</v>
      </c>
      <c r="BN44" t="s">
        <v>74</v>
      </c>
      <c r="BO44" t="s">
        <v>74</v>
      </c>
      <c r="BP44" t="s">
        <v>74</v>
      </c>
      <c r="BQ44" t="s">
        <v>74</v>
      </c>
      <c r="BR44" t="s">
        <v>106</v>
      </c>
      <c r="BS44" t="s">
        <v>1037</v>
      </c>
      <c r="BT44" t="str">
        <f>HYPERLINK("https%3A%2F%2Fwww.webofscience.com%2Fwos%2Fwoscc%2Ffull-record%2FWOS:000403470300010","View Full Record in Web of Science")</f>
        <v>View Full Record in Web of Science</v>
      </c>
    </row>
    <row r="45" spans="1:72" x14ac:dyDescent="0.15">
      <c r="A45" t="s">
        <v>72</v>
      </c>
      <c r="B45" t="s">
        <v>1038</v>
      </c>
      <c r="C45" t="s">
        <v>74</v>
      </c>
      <c r="D45" t="s">
        <v>74</v>
      </c>
      <c r="E45" t="s">
        <v>74</v>
      </c>
      <c r="F45" t="s">
        <v>1039</v>
      </c>
      <c r="G45" t="s">
        <v>74</v>
      </c>
      <c r="H45" t="s">
        <v>74</v>
      </c>
      <c r="I45" t="s">
        <v>1040</v>
      </c>
      <c r="J45" t="s">
        <v>1000</v>
      </c>
      <c r="K45" t="s">
        <v>74</v>
      </c>
      <c r="L45" t="s">
        <v>74</v>
      </c>
      <c r="M45" t="s">
        <v>78</v>
      </c>
      <c r="N45" t="s">
        <v>1041</v>
      </c>
      <c r="O45" t="s">
        <v>74</v>
      </c>
      <c r="P45" t="s">
        <v>74</v>
      </c>
      <c r="Q45" t="s">
        <v>74</v>
      </c>
      <c r="R45" t="s">
        <v>74</v>
      </c>
      <c r="S45" t="s">
        <v>74</v>
      </c>
      <c r="T45" t="s">
        <v>74</v>
      </c>
      <c r="U45" t="s">
        <v>74</v>
      </c>
      <c r="V45" t="s">
        <v>74</v>
      </c>
      <c r="W45" t="s">
        <v>1042</v>
      </c>
      <c r="X45" t="s">
        <v>1043</v>
      </c>
      <c r="Y45" t="s">
        <v>1044</v>
      </c>
      <c r="Z45" t="s">
        <v>1045</v>
      </c>
      <c r="AA45" t="s">
        <v>1046</v>
      </c>
      <c r="AB45" t="s">
        <v>1047</v>
      </c>
      <c r="AC45" t="s">
        <v>74</v>
      </c>
      <c r="AD45" t="s">
        <v>74</v>
      </c>
      <c r="AE45" t="s">
        <v>74</v>
      </c>
      <c r="AF45" t="s">
        <v>74</v>
      </c>
      <c r="AG45">
        <v>1</v>
      </c>
      <c r="AH45">
        <v>0</v>
      </c>
      <c r="AI45">
        <v>0</v>
      </c>
      <c r="AJ45">
        <v>1</v>
      </c>
      <c r="AK45">
        <v>10</v>
      </c>
      <c r="AL45" t="s">
        <v>986</v>
      </c>
      <c r="AM45" t="s">
        <v>430</v>
      </c>
      <c r="AN45" t="s">
        <v>987</v>
      </c>
      <c r="AO45" t="s">
        <v>1013</v>
      </c>
      <c r="AP45" t="s">
        <v>1014</v>
      </c>
      <c r="AQ45" t="s">
        <v>74</v>
      </c>
      <c r="AR45" t="s">
        <v>1015</v>
      </c>
      <c r="AS45" t="s">
        <v>1016</v>
      </c>
      <c r="AT45" t="s">
        <v>128</v>
      </c>
      <c r="AU45">
        <v>2017</v>
      </c>
      <c r="AV45">
        <v>40</v>
      </c>
      <c r="AW45">
        <v>6</v>
      </c>
      <c r="AX45" t="s">
        <v>74</v>
      </c>
      <c r="AY45" t="s">
        <v>74</v>
      </c>
      <c r="AZ45" t="s">
        <v>74</v>
      </c>
      <c r="BA45" t="s">
        <v>74</v>
      </c>
      <c r="BB45">
        <v>1333</v>
      </c>
      <c r="BC45">
        <v>1334</v>
      </c>
      <c r="BD45" t="s">
        <v>74</v>
      </c>
      <c r="BE45" t="s">
        <v>1048</v>
      </c>
      <c r="BF45" t="str">
        <f>HYPERLINK("http://dx.doi.org/10.1007/s00300-016-2038-3","http://dx.doi.org/10.1007/s00300-016-2038-3")</f>
        <v>http://dx.doi.org/10.1007/s00300-016-2038-3</v>
      </c>
      <c r="BG45" t="s">
        <v>74</v>
      </c>
      <c r="BH45" t="s">
        <v>74</v>
      </c>
      <c r="BI45">
        <v>2</v>
      </c>
      <c r="BJ45" t="s">
        <v>1018</v>
      </c>
      <c r="BK45" t="s">
        <v>103</v>
      </c>
      <c r="BL45" t="s">
        <v>326</v>
      </c>
      <c r="BM45" t="s">
        <v>1019</v>
      </c>
      <c r="BN45" t="s">
        <v>74</v>
      </c>
      <c r="BO45" t="s">
        <v>412</v>
      </c>
      <c r="BP45" t="s">
        <v>74</v>
      </c>
      <c r="BQ45" t="s">
        <v>74</v>
      </c>
      <c r="BR45" t="s">
        <v>106</v>
      </c>
      <c r="BS45" t="s">
        <v>1049</v>
      </c>
      <c r="BT45" t="str">
        <f>HYPERLINK("https%3A%2F%2Fwww.webofscience.com%2Fwos%2Fwoscc%2Ffull-record%2FWOS:000403470300012","View Full Record in Web of Science")</f>
        <v>View Full Record in Web of Science</v>
      </c>
    </row>
    <row r="46" spans="1:72" x14ac:dyDescent="0.15">
      <c r="A46" t="s">
        <v>72</v>
      </c>
      <c r="B46" t="s">
        <v>1050</v>
      </c>
      <c r="C46" t="s">
        <v>74</v>
      </c>
      <c r="D46" t="s">
        <v>74</v>
      </c>
      <c r="E46" t="s">
        <v>74</v>
      </c>
      <c r="F46" t="s">
        <v>1051</v>
      </c>
      <c r="G46" t="s">
        <v>74</v>
      </c>
      <c r="H46" t="s">
        <v>74</v>
      </c>
      <c r="I46" t="s">
        <v>1052</v>
      </c>
      <c r="J46" t="s">
        <v>1053</v>
      </c>
      <c r="K46" t="s">
        <v>74</v>
      </c>
      <c r="L46" t="s">
        <v>74</v>
      </c>
      <c r="M46" t="s">
        <v>78</v>
      </c>
      <c r="N46" t="s">
        <v>79</v>
      </c>
      <c r="O46" t="s">
        <v>74</v>
      </c>
      <c r="P46" t="s">
        <v>74</v>
      </c>
      <c r="Q46" t="s">
        <v>74</v>
      </c>
      <c r="R46" t="s">
        <v>74</v>
      </c>
      <c r="S46" t="s">
        <v>74</v>
      </c>
      <c r="T46" t="s">
        <v>1054</v>
      </c>
      <c r="U46" t="s">
        <v>1055</v>
      </c>
      <c r="V46" t="s">
        <v>1056</v>
      </c>
      <c r="W46" t="s">
        <v>1057</v>
      </c>
      <c r="X46" t="s">
        <v>1058</v>
      </c>
      <c r="Y46" t="s">
        <v>1059</v>
      </c>
      <c r="Z46" t="s">
        <v>1060</v>
      </c>
      <c r="AA46" t="s">
        <v>1061</v>
      </c>
      <c r="AB46" t="s">
        <v>1062</v>
      </c>
      <c r="AC46" t="s">
        <v>1063</v>
      </c>
      <c r="AD46" t="s">
        <v>1064</v>
      </c>
      <c r="AE46" t="s">
        <v>1065</v>
      </c>
      <c r="AF46" t="s">
        <v>74</v>
      </c>
      <c r="AG46">
        <v>57</v>
      </c>
      <c r="AH46">
        <v>14</v>
      </c>
      <c r="AI46">
        <v>14</v>
      </c>
      <c r="AJ46">
        <v>3</v>
      </c>
      <c r="AK46">
        <v>29</v>
      </c>
      <c r="AL46" t="s">
        <v>1066</v>
      </c>
      <c r="AM46" t="s">
        <v>1067</v>
      </c>
      <c r="AN46" t="s">
        <v>1068</v>
      </c>
      <c r="AO46" t="s">
        <v>1069</v>
      </c>
      <c r="AP46" t="s">
        <v>1070</v>
      </c>
      <c r="AQ46" t="s">
        <v>74</v>
      </c>
      <c r="AR46" t="s">
        <v>1071</v>
      </c>
      <c r="AS46" t="s">
        <v>1072</v>
      </c>
      <c r="AT46" t="s">
        <v>128</v>
      </c>
      <c r="AU46">
        <v>2017</v>
      </c>
      <c r="AV46">
        <v>40</v>
      </c>
      <c r="AW46">
        <v>4</v>
      </c>
      <c r="AX46" t="s">
        <v>74</v>
      </c>
      <c r="AY46" t="s">
        <v>74</v>
      </c>
      <c r="AZ46" t="s">
        <v>74</v>
      </c>
      <c r="BA46" t="s">
        <v>74</v>
      </c>
      <c r="BB46">
        <v>191</v>
      </c>
      <c r="BC46">
        <v>198</v>
      </c>
      <c r="BD46" t="s">
        <v>74</v>
      </c>
      <c r="BE46" t="s">
        <v>1073</v>
      </c>
      <c r="BF46" t="str">
        <f>HYPERLINK("http://dx.doi.org/10.1016/j.syapm.2017.03.002","http://dx.doi.org/10.1016/j.syapm.2017.03.002")</f>
        <v>http://dx.doi.org/10.1016/j.syapm.2017.03.002</v>
      </c>
      <c r="BG46" t="s">
        <v>74</v>
      </c>
      <c r="BH46" t="s">
        <v>74</v>
      </c>
      <c r="BI46">
        <v>8</v>
      </c>
      <c r="BJ46" t="s">
        <v>1074</v>
      </c>
      <c r="BK46" t="s">
        <v>103</v>
      </c>
      <c r="BL46" t="s">
        <v>1074</v>
      </c>
      <c r="BM46" t="s">
        <v>1075</v>
      </c>
      <c r="BN46">
        <v>28501448</v>
      </c>
      <c r="BO46" t="s">
        <v>664</v>
      </c>
      <c r="BP46" t="s">
        <v>74</v>
      </c>
      <c r="BQ46" t="s">
        <v>74</v>
      </c>
      <c r="BR46" t="s">
        <v>106</v>
      </c>
      <c r="BS46" t="s">
        <v>1076</v>
      </c>
      <c r="BT46" t="str">
        <f>HYPERLINK("https%3A%2F%2Fwww.webofscience.com%2Fwos%2Fwoscc%2Ffull-record%2FWOS:000403634400001","View Full Record in Web of Science")</f>
        <v>View Full Record in Web of Science</v>
      </c>
    </row>
    <row r="47" spans="1:72" x14ac:dyDescent="0.15">
      <c r="A47" t="s">
        <v>72</v>
      </c>
      <c r="B47" t="s">
        <v>1077</v>
      </c>
      <c r="C47" t="s">
        <v>74</v>
      </c>
      <c r="D47" t="s">
        <v>74</v>
      </c>
      <c r="E47" t="s">
        <v>74</v>
      </c>
      <c r="F47" t="s">
        <v>1078</v>
      </c>
      <c r="G47" t="s">
        <v>74</v>
      </c>
      <c r="H47" t="s">
        <v>74</v>
      </c>
      <c r="I47" t="s">
        <v>1079</v>
      </c>
      <c r="J47" t="s">
        <v>1080</v>
      </c>
      <c r="K47" t="s">
        <v>74</v>
      </c>
      <c r="L47" t="s">
        <v>74</v>
      </c>
      <c r="M47" t="s">
        <v>78</v>
      </c>
      <c r="N47" t="s">
        <v>79</v>
      </c>
      <c r="O47" t="s">
        <v>74</v>
      </c>
      <c r="P47" t="s">
        <v>74</v>
      </c>
      <c r="Q47" t="s">
        <v>74</v>
      </c>
      <c r="R47" t="s">
        <v>74</v>
      </c>
      <c r="S47" t="s">
        <v>74</v>
      </c>
      <c r="T47" t="s">
        <v>1081</v>
      </c>
      <c r="U47" t="s">
        <v>1082</v>
      </c>
      <c r="V47" t="s">
        <v>1083</v>
      </c>
      <c r="W47" t="s">
        <v>1084</v>
      </c>
      <c r="X47" t="s">
        <v>1085</v>
      </c>
      <c r="Y47" t="s">
        <v>1086</v>
      </c>
      <c r="Z47" t="s">
        <v>1087</v>
      </c>
      <c r="AA47" t="s">
        <v>1088</v>
      </c>
      <c r="AB47" t="s">
        <v>1089</v>
      </c>
      <c r="AC47" t="s">
        <v>1090</v>
      </c>
      <c r="AD47" t="s">
        <v>1091</v>
      </c>
      <c r="AE47" t="s">
        <v>1092</v>
      </c>
      <c r="AF47" t="s">
        <v>74</v>
      </c>
      <c r="AG47">
        <v>35</v>
      </c>
      <c r="AH47">
        <v>6</v>
      </c>
      <c r="AI47">
        <v>7</v>
      </c>
      <c r="AJ47">
        <v>1</v>
      </c>
      <c r="AK47">
        <v>10</v>
      </c>
      <c r="AL47" t="s">
        <v>681</v>
      </c>
      <c r="AM47" t="s">
        <v>682</v>
      </c>
      <c r="AN47" t="s">
        <v>683</v>
      </c>
      <c r="AO47" t="s">
        <v>1093</v>
      </c>
      <c r="AP47" t="s">
        <v>1094</v>
      </c>
      <c r="AQ47" t="s">
        <v>74</v>
      </c>
      <c r="AR47" t="s">
        <v>1080</v>
      </c>
      <c r="AS47" t="s">
        <v>1095</v>
      </c>
      <c r="AT47" t="s">
        <v>128</v>
      </c>
      <c r="AU47">
        <v>2017</v>
      </c>
      <c r="AV47">
        <v>73</v>
      </c>
      <c r="AW47">
        <v>2</v>
      </c>
      <c r="AX47" t="s">
        <v>74</v>
      </c>
      <c r="AY47" t="s">
        <v>74</v>
      </c>
      <c r="AZ47" t="s">
        <v>74</v>
      </c>
      <c r="BA47" t="s">
        <v>74</v>
      </c>
      <c r="BB47">
        <v>593</v>
      </c>
      <c r="BC47">
        <v>602</v>
      </c>
      <c r="BD47" t="s">
        <v>74</v>
      </c>
      <c r="BE47" t="s">
        <v>1096</v>
      </c>
      <c r="BF47" t="str">
        <f>HYPERLINK("http://dx.doi.org/10.1111/biom.12581","http://dx.doi.org/10.1111/biom.12581")</f>
        <v>http://dx.doi.org/10.1111/biom.12581</v>
      </c>
      <c r="BG47" t="s">
        <v>74</v>
      </c>
      <c r="BH47" t="s">
        <v>74</v>
      </c>
      <c r="BI47">
        <v>10</v>
      </c>
      <c r="BJ47" t="s">
        <v>1097</v>
      </c>
      <c r="BK47" t="s">
        <v>103</v>
      </c>
      <c r="BL47" t="s">
        <v>1098</v>
      </c>
      <c r="BM47" t="s">
        <v>1099</v>
      </c>
      <c r="BN47">
        <v>27753074</v>
      </c>
      <c r="BO47" t="s">
        <v>1100</v>
      </c>
      <c r="BP47" t="s">
        <v>74</v>
      </c>
      <c r="BQ47" t="s">
        <v>74</v>
      </c>
      <c r="BR47" t="s">
        <v>106</v>
      </c>
      <c r="BS47" t="s">
        <v>1101</v>
      </c>
      <c r="BT47" t="str">
        <f>HYPERLINK("https%3A%2F%2Fwww.webofscience.com%2Fwos%2Fwoscc%2Ffull-record%2FWOS:000403478400022","View Full Record in Web of Science")</f>
        <v>View Full Record in Web of Science</v>
      </c>
    </row>
    <row r="48" spans="1:72" x14ac:dyDescent="0.15">
      <c r="A48" t="s">
        <v>72</v>
      </c>
      <c r="B48" t="s">
        <v>1102</v>
      </c>
      <c r="C48" t="s">
        <v>74</v>
      </c>
      <c r="D48" t="s">
        <v>74</v>
      </c>
      <c r="E48" t="s">
        <v>74</v>
      </c>
      <c r="F48" t="s">
        <v>1103</v>
      </c>
      <c r="G48" t="s">
        <v>74</v>
      </c>
      <c r="H48" t="s">
        <v>74</v>
      </c>
      <c r="I48" t="s">
        <v>1104</v>
      </c>
      <c r="J48" t="s">
        <v>1105</v>
      </c>
      <c r="K48" t="s">
        <v>74</v>
      </c>
      <c r="L48" t="s">
        <v>74</v>
      </c>
      <c r="M48" t="s">
        <v>78</v>
      </c>
      <c r="N48" t="s">
        <v>79</v>
      </c>
      <c r="O48" t="s">
        <v>74</v>
      </c>
      <c r="P48" t="s">
        <v>74</v>
      </c>
      <c r="Q48" t="s">
        <v>74</v>
      </c>
      <c r="R48" t="s">
        <v>74</v>
      </c>
      <c r="S48" t="s">
        <v>74</v>
      </c>
      <c r="T48" t="s">
        <v>74</v>
      </c>
      <c r="U48" t="s">
        <v>1106</v>
      </c>
      <c r="V48" t="s">
        <v>1107</v>
      </c>
      <c r="W48" t="s">
        <v>1108</v>
      </c>
      <c r="X48" t="s">
        <v>1109</v>
      </c>
      <c r="Y48" t="s">
        <v>1110</v>
      </c>
      <c r="Z48" t="s">
        <v>1111</v>
      </c>
      <c r="AA48" t="s">
        <v>74</v>
      </c>
      <c r="AB48" t="s">
        <v>74</v>
      </c>
      <c r="AC48" t="s">
        <v>1112</v>
      </c>
      <c r="AD48" t="s">
        <v>1113</v>
      </c>
      <c r="AE48" t="s">
        <v>1114</v>
      </c>
      <c r="AF48" t="s">
        <v>74</v>
      </c>
      <c r="AG48">
        <v>50</v>
      </c>
      <c r="AH48">
        <v>52</v>
      </c>
      <c r="AI48">
        <v>55</v>
      </c>
      <c r="AJ48">
        <v>2</v>
      </c>
      <c r="AK48">
        <v>20</v>
      </c>
      <c r="AL48" t="s">
        <v>1115</v>
      </c>
      <c r="AM48" t="s">
        <v>1116</v>
      </c>
      <c r="AN48" t="s">
        <v>1117</v>
      </c>
      <c r="AO48" t="s">
        <v>1118</v>
      </c>
      <c r="AP48" t="s">
        <v>1119</v>
      </c>
      <c r="AQ48" t="s">
        <v>74</v>
      </c>
      <c r="AR48" t="s">
        <v>1120</v>
      </c>
      <c r="AS48" t="s">
        <v>1121</v>
      </c>
      <c r="AT48" t="s">
        <v>128</v>
      </c>
      <c r="AU48">
        <v>2017</v>
      </c>
      <c r="AV48">
        <v>47</v>
      </c>
      <c r="AW48">
        <v>6</v>
      </c>
      <c r="AX48" t="s">
        <v>74</v>
      </c>
      <c r="AY48" t="s">
        <v>74</v>
      </c>
      <c r="AZ48" t="s">
        <v>74</v>
      </c>
      <c r="BA48" t="s">
        <v>74</v>
      </c>
      <c r="BB48">
        <v>1291</v>
      </c>
      <c r="BC48">
        <v>1305</v>
      </c>
      <c r="BD48" t="s">
        <v>74</v>
      </c>
      <c r="BE48" t="s">
        <v>1122</v>
      </c>
      <c r="BF48" t="str">
        <f>HYPERLINK("http://dx.doi.org/10.1175/JPO-D-16-0160.1","http://dx.doi.org/10.1175/JPO-D-16-0160.1")</f>
        <v>http://dx.doi.org/10.1175/JPO-D-16-0160.1</v>
      </c>
      <c r="BG48" t="s">
        <v>74</v>
      </c>
      <c r="BH48" t="s">
        <v>74</v>
      </c>
      <c r="BI48">
        <v>15</v>
      </c>
      <c r="BJ48" t="s">
        <v>127</v>
      </c>
      <c r="BK48" t="s">
        <v>103</v>
      </c>
      <c r="BL48" t="s">
        <v>127</v>
      </c>
      <c r="BM48" t="s">
        <v>1123</v>
      </c>
      <c r="BN48" t="s">
        <v>74</v>
      </c>
      <c r="BO48" t="s">
        <v>1124</v>
      </c>
      <c r="BP48" t="s">
        <v>74</v>
      </c>
      <c r="BQ48" t="s">
        <v>74</v>
      </c>
      <c r="BR48" t="s">
        <v>106</v>
      </c>
      <c r="BS48" t="s">
        <v>1125</v>
      </c>
      <c r="BT48" t="str">
        <f>HYPERLINK("https%3A%2F%2Fwww.webofscience.com%2Fwos%2Fwoscc%2Ffull-record%2FWOS:000403208900005","View Full Record in Web of Science")</f>
        <v>View Full Record in Web of Science</v>
      </c>
    </row>
    <row r="49" spans="1:72" x14ac:dyDescent="0.15">
      <c r="A49" t="s">
        <v>72</v>
      </c>
      <c r="B49" t="s">
        <v>1126</v>
      </c>
      <c r="C49" t="s">
        <v>74</v>
      </c>
      <c r="D49" t="s">
        <v>74</v>
      </c>
      <c r="E49" t="s">
        <v>74</v>
      </c>
      <c r="F49" t="s">
        <v>1127</v>
      </c>
      <c r="G49" t="s">
        <v>74</v>
      </c>
      <c r="H49" t="s">
        <v>74</v>
      </c>
      <c r="I49" t="s">
        <v>1128</v>
      </c>
      <c r="J49" t="s">
        <v>1129</v>
      </c>
      <c r="K49" t="s">
        <v>74</v>
      </c>
      <c r="L49" t="s">
        <v>74</v>
      </c>
      <c r="M49" t="s">
        <v>78</v>
      </c>
      <c r="N49" t="s">
        <v>518</v>
      </c>
      <c r="O49" t="s">
        <v>74</v>
      </c>
      <c r="P49" t="s">
        <v>74</v>
      </c>
      <c r="Q49" t="s">
        <v>74</v>
      </c>
      <c r="R49" t="s">
        <v>74</v>
      </c>
      <c r="S49" t="s">
        <v>74</v>
      </c>
      <c r="T49" t="s">
        <v>74</v>
      </c>
      <c r="U49" t="s">
        <v>1130</v>
      </c>
      <c r="V49" t="s">
        <v>1131</v>
      </c>
      <c r="W49" t="s">
        <v>1132</v>
      </c>
      <c r="X49" t="s">
        <v>1133</v>
      </c>
      <c r="Y49" t="s">
        <v>1134</v>
      </c>
      <c r="Z49" t="s">
        <v>1135</v>
      </c>
      <c r="AA49" t="s">
        <v>1136</v>
      </c>
      <c r="AB49" t="s">
        <v>1137</v>
      </c>
      <c r="AC49" t="s">
        <v>1138</v>
      </c>
      <c r="AD49" t="s">
        <v>1139</v>
      </c>
      <c r="AE49" t="s">
        <v>1140</v>
      </c>
      <c r="AF49" t="s">
        <v>74</v>
      </c>
      <c r="AG49">
        <v>94</v>
      </c>
      <c r="AH49">
        <v>22</v>
      </c>
      <c r="AI49">
        <v>23</v>
      </c>
      <c r="AJ49">
        <v>2</v>
      </c>
      <c r="AK49">
        <v>43</v>
      </c>
      <c r="AL49" t="s">
        <v>1141</v>
      </c>
      <c r="AM49" t="s">
        <v>318</v>
      </c>
      <c r="AN49" t="s">
        <v>1142</v>
      </c>
      <c r="AO49" t="s">
        <v>1143</v>
      </c>
      <c r="AP49" t="s">
        <v>1144</v>
      </c>
      <c r="AQ49" t="s">
        <v>74</v>
      </c>
      <c r="AR49" t="s">
        <v>1145</v>
      </c>
      <c r="AS49" t="s">
        <v>1146</v>
      </c>
      <c r="AT49" t="s">
        <v>128</v>
      </c>
      <c r="AU49">
        <v>2017</v>
      </c>
      <c r="AV49">
        <v>33</v>
      </c>
      <c r="AW49" t="s">
        <v>74</v>
      </c>
      <c r="AX49" t="s">
        <v>74</v>
      </c>
      <c r="AY49" t="s">
        <v>74</v>
      </c>
      <c r="AZ49" t="s">
        <v>74</v>
      </c>
      <c r="BA49" t="s">
        <v>74</v>
      </c>
      <c r="BB49">
        <v>1</v>
      </c>
      <c r="BC49">
        <v>11</v>
      </c>
      <c r="BD49" t="s">
        <v>74</v>
      </c>
      <c r="BE49" t="s">
        <v>1147</v>
      </c>
      <c r="BF49" t="str">
        <f>HYPERLINK("http://dx.doi.org/10.1016/j.margen.2017.05.001","http://dx.doi.org/10.1016/j.margen.2017.05.001")</f>
        <v>http://dx.doi.org/10.1016/j.margen.2017.05.001</v>
      </c>
      <c r="BG49" t="s">
        <v>74</v>
      </c>
      <c r="BH49" t="s">
        <v>74</v>
      </c>
      <c r="BI49">
        <v>11</v>
      </c>
      <c r="BJ49" t="s">
        <v>1148</v>
      </c>
      <c r="BK49" t="s">
        <v>103</v>
      </c>
      <c r="BL49" t="s">
        <v>1148</v>
      </c>
      <c r="BM49" t="s">
        <v>1149</v>
      </c>
      <c r="BN49">
        <v>28479280</v>
      </c>
      <c r="BO49" t="s">
        <v>231</v>
      </c>
      <c r="BP49" t="s">
        <v>74</v>
      </c>
      <c r="BQ49" t="s">
        <v>74</v>
      </c>
      <c r="BR49" t="s">
        <v>106</v>
      </c>
      <c r="BS49" t="s">
        <v>1150</v>
      </c>
      <c r="BT49" t="str">
        <f>HYPERLINK("https%3A%2F%2Fwww.webofscience.com%2Fwos%2Fwoscc%2Ffull-record%2FWOS:000403737300001","View Full Record in Web of Science")</f>
        <v>View Full Record in Web of Science</v>
      </c>
    </row>
    <row r="50" spans="1:72" x14ac:dyDescent="0.15">
      <c r="A50" t="s">
        <v>72</v>
      </c>
      <c r="B50" t="s">
        <v>1151</v>
      </c>
      <c r="C50" t="s">
        <v>74</v>
      </c>
      <c r="D50" t="s">
        <v>74</v>
      </c>
      <c r="E50" t="s">
        <v>74</v>
      </c>
      <c r="F50" t="s">
        <v>1152</v>
      </c>
      <c r="G50" t="s">
        <v>74</v>
      </c>
      <c r="H50" t="s">
        <v>74</v>
      </c>
      <c r="I50" t="s">
        <v>1153</v>
      </c>
      <c r="J50" t="s">
        <v>1154</v>
      </c>
      <c r="K50" t="s">
        <v>74</v>
      </c>
      <c r="L50" t="s">
        <v>74</v>
      </c>
      <c r="M50" t="s">
        <v>78</v>
      </c>
      <c r="N50" t="s">
        <v>79</v>
      </c>
      <c r="O50" t="s">
        <v>74</v>
      </c>
      <c r="P50" t="s">
        <v>74</v>
      </c>
      <c r="Q50" t="s">
        <v>74</v>
      </c>
      <c r="R50" t="s">
        <v>74</v>
      </c>
      <c r="S50" t="s">
        <v>74</v>
      </c>
      <c r="T50" t="s">
        <v>1155</v>
      </c>
      <c r="U50" t="s">
        <v>1156</v>
      </c>
      <c r="V50" t="s">
        <v>1157</v>
      </c>
      <c r="W50" t="s">
        <v>1158</v>
      </c>
      <c r="X50" t="s">
        <v>1159</v>
      </c>
      <c r="Y50" t="s">
        <v>1160</v>
      </c>
      <c r="Z50" t="s">
        <v>1161</v>
      </c>
      <c r="AA50" t="s">
        <v>74</v>
      </c>
      <c r="AB50" t="s">
        <v>1162</v>
      </c>
      <c r="AC50" t="s">
        <v>74</v>
      </c>
      <c r="AD50" t="s">
        <v>74</v>
      </c>
      <c r="AE50" t="s">
        <v>74</v>
      </c>
      <c r="AF50" t="s">
        <v>74</v>
      </c>
      <c r="AG50">
        <v>38</v>
      </c>
      <c r="AH50">
        <v>3</v>
      </c>
      <c r="AI50">
        <v>3</v>
      </c>
      <c r="AJ50">
        <v>3</v>
      </c>
      <c r="AK50">
        <v>28</v>
      </c>
      <c r="AL50" t="s">
        <v>1163</v>
      </c>
      <c r="AM50" t="s">
        <v>1164</v>
      </c>
      <c r="AN50" t="s">
        <v>1165</v>
      </c>
      <c r="AO50" t="s">
        <v>1166</v>
      </c>
      <c r="AP50" t="s">
        <v>1167</v>
      </c>
      <c r="AQ50" t="s">
        <v>74</v>
      </c>
      <c r="AR50" t="s">
        <v>1168</v>
      </c>
      <c r="AS50" t="s">
        <v>1169</v>
      </c>
      <c r="AT50" t="s">
        <v>128</v>
      </c>
      <c r="AU50">
        <v>2017</v>
      </c>
      <c r="AV50">
        <v>44</v>
      </c>
      <c r="AW50">
        <v>2</v>
      </c>
      <c r="AX50" t="s">
        <v>74</v>
      </c>
      <c r="AY50" t="s">
        <v>74</v>
      </c>
      <c r="AZ50" t="s">
        <v>74</v>
      </c>
      <c r="BA50" t="s">
        <v>74</v>
      </c>
      <c r="BB50">
        <v>93</v>
      </c>
      <c r="BC50">
        <v>96</v>
      </c>
      <c r="BD50" t="s">
        <v>74</v>
      </c>
      <c r="BE50" t="s">
        <v>1170</v>
      </c>
      <c r="BF50" t="str">
        <f>HYPERLINK("http://dx.doi.org/10.1071/WR16221","http://dx.doi.org/10.1071/WR16221")</f>
        <v>http://dx.doi.org/10.1071/WR16221</v>
      </c>
      <c r="BG50" t="s">
        <v>74</v>
      </c>
      <c r="BH50" t="s">
        <v>74</v>
      </c>
      <c r="BI50">
        <v>4</v>
      </c>
      <c r="BJ50" t="s">
        <v>1171</v>
      </c>
      <c r="BK50" t="s">
        <v>103</v>
      </c>
      <c r="BL50" t="s">
        <v>1172</v>
      </c>
      <c r="BM50" t="s">
        <v>1173</v>
      </c>
      <c r="BN50" t="s">
        <v>74</v>
      </c>
      <c r="BO50" t="s">
        <v>74</v>
      </c>
      <c r="BP50" t="s">
        <v>74</v>
      </c>
      <c r="BQ50" t="s">
        <v>74</v>
      </c>
      <c r="BR50" t="s">
        <v>106</v>
      </c>
      <c r="BS50" t="s">
        <v>1174</v>
      </c>
      <c r="BT50" t="str">
        <f>HYPERLINK("https%3A%2F%2Fwww.webofscience.com%2Fwos%2Fwoscc%2Ffull-record%2FWOS:000403463600001","View Full Record in Web of Science")</f>
        <v>View Full Record in Web of Science</v>
      </c>
    </row>
    <row r="51" spans="1:72" x14ac:dyDescent="0.15">
      <c r="A51" t="s">
        <v>72</v>
      </c>
      <c r="B51" t="s">
        <v>1175</v>
      </c>
      <c r="C51" t="s">
        <v>74</v>
      </c>
      <c r="D51" t="s">
        <v>74</v>
      </c>
      <c r="E51" t="s">
        <v>74</v>
      </c>
      <c r="F51" t="s">
        <v>1176</v>
      </c>
      <c r="G51" t="s">
        <v>74</v>
      </c>
      <c r="H51" t="s">
        <v>74</v>
      </c>
      <c r="I51" t="s">
        <v>1177</v>
      </c>
      <c r="J51" t="s">
        <v>1178</v>
      </c>
      <c r="K51" t="s">
        <v>74</v>
      </c>
      <c r="L51" t="s">
        <v>74</v>
      </c>
      <c r="M51" t="s">
        <v>78</v>
      </c>
      <c r="N51" t="s">
        <v>518</v>
      </c>
      <c r="O51" t="s">
        <v>74</v>
      </c>
      <c r="P51" t="s">
        <v>74</v>
      </c>
      <c r="Q51" t="s">
        <v>74</v>
      </c>
      <c r="R51" t="s">
        <v>74</v>
      </c>
      <c r="S51" t="s">
        <v>74</v>
      </c>
      <c r="T51" t="s">
        <v>1179</v>
      </c>
      <c r="U51" t="s">
        <v>1180</v>
      </c>
      <c r="V51" t="s">
        <v>1181</v>
      </c>
      <c r="W51" t="s">
        <v>1182</v>
      </c>
      <c r="X51" t="s">
        <v>1183</v>
      </c>
      <c r="Y51" t="s">
        <v>1184</v>
      </c>
      <c r="Z51" t="s">
        <v>1185</v>
      </c>
      <c r="AA51" t="s">
        <v>1186</v>
      </c>
      <c r="AB51" t="s">
        <v>1187</v>
      </c>
      <c r="AC51" t="s">
        <v>1188</v>
      </c>
      <c r="AD51" t="s">
        <v>1189</v>
      </c>
      <c r="AE51" t="s">
        <v>1190</v>
      </c>
      <c r="AF51" t="s">
        <v>74</v>
      </c>
      <c r="AG51">
        <v>186</v>
      </c>
      <c r="AH51">
        <v>27</v>
      </c>
      <c r="AI51">
        <v>29</v>
      </c>
      <c r="AJ51">
        <v>4</v>
      </c>
      <c r="AK51">
        <v>140</v>
      </c>
      <c r="AL51" t="s">
        <v>986</v>
      </c>
      <c r="AM51" t="s">
        <v>1191</v>
      </c>
      <c r="AN51" t="s">
        <v>1192</v>
      </c>
      <c r="AO51" t="s">
        <v>1193</v>
      </c>
      <c r="AP51" t="s">
        <v>1194</v>
      </c>
      <c r="AQ51" t="s">
        <v>74</v>
      </c>
      <c r="AR51" t="s">
        <v>1195</v>
      </c>
      <c r="AS51" t="s">
        <v>1196</v>
      </c>
      <c r="AT51" t="s">
        <v>128</v>
      </c>
      <c r="AU51">
        <v>2017</v>
      </c>
      <c r="AV51">
        <v>27</v>
      </c>
      <c r="AW51">
        <v>2</v>
      </c>
      <c r="AX51" t="s">
        <v>74</v>
      </c>
      <c r="AY51" t="s">
        <v>74</v>
      </c>
      <c r="AZ51" t="s">
        <v>100</v>
      </c>
      <c r="BA51" t="s">
        <v>74</v>
      </c>
      <c r="BB51">
        <v>297</v>
      </c>
      <c r="BC51">
        <v>316</v>
      </c>
      <c r="BD51" t="s">
        <v>74</v>
      </c>
      <c r="BE51" t="s">
        <v>1197</v>
      </c>
      <c r="BF51" t="str">
        <f>HYPERLINK("http://dx.doi.org/10.1007/s11160-016-9455-9","http://dx.doi.org/10.1007/s11160-016-9455-9")</f>
        <v>http://dx.doi.org/10.1007/s11160-016-9455-9</v>
      </c>
      <c r="BG51" t="s">
        <v>74</v>
      </c>
      <c r="BH51" t="s">
        <v>74</v>
      </c>
      <c r="BI51">
        <v>20</v>
      </c>
      <c r="BJ51" t="s">
        <v>1198</v>
      </c>
      <c r="BK51" t="s">
        <v>103</v>
      </c>
      <c r="BL51" t="s">
        <v>1198</v>
      </c>
      <c r="BM51" t="s">
        <v>1199</v>
      </c>
      <c r="BN51" t="s">
        <v>74</v>
      </c>
      <c r="BO51" t="s">
        <v>74</v>
      </c>
      <c r="BP51" t="s">
        <v>74</v>
      </c>
      <c r="BQ51" t="s">
        <v>74</v>
      </c>
      <c r="BR51" t="s">
        <v>106</v>
      </c>
      <c r="BS51" t="s">
        <v>1200</v>
      </c>
      <c r="BT51" t="str">
        <f>HYPERLINK("https%3A%2F%2Fwww.webofscience.com%2Fwos%2Fwoscc%2Ffull-record%2FWOS:000403533200002","View Full Record in Web of Science")</f>
        <v>View Full Record in Web of Science</v>
      </c>
    </row>
    <row r="52" spans="1:72" x14ac:dyDescent="0.15">
      <c r="A52" t="s">
        <v>72</v>
      </c>
      <c r="B52" t="s">
        <v>1201</v>
      </c>
      <c r="C52" t="s">
        <v>74</v>
      </c>
      <c r="D52" t="s">
        <v>74</v>
      </c>
      <c r="E52" t="s">
        <v>74</v>
      </c>
      <c r="F52" t="s">
        <v>1202</v>
      </c>
      <c r="G52" t="s">
        <v>74</v>
      </c>
      <c r="H52" t="s">
        <v>74</v>
      </c>
      <c r="I52" t="s">
        <v>1203</v>
      </c>
      <c r="J52" t="s">
        <v>1204</v>
      </c>
      <c r="K52" t="s">
        <v>74</v>
      </c>
      <c r="L52" t="s">
        <v>74</v>
      </c>
      <c r="M52" t="s">
        <v>78</v>
      </c>
      <c r="N52" t="s">
        <v>79</v>
      </c>
      <c r="O52" t="s">
        <v>74</v>
      </c>
      <c r="P52" t="s">
        <v>74</v>
      </c>
      <c r="Q52" t="s">
        <v>74</v>
      </c>
      <c r="R52" t="s">
        <v>74</v>
      </c>
      <c r="S52" t="s">
        <v>74</v>
      </c>
      <c r="T52" t="s">
        <v>1205</v>
      </c>
      <c r="U52" t="s">
        <v>1206</v>
      </c>
      <c r="V52" t="s">
        <v>1207</v>
      </c>
      <c r="W52" t="s">
        <v>1208</v>
      </c>
      <c r="X52" t="s">
        <v>1209</v>
      </c>
      <c r="Y52" t="s">
        <v>1210</v>
      </c>
      <c r="Z52" t="s">
        <v>1211</v>
      </c>
      <c r="AA52" t="s">
        <v>1212</v>
      </c>
      <c r="AB52" t="s">
        <v>1213</v>
      </c>
      <c r="AC52" t="s">
        <v>1214</v>
      </c>
      <c r="AD52" t="s">
        <v>1215</v>
      </c>
      <c r="AE52" t="s">
        <v>1216</v>
      </c>
      <c r="AF52" t="s">
        <v>74</v>
      </c>
      <c r="AG52">
        <v>82</v>
      </c>
      <c r="AH52">
        <v>6</v>
      </c>
      <c r="AI52">
        <v>6</v>
      </c>
      <c r="AJ52">
        <v>0</v>
      </c>
      <c r="AK52">
        <v>20</v>
      </c>
      <c r="AL52" t="s">
        <v>681</v>
      </c>
      <c r="AM52" t="s">
        <v>682</v>
      </c>
      <c r="AN52" t="s">
        <v>683</v>
      </c>
      <c r="AO52" t="s">
        <v>1217</v>
      </c>
      <c r="AP52" t="s">
        <v>74</v>
      </c>
      <c r="AQ52" t="s">
        <v>74</v>
      </c>
      <c r="AR52" t="s">
        <v>1218</v>
      </c>
      <c r="AS52" t="s">
        <v>1219</v>
      </c>
      <c r="AT52" t="s">
        <v>128</v>
      </c>
      <c r="AU52">
        <v>2017</v>
      </c>
      <c r="AV52">
        <v>7</v>
      </c>
      <c r="AW52">
        <v>11</v>
      </c>
      <c r="AX52" t="s">
        <v>74</v>
      </c>
      <c r="AY52" t="s">
        <v>74</v>
      </c>
      <c r="AZ52" t="s">
        <v>74</v>
      </c>
      <c r="BA52" t="s">
        <v>74</v>
      </c>
      <c r="BB52">
        <v>3773</v>
      </c>
      <c r="BC52">
        <v>3783</v>
      </c>
      <c r="BD52" t="s">
        <v>74</v>
      </c>
      <c r="BE52" t="s">
        <v>1220</v>
      </c>
      <c r="BF52" t="str">
        <f>HYPERLINK("http://dx.doi.org/10.1002/ece3.2957","http://dx.doi.org/10.1002/ece3.2957")</f>
        <v>http://dx.doi.org/10.1002/ece3.2957</v>
      </c>
      <c r="BG52" t="s">
        <v>74</v>
      </c>
      <c r="BH52" t="s">
        <v>74</v>
      </c>
      <c r="BI52">
        <v>11</v>
      </c>
      <c r="BJ52" t="s">
        <v>1221</v>
      </c>
      <c r="BK52" t="s">
        <v>103</v>
      </c>
      <c r="BL52" t="s">
        <v>1222</v>
      </c>
      <c r="BM52" t="s">
        <v>1223</v>
      </c>
      <c r="BN52">
        <v>28616174</v>
      </c>
      <c r="BO52" t="s">
        <v>1224</v>
      </c>
      <c r="BP52" t="s">
        <v>74</v>
      </c>
      <c r="BQ52" t="s">
        <v>74</v>
      </c>
      <c r="BR52" t="s">
        <v>106</v>
      </c>
      <c r="BS52" t="s">
        <v>1225</v>
      </c>
      <c r="BT52" t="str">
        <f>HYPERLINK("https%3A%2F%2Fwww.webofscience.com%2Fwos%2Fwoscc%2Ffull-record%2FWOS:000403273000014","View Full Record in Web of Science")</f>
        <v>View Full Record in Web of Science</v>
      </c>
    </row>
    <row r="53" spans="1:72" x14ac:dyDescent="0.15">
      <c r="A53" t="s">
        <v>72</v>
      </c>
      <c r="B53" t="s">
        <v>1226</v>
      </c>
      <c r="C53" t="s">
        <v>74</v>
      </c>
      <c r="D53" t="s">
        <v>74</v>
      </c>
      <c r="E53" t="s">
        <v>74</v>
      </c>
      <c r="F53" t="s">
        <v>1227</v>
      </c>
      <c r="G53" t="s">
        <v>74</v>
      </c>
      <c r="H53" t="s">
        <v>74</v>
      </c>
      <c r="I53" t="s">
        <v>1228</v>
      </c>
      <c r="J53" t="s">
        <v>1204</v>
      </c>
      <c r="K53" t="s">
        <v>74</v>
      </c>
      <c r="L53" t="s">
        <v>74</v>
      </c>
      <c r="M53" t="s">
        <v>78</v>
      </c>
      <c r="N53" t="s">
        <v>79</v>
      </c>
      <c r="O53" t="s">
        <v>74</v>
      </c>
      <c r="P53" t="s">
        <v>74</v>
      </c>
      <c r="Q53" t="s">
        <v>74</v>
      </c>
      <c r="R53" t="s">
        <v>74</v>
      </c>
      <c r="S53" t="s">
        <v>74</v>
      </c>
      <c r="T53" t="s">
        <v>1229</v>
      </c>
      <c r="U53" t="s">
        <v>1230</v>
      </c>
      <c r="V53" t="s">
        <v>1231</v>
      </c>
      <c r="W53" t="s">
        <v>1232</v>
      </c>
      <c r="X53" t="s">
        <v>1233</v>
      </c>
      <c r="Y53" t="s">
        <v>1234</v>
      </c>
      <c r="Z53" t="s">
        <v>1235</v>
      </c>
      <c r="AA53" t="s">
        <v>1236</v>
      </c>
      <c r="AB53" t="s">
        <v>1237</v>
      </c>
      <c r="AC53" t="s">
        <v>1238</v>
      </c>
      <c r="AD53" t="s">
        <v>1239</v>
      </c>
      <c r="AE53" t="s">
        <v>1240</v>
      </c>
      <c r="AF53" t="s">
        <v>74</v>
      </c>
      <c r="AG53">
        <v>73</v>
      </c>
      <c r="AH53">
        <v>14</v>
      </c>
      <c r="AI53">
        <v>14</v>
      </c>
      <c r="AJ53">
        <v>0</v>
      </c>
      <c r="AK53">
        <v>17</v>
      </c>
      <c r="AL53" t="s">
        <v>681</v>
      </c>
      <c r="AM53" t="s">
        <v>682</v>
      </c>
      <c r="AN53" t="s">
        <v>683</v>
      </c>
      <c r="AO53" t="s">
        <v>1217</v>
      </c>
      <c r="AP53" t="s">
        <v>74</v>
      </c>
      <c r="AQ53" t="s">
        <v>74</v>
      </c>
      <c r="AR53" t="s">
        <v>1218</v>
      </c>
      <c r="AS53" t="s">
        <v>1219</v>
      </c>
      <c r="AT53" t="s">
        <v>128</v>
      </c>
      <c r="AU53">
        <v>2017</v>
      </c>
      <c r="AV53">
        <v>7</v>
      </c>
      <c r="AW53">
        <v>11</v>
      </c>
      <c r="AX53" t="s">
        <v>74</v>
      </c>
      <c r="AY53" t="s">
        <v>74</v>
      </c>
      <c r="AZ53" t="s">
        <v>74</v>
      </c>
      <c r="BA53" t="s">
        <v>74</v>
      </c>
      <c r="BB53">
        <v>3992</v>
      </c>
      <c r="BC53">
        <v>4002</v>
      </c>
      <c r="BD53" t="s">
        <v>74</v>
      </c>
      <c r="BE53" t="s">
        <v>1241</v>
      </c>
      <c r="BF53" t="str">
        <f>HYPERLINK("http://dx.doi.org/10.1002/ece3.2972","http://dx.doi.org/10.1002/ece3.2972")</f>
        <v>http://dx.doi.org/10.1002/ece3.2972</v>
      </c>
      <c r="BG53" t="s">
        <v>74</v>
      </c>
      <c r="BH53" t="s">
        <v>74</v>
      </c>
      <c r="BI53">
        <v>11</v>
      </c>
      <c r="BJ53" t="s">
        <v>1221</v>
      </c>
      <c r="BK53" t="s">
        <v>103</v>
      </c>
      <c r="BL53" t="s">
        <v>1222</v>
      </c>
      <c r="BM53" t="s">
        <v>1223</v>
      </c>
      <c r="BN53">
        <v>28616194</v>
      </c>
      <c r="BO53" t="s">
        <v>1224</v>
      </c>
      <c r="BP53" t="s">
        <v>74</v>
      </c>
      <c r="BQ53" t="s">
        <v>74</v>
      </c>
      <c r="BR53" t="s">
        <v>106</v>
      </c>
      <c r="BS53" t="s">
        <v>1242</v>
      </c>
      <c r="BT53" t="str">
        <f>HYPERLINK("https%3A%2F%2Fwww.webofscience.com%2Fwos%2Fwoscc%2Ffull-record%2FWOS:000403273000035","View Full Record in Web of Science")</f>
        <v>View Full Record in Web of Science</v>
      </c>
    </row>
    <row r="54" spans="1:72" x14ac:dyDescent="0.15">
      <c r="A54" t="s">
        <v>72</v>
      </c>
      <c r="B54" t="s">
        <v>1243</v>
      </c>
      <c r="C54" t="s">
        <v>74</v>
      </c>
      <c r="D54" t="s">
        <v>74</v>
      </c>
      <c r="E54" t="s">
        <v>74</v>
      </c>
      <c r="F54" t="s">
        <v>1244</v>
      </c>
      <c r="G54" t="s">
        <v>74</v>
      </c>
      <c r="H54" t="s">
        <v>74</v>
      </c>
      <c r="I54" t="s">
        <v>1245</v>
      </c>
      <c r="J54" t="s">
        <v>1246</v>
      </c>
      <c r="K54" t="s">
        <v>74</v>
      </c>
      <c r="L54" t="s">
        <v>74</v>
      </c>
      <c r="M54" t="s">
        <v>78</v>
      </c>
      <c r="N54" t="s">
        <v>79</v>
      </c>
      <c r="O54" t="s">
        <v>74</v>
      </c>
      <c r="P54" t="s">
        <v>74</v>
      </c>
      <c r="Q54" t="s">
        <v>74</v>
      </c>
      <c r="R54" t="s">
        <v>74</v>
      </c>
      <c r="S54" t="s">
        <v>74</v>
      </c>
      <c r="T54" t="s">
        <v>74</v>
      </c>
      <c r="U54" t="s">
        <v>1247</v>
      </c>
      <c r="V54" t="s">
        <v>1248</v>
      </c>
      <c r="W54" t="s">
        <v>1249</v>
      </c>
      <c r="X54" t="s">
        <v>1250</v>
      </c>
      <c r="Y54" t="s">
        <v>1251</v>
      </c>
      <c r="Z54" t="s">
        <v>1252</v>
      </c>
      <c r="AA54" t="s">
        <v>74</v>
      </c>
      <c r="AB54" t="s">
        <v>74</v>
      </c>
      <c r="AC54" t="s">
        <v>1253</v>
      </c>
      <c r="AD54" t="s">
        <v>1254</v>
      </c>
      <c r="AE54" t="s">
        <v>1255</v>
      </c>
      <c r="AF54" t="s">
        <v>74</v>
      </c>
      <c r="AG54">
        <v>17</v>
      </c>
      <c r="AH54">
        <v>5</v>
      </c>
      <c r="AI54">
        <v>6</v>
      </c>
      <c r="AJ54">
        <v>1</v>
      </c>
      <c r="AK54">
        <v>13</v>
      </c>
      <c r="AL54" t="s">
        <v>1115</v>
      </c>
      <c r="AM54" t="s">
        <v>1116</v>
      </c>
      <c r="AN54" t="s">
        <v>1117</v>
      </c>
      <c r="AO54" t="s">
        <v>1256</v>
      </c>
      <c r="AP54" t="s">
        <v>1257</v>
      </c>
      <c r="AQ54" t="s">
        <v>74</v>
      </c>
      <c r="AR54" t="s">
        <v>1258</v>
      </c>
      <c r="AS54" t="s">
        <v>1259</v>
      </c>
      <c r="AT54" t="s">
        <v>128</v>
      </c>
      <c r="AU54">
        <v>2017</v>
      </c>
      <c r="AV54">
        <v>56</v>
      </c>
      <c r="AW54">
        <v>6</v>
      </c>
      <c r="AX54" t="s">
        <v>74</v>
      </c>
      <c r="AY54" t="s">
        <v>74</v>
      </c>
      <c r="AZ54" t="s">
        <v>74</v>
      </c>
      <c r="BA54" t="s">
        <v>74</v>
      </c>
      <c r="BB54">
        <v>1731</v>
      </c>
      <c r="BC54">
        <v>1738</v>
      </c>
      <c r="BD54" t="s">
        <v>74</v>
      </c>
      <c r="BE54" t="s">
        <v>1260</v>
      </c>
      <c r="BF54" t="str">
        <f>HYPERLINK("http://dx.doi.org/10.1175/JAMC-D-15-0191.1","http://dx.doi.org/10.1175/JAMC-D-15-0191.1")</f>
        <v>http://dx.doi.org/10.1175/JAMC-D-15-0191.1</v>
      </c>
      <c r="BG54" t="s">
        <v>74</v>
      </c>
      <c r="BH54" t="s">
        <v>74</v>
      </c>
      <c r="BI54">
        <v>8</v>
      </c>
      <c r="BJ54" t="s">
        <v>1261</v>
      </c>
      <c r="BK54" t="s">
        <v>103</v>
      </c>
      <c r="BL54" t="s">
        <v>1261</v>
      </c>
      <c r="BM54" t="s">
        <v>1262</v>
      </c>
      <c r="BN54" t="s">
        <v>74</v>
      </c>
      <c r="BO54" t="s">
        <v>384</v>
      </c>
      <c r="BP54" t="s">
        <v>74</v>
      </c>
      <c r="BQ54" t="s">
        <v>74</v>
      </c>
      <c r="BR54" t="s">
        <v>106</v>
      </c>
      <c r="BS54" t="s">
        <v>1263</v>
      </c>
      <c r="BT54" t="str">
        <f>HYPERLINK("https%3A%2F%2Fwww.webofscience.com%2Fwos%2Fwoscc%2Ffull-record%2FWOS:000403093300012","View Full Record in Web of Science")</f>
        <v>View Full Record in Web of Science</v>
      </c>
    </row>
    <row r="55" spans="1:72" x14ac:dyDescent="0.15">
      <c r="A55" t="s">
        <v>72</v>
      </c>
      <c r="B55" t="s">
        <v>1264</v>
      </c>
      <c r="C55" t="s">
        <v>74</v>
      </c>
      <c r="D55" t="s">
        <v>74</v>
      </c>
      <c r="E55" t="s">
        <v>74</v>
      </c>
      <c r="F55" t="s">
        <v>1265</v>
      </c>
      <c r="G55" t="s">
        <v>74</v>
      </c>
      <c r="H55" t="s">
        <v>74</v>
      </c>
      <c r="I55" t="s">
        <v>1266</v>
      </c>
      <c r="J55" t="s">
        <v>718</v>
      </c>
      <c r="K55" t="s">
        <v>74</v>
      </c>
      <c r="L55" t="s">
        <v>74</v>
      </c>
      <c r="M55" t="s">
        <v>78</v>
      </c>
      <c r="N55" t="s">
        <v>79</v>
      </c>
      <c r="O55" t="s">
        <v>74</v>
      </c>
      <c r="P55" t="s">
        <v>74</v>
      </c>
      <c r="Q55" t="s">
        <v>74</v>
      </c>
      <c r="R55" t="s">
        <v>74</v>
      </c>
      <c r="S55" t="s">
        <v>74</v>
      </c>
      <c r="T55" t="s">
        <v>74</v>
      </c>
      <c r="U55" t="s">
        <v>1267</v>
      </c>
      <c r="V55" t="s">
        <v>1268</v>
      </c>
      <c r="W55" t="s">
        <v>1269</v>
      </c>
      <c r="X55" t="s">
        <v>1270</v>
      </c>
      <c r="Y55" t="s">
        <v>1271</v>
      </c>
      <c r="Z55" t="s">
        <v>1272</v>
      </c>
      <c r="AA55" t="s">
        <v>1273</v>
      </c>
      <c r="AB55" t="s">
        <v>1274</v>
      </c>
      <c r="AC55" t="s">
        <v>1275</v>
      </c>
      <c r="AD55" t="s">
        <v>1276</v>
      </c>
      <c r="AE55" t="s">
        <v>1277</v>
      </c>
      <c r="AF55" t="s">
        <v>74</v>
      </c>
      <c r="AG55">
        <v>30</v>
      </c>
      <c r="AH55">
        <v>13</v>
      </c>
      <c r="AI55">
        <v>16</v>
      </c>
      <c r="AJ55">
        <v>1</v>
      </c>
      <c r="AK55">
        <v>38</v>
      </c>
      <c r="AL55" t="s">
        <v>729</v>
      </c>
      <c r="AM55" t="s">
        <v>730</v>
      </c>
      <c r="AN55" t="s">
        <v>731</v>
      </c>
      <c r="AO55" t="s">
        <v>732</v>
      </c>
      <c r="AP55" t="s">
        <v>733</v>
      </c>
      <c r="AQ55" t="s">
        <v>74</v>
      </c>
      <c r="AR55" t="s">
        <v>734</v>
      </c>
      <c r="AS55" t="s">
        <v>735</v>
      </c>
      <c r="AT55" t="s">
        <v>128</v>
      </c>
      <c r="AU55">
        <v>2017</v>
      </c>
      <c r="AV55">
        <v>164</v>
      </c>
      <c r="AW55">
        <v>6</v>
      </c>
      <c r="AX55" t="s">
        <v>74</v>
      </c>
      <c r="AY55" t="s">
        <v>74</v>
      </c>
      <c r="AZ55" t="s">
        <v>74</v>
      </c>
      <c r="BA55" t="s">
        <v>74</v>
      </c>
      <c r="BB55" t="s">
        <v>74</v>
      </c>
      <c r="BC55" t="s">
        <v>74</v>
      </c>
      <c r="BD55">
        <v>144</v>
      </c>
      <c r="BE55" t="s">
        <v>1278</v>
      </c>
      <c r="BF55" t="str">
        <f>HYPERLINK("http://dx.doi.org/10.1007/s00227-017-3174-1","http://dx.doi.org/10.1007/s00227-017-3174-1")</f>
        <v>http://dx.doi.org/10.1007/s00227-017-3174-1</v>
      </c>
      <c r="BG55" t="s">
        <v>74</v>
      </c>
      <c r="BH55" t="s">
        <v>74</v>
      </c>
      <c r="BI55">
        <v>10</v>
      </c>
      <c r="BJ55" t="s">
        <v>737</v>
      </c>
      <c r="BK55" t="s">
        <v>103</v>
      </c>
      <c r="BL55" t="s">
        <v>737</v>
      </c>
      <c r="BM55" t="s">
        <v>1279</v>
      </c>
      <c r="BN55" t="s">
        <v>74</v>
      </c>
      <c r="BO55" t="s">
        <v>74</v>
      </c>
      <c r="BP55" t="s">
        <v>74</v>
      </c>
      <c r="BQ55" t="s">
        <v>74</v>
      </c>
      <c r="BR55" t="s">
        <v>106</v>
      </c>
      <c r="BS55" t="s">
        <v>1280</v>
      </c>
      <c r="BT55" t="str">
        <f>HYPERLINK("https%3A%2F%2Fwww.webofscience.com%2Fwos%2Fwoscc%2Ffull-record%2FWOS:000403083000024","View Full Record in Web of Science")</f>
        <v>View Full Record in Web of Science</v>
      </c>
    </row>
    <row r="56" spans="1:72" x14ac:dyDescent="0.15">
      <c r="A56" t="s">
        <v>72</v>
      </c>
      <c r="B56" t="s">
        <v>1281</v>
      </c>
      <c r="C56" t="s">
        <v>74</v>
      </c>
      <c r="D56" t="s">
        <v>74</v>
      </c>
      <c r="E56" t="s">
        <v>74</v>
      </c>
      <c r="F56" t="s">
        <v>1282</v>
      </c>
      <c r="G56" t="s">
        <v>74</v>
      </c>
      <c r="H56" t="s">
        <v>74</v>
      </c>
      <c r="I56" t="s">
        <v>1283</v>
      </c>
      <c r="J56" t="s">
        <v>718</v>
      </c>
      <c r="K56" t="s">
        <v>74</v>
      </c>
      <c r="L56" t="s">
        <v>74</v>
      </c>
      <c r="M56" t="s">
        <v>78</v>
      </c>
      <c r="N56" t="s">
        <v>79</v>
      </c>
      <c r="O56" t="s">
        <v>74</v>
      </c>
      <c r="P56" t="s">
        <v>74</v>
      </c>
      <c r="Q56" t="s">
        <v>74</v>
      </c>
      <c r="R56" t="s">
        <v>74</v>
      </c>
      <c r="S56" t="s">
        <v>74</v>
      </c>
      <c r="T56" t="s">
        <v>74</v>
      </c>
      <c r="U56" t="s">
        <v>1284</v>
      </c>
      <c r="V56" t="s">
        <v>1285</v>
      </c>
      <c r="W56" t="s">
        <v>1286</v>
      </c>
      <c r="X56" t="s">
        <v>1287</v>
      </c>
      <c r="Y56" t="s">
        <v>1288</v>
      </c>
      <c r="Z56" t="s">
        <v>1289</v>
      </c>
      <c r="AA56" t="s">
        <v>1290</v>
      </c>
      <c r="AB56" t="s">
        <v>1291</v>
      </c>
      <c r="AC56" t="s">
        <v>1292</v>
      </c>
      <c r="AD56" t="s">
        <v>1292</v>
      </c>
      <c r="AE56" t="s">
        <v>1293</v>
      </c>
      <c r="AF56" t="s">
        <v>74</v>
      </c>
      <c r="AG56">
        <v>52</v>
      </c>
      <c r="AH56">
        <v>15</v>
      </c>
      <c r="AI56">
        <v>16</v>
      </c>
      <c r="AJ56">
        <v>1</v>
      </c>
      <c r="AK56">
        <v>16</v>
      </c>
      <c r="AL56" t="s">
        <v>729</v>
      </c>
      <c r="AM56" t="s">
        <v>730</v>
      </c>
      <c r="AN56" t="s">
        <v>731</v>
      </c>
      <c r="AO56" t="s">
        <v>732</v>
      </c>
      <c r="AP56" t="s">
        <v>733</v>
      </c>
      <c r="AQ56" t="s">
        <v>74</v>
      </c>
      <c r="AR56" t="s">
        <v>734</v>
      </c>
      <c r="AS56" t="s">
        <v>735</v>
      </c>
      <c r="AT56" t="s">
        <v>128</v>
      </c>
      <c r="AU56">
        <v>2017</v>
      </c>
      <c r="AV56">
        <v>164</v>
      </c>
      <c r="AW56">
        <v>6</v>
      </c>
      <c r="AX56" t="s">
        <v>74</v>
      </c>
      <c r="AY56" t="s">
        <v>74</v>
      </c>
      <c r="AZ56" t="s">
        <v>74</v>
      </c>
      <c r="BA56" t="s">
        <v>74</v>
      </c>
      <c r="BB56" t="s">
        <v>74</v>
      </c>
      <c r="BC56" t="s">
        <v>74</v>
      </c>
      <c r="BD56">
        <v>124</v>
      </c>
      <c r="BE56" t="s">
        <v>1294</v>
      </c>
      <c r="BF56" t="str">
        <f>HYPERLINK("http://dx.doi.org/10.1007/s00227-017-3153-6","http://dx.doi.org/10.1007/s00227-017-3153-6")</f>
        <v>http://dx.doi.org/10.1007/s00227-017-3153-6</v>
      </c>
      <c r="BG56" t="s">
        <v>74</v>
      </c>
      <c r="BH56" t="s">
        <v>74</v>
      </c>
      <c r="BI56">
        <v>12</v>
      </c>
      <c r="BJ56" t="s">
        <v>737</v>
      </c>
      <c r="BK56" t="s">
        <v>103</v>
      </c>
      <c r="BL56" t="s">
        <v>737</v>
      </c>
      <c r="BM56" t="s">
        <v>1279</v>
      </c>
      <c r="BN56" t="s">
        <v>74</v>
      </c>
      <c r="BO56" t="s">
        <v>74</v>
      </c>
      <c r="BP56" t="s">
        <v>74</v>
      </c>
      <c r="BQ56" t="s">
        <v>74</v>
      </c>
      <c r="BR56" t="s">
        <v>106</v>
      </c>
      <c r="BS56" t="s">
        <v>1295</v>
      </c>
      <c r="BT56" t="str">
        <f>HYPERLINK("https%3A%2F%2Fwww.webofscience.com%2Fwos%2Fwoscc%2Ffull-record%2FWOS:000403083000004","View Full Record in Web of Science")</f>
        <v>View Full Record in Web of Science</v>
      </c>
    </row>
    <row r="57" spans="1:72" x14ac:dyDescent="0.15">
      <c r="A57" t="s">
        <v>72</v>
      </c>
      <c r="B57" t="s">
        <v>1296</v>
      </c>
      <c r="C57" t="s">
        <v>74</v>
      </c>
      <c r="D57" t="s">
        <v>74</v>
      </c>
      <c r="E57" t="s">
        <v>74</v>
      </c>
      <c r="F57" t="s">
        <v>1297</v>
      </c>
      <c r="G57" t="s">
        <v>74</v>
      </c>
      <c r="H57" t="s">
        <v>74</v>
      </c>
      <c r="I57" t="s">
        <v>1298</v>
      </c>
      <c r="J57" t="s">
        <v>1299</v>
      </c>
      <c r="K57" t="s">
        <v>74</v>
      </c>
      <c r="L57" t="s">
        <v>74</v>
      </c>
      <c r="M57" t="s">
        <v>78</v>
      </c>
      <c r="N57" t="s">
        <v>79</v>
      </c>
      <c r="O57" t="s">
        <v>74</v>
      </c>
      <c r="P57" t="s">
        <v>74</v>
      </c>
      <c r="Q57" t="s">
        <v>74</v>
      </c>
      <c r="R57" t="s">
        <v>74</v>
      </c>
      <c r="S57" t="s">
        <v>74</v>
      </c>
      <c r="T57" t="s">
        <v>1300</v>
      </c>
      <c r="U57" t="s">
        <v>1301</v>
      </c>
      <c r="V57" t="s">
        <v>1302</v>
      </c>
      <c r="W57" t="s">
        <v>1303</v>
      </c>
      <c r="X57" t="s">
        <v>1304</v>
      </c>
      <c r="Y57" t="s">
        <v>1305</v>
      </c>
      <c r="Z57" t="s">
        <v>1306</v>
      </c>
      <c r="AA57" t="s">
        <v>1307</v>
      </c>
      <c r="AB57" t="s">
        <v>1308</v>
      </c>
      <c r="AC57" t="s">
        <v>1309</v>
      </c>
      <c r="AD57" t="s">
        <v>1310</v>
      </c>
      <c r="AE57" t="s">
        <v>1311</v>
      </c>
      <c r="AF57" t="s">
        <v>74</v>
      </c>
      <c r="AG57">
        <v>118</v>
      </c>
      <c r="AH57">
        <v>29</v>
      </c>
      <c r="AI57">
        <v>30</v>
      </c>
      <c r="AJ57">
        <v>0</v>
      </c>
      <c r="AK57">
        <v>8</v>
      </c>
      <c r="AL57" t="s">
        <v>656</v>
      </c>
      <c r="AM57" t="s">
        <v>93</v>
      </c>
      <c r="AN57" t="s">
        <v>657</v>
      </c>
      <c r="AO57" t="s">
        <v>1312</v>
      </c>
      <c r="AP57" t="s">
        <v>1313</v>
      </c>
      <c r="AQ57" t="s">
        <v>74</v>
      </c>
      <c r="AR57" t="s">
        <v>1314</v>
      </c>
      <c r="AS57" t="s">
        <v>1315</v>
      </c>
      <c r="AT57" t="s">
        <v>99</v>
      </c>
      <c r="AU57">
        <v>2017</v>
      </c>
      <c r="AV57">
        <v>206</v>
      </c>
      <c r="AW57" t="s">
        <v>74</v>
      </c>
      <c r="AX57" t="s">
        <v>74</v>
      </c>
      <c r="AY57" t="s">
        <v>74</v>
      </c>
      <c r="AZ57" t="s">
        <v>74</v>
      </c>
      <c r="BA57" t="s">
        <v>74</v>
      </c>
      <c r="BB57">
        <v>112</v>
      </c>
      <c r="BC57">
        <v>136</v>
      </c>
      <c r="BD57" t="s">
        <v>74</v>
      </c>
      <c r="BE57" t="s">
        <v>1316</v>
      </c>
      <c r="BF57" t="str">
        <f>HYPERLINK("http://dx.doi.org/10.1016/j.gca.2017.03.002","http://dx.doi.org/10.1016/j.gca.2017.03.002")</f>
        <v>http://dx.doi.org/10.1016/j.gca.2017.03.002</v>
      </c>
      <c r="BG57" t="s">
        <v>74</v>
      </c>
      <c r="BH57" t="s">
        <v>74</v>
      </c>
      <c r="BI57">
        <v>25</v>
      </c>
      <c r="BJ57" t="s">
        <v>176</v>
      </c>
      <c r="BK57" t="s">
        <v>103</v>
      </c>
      <c r="BL57" t="s">
        <v>176</v>
      </c>
      <c r="BM57" t="s">
        <v>1317</v>
      </c>
      <c r="BN57" t="s">
        <v>74</v>
      </c>
      <c r="BO57" t="s">
        <v>105</v>
      </c>
      <c r="BP57" t="s">
        <v>74</v>
      </c>
      <c r="BQ57" t="s">
        <v>74</v>
      </c>
      <c r="BR57" t="s">
        <v>106</v>
      </c>
      <c r="BS57" t="s">
        <v>1318</v>
      </c>
      <c r="BT57" t="str">
        <f>HYPERLINK("https%3A%2F%2Fwww.webofscience.com%2Fwos%2Fwoscc%2Ffull-record%2FWOS:000402488000008","View Full Record in Web of Science")</f>
        <v>View Full Record in Web of Science</v>
      </c>
    </row>
    <row r="58" spans="1:72" x14ac:dyDescent="0.15">
      <c r="A58" t="s">
        <v>72</v>
      </c>
      <c r="B58" t="s">
        <v>1319</v>
      </c>
      <c r="C58" t="s">
        <v>74</v>
      </c>
      <c r="D58" t="s">
        <v>74</v>
      </c>
      <c r="E58" t="s">
        <v>74</v>
      </c>
      <c r="F58" t="s">
        <v>1320</v>
      </c>
      <c r="G58" t="s">
        <v>74</v>
      </c>
      <c r="H58" t="s">
        <v>74</v>
      </c>
      <c r="I58" t="s">
        <v>1321</v>
      </c>
      <c r="J58" t="s">
        <v>1322</v>
      </c>
      <c r="K58" t="s">
        <v>74</v>
      </c>
      <c r="L58" t="s">
        <v>74</v>
      </c>
      <c r="M58" t="s">
        <v>78</v>
      </c>
      <c r="N58" t="s">
        <v>79</v>
      </c>
      <c r="O58" t="s">
        <v>74</v>
      </c>
      <c r="P58" t="s">
        <v>74</v>
      </c>
      <c r="Q58" t="s">
        <v>74</v>
      </c>
      <c r="R58" t="s">
        <v>74</v>
      </c>
      <c r="S58" t="s">
        <v>74</v>
      </c>
      <c r="T58" t="s">
        <v>1323</v>
      </c>
      <c r="U58" t="s">
        <v>1324</v>
      </c>
      <c r="V58" t="s">
        <v>1325</v>
      </c>
      <c r="W58" t="s">
        <v>1326</v>
      </c>
      <c r="X58" t="s">
        <v>1327</v>
      </c>
      <c r="Y58" t="s">
        <v>1328</v>
      </c>
      <c r="Z58" t="s">
        <v>1329</v>
      </c>
      <c r="AA58" t="s">
        <v>1330</v>
      </c>
      <c r="AB58" t="s">
        <v>1331</v>
      </c>
      <c r="AC58" t="s">
        <v>1332</v>
      </c>
      <c r="AD58" t="s">
        <v>1332</v>
      </c>
      <c r="AE58" t="s">
        <v>1333</v>
      </c>
      <c r="AF58" t="s">
        <v>74</v>
      </c>
      <c r="AG58">
        <v>48</v>
      </c>
      <c r="AH58">
        <v>15</v>
      </c>
      <c r="AI58">
        <v>17</v>
      </c>
      <c r="AJ58">
        <v>0</v>
      </c>
      <c r="AK58">
        <v>21</v>
      </c>
      <c r="AL58" t="s">
        <v>656</v>
      </c>
      <c r="AM58" t="s">
        <v>93</v>
      </c>
      <c r="AN58" t="s">
        <v>657</v>
      </c>
      <c r="AO58" t="s">
        <v>1334</v>
      </c>
      <c r="AP58" t="s">
        <v>74</v>
      </c>
      <c r="AQ58" t="s">
        <v>74</v>
      </c>
      <c r="AR58" t="s">
        <v>1335</v>
      </c>
      <c r="AS58" t="s">
        <v>1336</v>
      </c>
      <c r="AT58" t="s">
        <v>99</v>
      </c>
      <c r="AU58">
        <v>2017</v>
      </c>
      <c r="AV58">
        <v>165</v>
      </c>
      <c r="AW58" t="s">
        <v>74</v>
      </c>
      <c r="AX58" t="s">
        <v>74</v>
      </c>
      <c r="AY58" t="s">
        <v>74</v>
      </c>
      <c r="AZ58" t="s">
        <v>74</v>
      </c>
      <c r="BA58" t="s">
        <v>74</v>
      </c>
      <c r="BB58">
        <v>111</v>
      </c>
      <c r="BC58">
        <v>126</v>
      </c>
      <c r="BD58" t="s">
        <v>74</v>
      </c>
      <c r="BE58" t="s">
        <v>1337</v>
      </c>
      <c r="BF58" t="str">
        <f>HYPERLINK("http://dx.doi.org/10.1016/j.quascirev.2017.04.025","http://dx.doi.org/10.1016/j.quascirev.2017.04.025")</f>
        <v>http://dx.doi.org/10.1016/j.quascirev.2017.04.025</v>
      </c>
      <c r="BG58" t="s">
        <v>74</v>
      </c>
      <c r="BH58" t="s">
        <v>74</v>
      </c>
      <c r="BI58">
        <v>16</v>
      </c>
      <c r="BJ58" t="s">
        <v>1338</v>
      </c>
      <c r="BK58" t="s">
        <v>103</v>
      </c>
      <c r="BL58" t="s">
        <v>1339</v>
      </c>
      <c r="BM58" t="s">
        <v>1340</v>
      </c>
      <c r="BN58" t="s">
        <v>74</v>
      </c>
      <c r="BO58" t="s">
        <v>74</v>
      </c>
      <c r="BP58" t="s">
        <v>74</v>
      </c>
      <c r="BQ58" t="s">
        <v>74</v>
      </c>
      <c r="BR58" t="s">
        <v>106</v>
      </c>
      <c r="BS58" t="s">
        <v>1341</v>
      </c>
      <c r="BT58" t="str">
        <f>HYPERLINK("https%3A%2F%2Fwww.webofscience.com%2Fwos%2Fwoscc%2Ffull-record%2FWOS:000402946900009","View Full Record in Web of Science")</f>
        <v>View Full Record in Web of Science</v>
      </c>
    </row>
    <row r="59" spans="1:72" x14ac:dyDescent="0.15">
      <c r="A59" t="s">
        <v>72</v>
      </c>
      <c r="B59" t="s">
        <v>1342</v>
      </c>
      <c r="C59" t="s">
        <v>74</v>
      </c>
      <c r="D59" t="s">
        <v>74</v>
      </c>
      <c r="E59" t="s">
        <v>74</v>
      </c>
      <c r="F59" t="s">
        <v>1343</v>
      </c>
      <c r="G59" t="s">
        <v>74</v>
      </c>
      <c r="H59" t="s">
        <v>74</v>
      </c>
      <c r="I59" t="s">
        <v>1344</v>
      </c>
      <c r="J59" t="s">
        <v>1322</v>
      </c>
      <c r="K59" t="s">
        <v>74</v>
      </c>
      <c r="L59" t="s">
        <v>74</v>
      </c>
      <c r="M59" t="s">
        <v>78</v>
      </c>
      <c r="N59" t="s">
        <v>79</v>
      </c>
      <c r="O59" t="s">
        <v>74</v>
      </c>
      <c r="P59" t="s">
        <v>74</v>
      </c>
      <c r="Q59" t="s">
        <v>74</v>
      </c>
      <c r="R59" t="s">
        <v>74</v>
      </c>
      <c r="S59" t="s">
        <v>74</v>
      </c>
      <c r="T59" t="s">
        <v>1345</v>
      </c>
      <c r="U59" t="s">
        <v>1346</v>
      </c>
      <c r="V59" t="s">
        <v>1347</v>
      </c>
      <c r="W59" t="s">
        <v>1348</v>
      </c>
      <c r="X59" t="s">
        <v>1349</v>
      </c>
      <c r="Y59" t="s">
        <v>1350</v>
      </c>
      <c r="Z59" t="s">
        <v>1351</v>
      </c>
      <c r="AA59" t="s">
        <v>1352</v>
      </c>
      <c r="AB59" t="s">
        <v>1353</v>
      </c>
      <c r="AC59" t="s">
        <v>1354</v>
      </c>
      <c r="AD59" t="s">
        <v>1355</v>
      </c>
      <c r="AE59" t="s">
        <v>1356</v>
      </c>
      <c r="AF59" t="s">
        <v>74</v>
      </c>
      <c r="AG59">
        <v>148</v>
      </c>
      <c r="AH59">
        <v>64</v>
      </c>
      <c r="AI59">
        <v>70</v>
      </c>
      <c r="AJ59">
        <v>2</v>
      </c>
      <c r="AK59">
        <v>24</v>
      </c>
      <c r="AL59" t="s">
        <v>656</v>
      </c>
      <c r="AM59" t="s">
        <v>93</v>
      </c>
      <c r="AN59" t="s">
        <v>657</v>
      </c>
      <c r="AO59" t="s">
        <v>1334</v>
      </c>
      <c r="AP59" t="s">
        <v>74</v>
      </c>
      <c r="AQ59" t="s">
        <v>74</v>
      </c>
      <c r="AR59" t="s">
        <v>1335</v>
      </c>
      <c r="AS59" t="s">
        <v>1336</v>
      </c>
      <c r="AT59" t="s">
        <v>99</v>
      </c>
      <c r="AU59">
        <v>2017</v>
      </c>
      <c r="AV59">
        <v>165</v>
      </c>
      <c r="AW59" t="s">
        <v>74</v>
      </c>
      <c r="AX59" t="s">
        <v>74</v>
      </c>
      <c r="AY59" t="s">
        <v>74</v>
      </c>
      <c r="AZ59" t="s">
        <v>74</v>
      </c>
      <c r="BA59" t="s">
        <v>74</v>
      </c>
      <c r="BB59">
        <v>127</v>
      </c>
      <c r="BC59">
        <v>148</v>
      </c>
      <c r="BD59" t="s">
        <v>74</v>
      </c>
      <c r="BE59" t="s">
        <v>1357</v>
      </c>
      <c r="BF59" t="str">
        <f>HYPERLINK("http://dx.doi.org/10.1016/j.quascirev.2017.04.004","http://dx.doi.org/10.1016/j.quascirev.2017.04.004")</f>
        <v>http://dx.doi.org/10.1016/j.quascirev.2017.04.004</v>
      </c>
      <c r="BG59" t="s">
        <v>74</v>
      </c>
      <c r="BH59" t="s">
        <v>74</v>
      </c>
      <c r="BI59">
        <v>22</v>
      </c>
      <c r="BJ59" t="s">
        <v>1338</v>
      </c>
      <c r="BK59" t="s">
        <v>1358</v>
      </c>
      <c r="BL59" t="s">
        <v>1339</v>
      </c>
      <c r="BM59" t="s">
        <v>1340</v>
      </c>
      <c r="BN59" t="s">
        <v>74</v>
      </c>
      <c r="BO59" t="s">
        <v>74</v>
      </c>
      <c r="BP59" t="s">
        <v>74</v>
      </c>
      <c r="BQ59" t="s">
        <v>74</v>
      </c>
      <c r="BR59" t="s">
        <v>106</v>
      </c>
      <c r="BS59" t="s">
        <v>1359</v>
      </c>
      <c r="BT59" t="str">
        <f>HYPERLINK("https%3A%2F%2Fwww.webofscience.com%2Fwos%2Fwoscc%2Ffull-record%2FWOS:000402946900010","View Full Record in Web of Science")</f>
        <v>View Full Record in Web of Science</v>
      </c>
    </row>
    <row r="60" spans="1:72" x14ac:dyDescent="0.15">
      <c r="A60" t="s">
        <v>72</v>
      </c>
      <c r="B60" t="s">
        <v>1360</v>
      </c>
      <c r="C60" t="s">
        <v>74</v>
      </c>
      <c r="D60" t="s">
        <v>74</v>
      </c>
      <c r="E60" t="s">
        <v>74</v>
      </c>
      <c r="F60" t="s">
        <v>1361</v>
      </c>
      <c r="G60" t="s">
        <v>74</v>
      </c>
      <c r="H60" t="s">
        <v>74</v>
      </c>
      <c r="I60" t="s">
        <v>1362</v>
      </c>
      <c r="J60" t="s">
        <v>1363</v>
      </c>
      <c r="K60" t="s">
        <v>74</v>
      </c>
      <c r="L60" t="s">
        <v>74</v>
      </c>
      <c r="M60" t="s">
        <v>78</v>
      </c>
      <c r="N60" t="s">
        <v>79</v>
      </c>
      <c r="O60" t="s">
        <v>74</v>
      </c>
      <c r="P60" t="s">
        <v>74</v>
      </c>
      <c r="Q60" t="s">
        <v>74</v>
      </c>
      <c r="R60" t="s">
        <v>74</v>
      </c>
      <c r="S60" t="s">
        <v>74</v>
      </c>
      <c r="T60" t="s">
        <v>1364</v>
      </c>
      <c r="U60" t="s">
        <v>1365</v>
      </c>
      <c r="V60" t="s">
        <v>1366</v>
      </c>
      <c r="W60" t="s">
        <v>1367</v>
      </c>
      <c r="X60" t="s">
        <v>1368</v>
      </c>
      <c r="Y60" t="s">
        <v>1369</v>
      </c>
      <c r="Z60" t="s">
        <v>1370</v>
      </c>
      <c r="AA60" t="s">
        <v>74</v>
      </c>
      <c r="AB60" t="s">
        <v>1371</v>
      </c>
      <c r="AC60" t="s">
        <v>1372</v>
      </c>
      <c r="AD60" t="s">
        <v>1373</v>
      </c>
      <c r="AE60" t="s">
        <v>1372</v>
      </c>
      <c r="AF60" t="s">
        <v>74</v>
      </c>
      <c r="AG60">
        <v>61</v>
      </c>
      <c r="AH60">
        <v>22</v>
      </c>
      <c r="AI60">
        <v>22</v>
      </c>
      <c r="AJ60">
        <v>1</v>
      </c>
      <c r="AK60">
        <v>24</v>
      </c>
      <c r="AL60" t="s">
        <v>681</v>
      </c>
      <c r="AM60" t="s">
        <v>682</v>
      </c>
      <c r="AN60" t="s">
        <v>683</v>
      </c>
      <c r="AO60" t="s">
        <v>1374</v>
      </c>
      <c r="AP60" t="s">
        <v>1375</v>
      </c>
      <c r="AQ60" t="s">
        <v>74</v>
      </c>
      <c r="AR60" t="s">
        <v>1376</v>
      </c>
      <c r="AS60" t="s">
        <v>1377</v>
      </c>
      <c r="AT60" t="s">
        <v>128</v>
      </c>
      <c r="AU60">
        <v>2017</v>
      </c>
      <c r="AV60">
        <v>57</v>
      </c>
      <c r="AW60">
        <v>6</v>
      </c>
      <c r="AX60" t="s">
        <v>74</v>
      </c>
      <c r="AY60" t="s">
        <v>74</v>
      </c>
      <c r="AZ60" t="s">
        <v>74</v>
      </c>
      <c r="BA60" t="s">
        <v>74</v>
      </c>
      <c r="BB60">
        <v>504</v>
      </c>
      <c r="BC60">
        <v>516</v>
      </c>
      <c r="BD60" t="s">
        <v>74</v>
      </c>
      <c r="BE60" t="s">
        <v>1378</v>
      </c>
      <c r="BF60" t="str">
        <f>HYPERLINK("http://dx.doi.org/10.1002/jobm.201700021","http://dx.doi.org/10.1002/jobm.201700021")</f>
        <v>http://dx.doi.org/10.1002/jobm.201700021</v>
      </c>
      <c r="BG60" t="s">
        <v>74</v>
      </c>
      <c r="BH60" t="s">
        <v>74</v>
      </c>
      <c r="BI60">
        <v>13</v>
      </c>
      <c r="BJ60" t="s">
        <v>410</v>
      </c>
      <c r="BK60" t="s">
        <v>103</v>
      </c>
      <c r="BL60" t="s">
        <v>410</v>
      </c>
      <c r="BM60" t="s">
        <v>1379</v>
      </c>
      <c r="BN60">
        <v>28272809</v>
      </c>
      <c r="BO60" t="s">
        <v>74</v>
      </c>
      <c r="BP60" t="s">
        <v>74</v>
      </c>
      <c r="BQ60" t="s">
        <v>74</v>
      </c>
      <c r="BR60" t="s">
        <v>106</v>
      </c>
      <c r="BS60" t="s">
        <v>1380</v>
      </c>
      <c r="BT60" t="str">
        <f>HYPERLINK("https%3A%2F%2Fwww.webofscience.com%2Fwos%2Fwoscc%2Ffull-record%2FWOS:000402991000005","View Full Record in Web of Science")</f>
        <v>View Full Record in Web of Science</v>
      </c>
    </row>
    <row r="61" spans="1:72" x14ac:dyDescent="0.15">
      <c r="A61" t="s">
        <v>72</v>
      </c>
      <c r="B61" t="s">
        <v>1381</v>
      </c>
      <c r="C61" t="s">
        <v>74</v>
      </c>
      <c r="D61" t="s">
        <v>74</v>
      </c>
      <c r="E61" t="s">
        <v>74</v>
      </c>
      <c r="F61" t="s">
        <v>1382</v>
      </c>
      <c r="G61" t="s">
        <v>74</v>
      </c>
      <c r="H61" t="s">
        <v>74</v>
      </c>
      <c r="I61" t="s">
        <v>1383</v>
      </c>
      <c r="J61" t="s">
        <v>1384</v>
      </c>
      <c r="K61" t="s">
        <v>74</v>
      </c>
      <c r="L61" t="s">
        <v>74</v>
      </c>
      <c r="M61" t="s">
        <v>78</v>
      </c>
      <c r="N61" t="s">
        <v>79</v>
      </c>
      <c r="O61" t="s">
        <v>74</v>
      </c>
      <c r="P61" t="s">
        <v>74</v>
      </c>
      <c r="Q61" t="s">
        <v>74</v>
      </c>
      <c r="R61" t="s">
        <v>74</v>
      </c>
      <c r="S61" t="s">
        <v>74</v>
      </c>
      <c r="T61" t="s">
        <v>1385</v>
      </c>
      <c r="U61" t="s">
        <v>1386</v>
      </c>
      <c r="V61" t="s">
        <v>1387</v>
      </c>
      <c r="W61" t="s">
        <v>1388</v>
      </c>
      <c r="X61" t="s">
        <v>1389</v>
      </c>
      <c r="Y61" t="s">
        <v>1390</v>
      </c>
      <c r="Z61" t="s">
        <v>1391</v>
      </c>
      <c r="AA61" t="s">
        <v>1392</v>
      </c>
      <c r="AB61" t="s">
        <v>1393</v>
      </c>
      <c r="AC61" t="s">
        <v>1394</v>
      </c>
      <c r="AD61" t="s">
        <v>1395</v>
      </c>
      <c r="AE61" t="s">
        <v>1396</v>
      </c>
      <c r="AF61" t="s">
        <v>74</v>
      </c>
      <c r="AG61">
        <v>84</v>
      </c>
      <c r="AH61">
        <v>28</v>
      </c>
      <c r="AI61">
        <v>29</v>
      </c>
      <c r="AJ61">
        <v>2</v>
      </c>
      <c r="AK61">
        <v>65</v>
      </c>
      <c r="AL61" t="s">
        <v>681</v>
      </c>
      <c r="AM61" t="s">
        <v>682</v>
      </c>
      <c r="AN61" t="s">
        <v>683</v>
      </c>
      <c r="AO61" t="s">
        <v>1397</v>
      </c>
      <c r="AP61" t="s">
        <v>1398</v>
      </c>
      <c r="AQ61" t="s">
        <v>74</v>
      </c>
      <c r="AR61" t="s">
        <v>1399</v>
      </c>
      <c r="AS61" t="s">
        <v>1400</v>
      </c>
      <c r="AT61" t="s">
        <v>128</v>
      </c>
      <c r="AU61">
        <v>2017</v>
      </c>
      <c r="AV61">
        <v>53</v>
      </c>
      <c r="AW61">
        <v>3</v>
      </c>
      <c r="AX61" t="s">
        <v>74</v>
      </c>
      <c r="AY61" t="s">
        <v>74</v>
      </c>
      <c r="AZ61" t="s">
        <v>74</v>
      </c>
      <c r="BA61" t="s">
        <v>74</v>
      </c>
      <c r="BB61">
        <v>557</v>
      </c>
      <c r="BC61">
        <v>566</v>
      </c>
      <c r="BD61" t="s">
        <v>74</v>
      </c>
      <c r="BE61" t="s">
        <v>1401</v>
      </c>
      <c r="BF61" t="str">
        <f>HYPERLINK("http://dx.doi.org/10.1111/jpy.12518","http://dx.doi.org/10.1111/jpy.12518")</f>
        <v>http://dx.doi.org/10.1111/jpy.12518</v>
      </c>
      <c r="BG61" t="s">
        <v>74</v>
      </c>
      <c r="BH61" t="s">
        <v>74</v>
      </c>
      <c r="BI61">
        <v>10</v>
      </c>
      <c r="BJ61" t="s">
        <v>1402</v>
      </c>
      <c r="BK61" t="s">
        <v>103</v>
      </c>
      <c r="BL61" t="s">
        <v>1402</v>
      </c>
      <c r="BM61" t="s">
        <v>1403</v>
      </c>
      <c r="BN61">
        <v>28164308</v>
      </c>
      <c r="BO61" t="s">
        <v>1100</v>
      </c>
      <c r="BP61" t="s">
        <v>74</v>
      </c>
      <c r="BQ61" t="s">
        <v>74</v>
      </c>
      <c r="BR61" t="s">
        <v>106</v>
      </c>
      <c r="BS61" t="s">
        <v>1404</v>
      </c>
      <c r="BT61" t="str">
        <f>HYPERLINK("https%3A%2F%2Fwww.webofscience.com%2Fwos%2Fwoscc%2Ffull-record%2FWOS:000402675300008","View Full Record in Web of Science")</f>
        <v>View Full Record in Web of Science</v>
      </c>
    </row>
    <row r="62" spans="1:72" x14ac:dyDescent="0.15">
      <c r="A62" t="s">
        <v>72</v>
      </c>
      <c r="B62" t="s">
        <v>1405</v>
      </c>
      <c r="C62" t="s">
        <v>74</v>
      </c>
      <c r="D62" t="s">
        <v>74</v>
      </c>
      <c r="E62" t="s">
        <v>74</v>
      </c>
      <c r="F62" t="s">
        <v>1406</v>
      </c>
      <c r="G62" t="s">
        <v>74</v>
      </c>
      <c r="H62" t="s">
        <v>74</v>
      </c>
      <c r="I62" t="s">
        <v>1407</v>
      </c>
      <c r="J62" t="s">
        <v>1408</v>
      </c>
      <c r="K62" t="s">
        <v>74</v>
      </c>
      <c r="L62" t="s">
        <v>74</v>
      </c>
      <c r="M62" t="s">
        <v>78</v>
      </c>
      <c r="N62" t="s">
        <v>79</v>
      </c>
      <c r="O62" t="s">
        <v>74</v>
      </c>
      <c r="P62" t="s">
        <v>74</v>
      </c>
      <c r="Q62" t="s">
        <v>74</v>
      </c>
      <c r="R62" t="s">
        <v>74</v>
      </c>
      <c r="S62" t="s">
        <v>74</v>
      </c>
      <c r="T62" t="s">
        <v>74</v>
      </c>
      <c r="U62" t="s">
        <v>1409</v>
      </c>
      <c r="V62" t="s">
        <v>1410</v>
      </c>
      <c r="W62" t="s">
        <v>1411</v>
      </c>
      <c r="X62" t="s">
        <v>1412</v>
      </c>
      <c r="Y62" t="s">
        <v>1413</v>
      </c>
      <c r="Z62" t="s">
        <v>1414</v>
      </c>
      <c r="AA62" t="s">
        <v>74</v>
      </c>
      <c r="AB62" t="s">
        <v>1415</v>
      </c>
      <c r="AC62" t="s">
        <v>1416</v>
      </c>
      <c r="AD62" t="s">
        <v>1417</v>
      </c>
      <c r="AE62" t="s">
        <v>1418</v>
      </c>
      <c r="AF62" t="s">
        <v>74</v>
      </c>
      <c r="AG62">
        <v>103</v>
      </c>
      <c r="AH62">
        <v>66</v>
      </c>
      <c r="AI62">
        <v>73</v>
      </c>
      <c r="AJ62">
        <v>4</v>
      </c>
      <c r="AK62">
        <v>24</v>
      </c>
      <c r="AL62" t="s">
        <v>681</v>
      </c>
      <c r="AM62" t="s">
        <v>682</v>
      </c>
      <c r="AN62" t="s">
        <v>683</v>
      </c>
      <c r="AO62" t="s">
        <v>1419</v>
      </c>
      <c r="AP62" t="s">
        <v>1420</v>
      </c>
      <c r="AQ62" t="s">
        <v>74</v>
      </c>
      <c r="AR62" t="s">
        <v>1421</v>
      </c>
      <c r="AS62" t="s">
        <v>1422</v>
      </c>
      <c r="AT62" t="s">
        <v>128</v>
      </c>
      <c r="AU62">
        <v>2017</v>
      </c>
      <c r="AV62">
        <v>52</v>
      </c>
      <c r="AW62">
        <v>6</v>
      </c>
      <c r="AX62" t="s">
        <v>74</v>
      </c>
      <c r="AY62" t="s">
        <v>74</v>
      </c>
      <c r="AZ62" t="s">
        <v>74</v>
      </c>
      <c r="BA62" t="s">
        <v>74</v>
      </c>
      <c r="BB62">
        <v>1197</v>
      </c>
      <c r="BC62">
        <v>1215</v>
      </c>
      <c r="BD62" t="s">
        <v>74</v>
      </c>
      <c r="BE62" t="s">
        <v>1423</v>
      </c>
      <c r="BF62" t="str">
        <f>HYPERLINK("http://dx.doi.org/10.1111/maps.12872","http://dx.doi.org/10.1111/maps.12872")</f>
        <v>http://dx.doi.org/10.1111/maps.12872</v>
      </c>
      <c r="BG62" t="s">
        <v>74</v>
      </c>
      <c r="BH62" t="s">
        <v>74</v>
      </c>
      <c r="BI62">
        <v>19</v>
      </c>
      <c r="BJ62" t="s">
        <v>176</v>
      </c>
      <c r="BK62" t="s">
        <v>103</v>
      </c>
      <c r="BL62" t="s">
        <v>176</v>
      </c>
      <c r="BM62" t="s">
        <v>1424</v>
      </c>
      <c r="BN62" t="s">
        <v>74</v>
      </c>
      <c r="BO62" t="s">
        <v>1425</v>
      </c>
      <c r="BP62" t="s">
        <v>74</v>
      </c>
      <c r="BQ62" t="s">
        <v>74</v>
      </c>
      <c r="BR62" t="s">
        <v>106</v>
      </c>
      <c r="BS62" t="s">
        <v>1426</v>
      </c>
      <c r="BT62" t="str">
        <f>HYPERLINK("https%3A%2F%2Fwww.webofscience.com%2Fwos%2Fwoscc%2Ffull-record%2FWOS:000402807400012","View Full Record in Web of Science")</f>
        <v>View Full Record in Web of Science</v>
      </c>
    </row>
    <row r="63" spans="1:72" x14ac:dyDescent="0.15">
      <c r="A63" t="s">
        <v>72</v>
      </c>
      <c r="B63" t="s">
        <v>1427</v>
      </c>
      <c r="C63" t="s">
        <v>74</v>
      </c>
      <c r="D63" t="s">
        <v>74</v>
      </c>
      <c r="E63" t="s">
        <v>74</v>
      </c>
      <c r="F63" t="s">
        <v>1428</v>
      </c>
      <c r="G63" t="s">
        <v>74</v>
      </c>
      <c r="H63" t="s">
        <v>74</v>
      </c>
      <c r="I63" t="s">
        <v>1429</v>
      </c>
      <c r="J63" t="s">
        <v>1430</v>
      </c>
      <c r="K63" t="s">
        <v>74</v>
      </c>
      <c r="L63" t="s">
        <v>74</v>
      </c>
      <c r="M63" t="s">
        <v>78</v>
      </c>
      <c r="N63" t="s">
        <v>79</v>
      </c>
      <c r="O63" t="s">
        <v>74</v>
      </c>
      <c r="P63" t="s">
        <v>74</v>
      </c>
      <c r="Q63" t="s">
        <v>74</v>
      </c>
      <c r="R63" t="s">
        <v>74</v>
      </c>
      <c r="S63" t="s">
        <v>74</v>
      </c>
      <c r="T63" t="s">
        <v>1431</v>
      </c>
      <c r="U63" t="s">
        <v>1432</v>
      </c>
      <c r="V63" t="s">
        <v>1433</v>
      </c>
      <c r="W63" t="s">
        <v>1434</v>
      </c>
      <c r="X63" t="s">
        <v>1435</v>
      </c>
      <c r="Y63" t="s">
        <v>1436</v>
      </c>
      <c r="Z63" t="s">
        <v>1437</v>
      </c>
      <c r="AA63" t="s">
        <v>1438</v>
      </c>
      <c r="AB63" t="s">
        <v>1439</v>
      </c>
      <c r="AC63" t="s">
        <v>1440</v>
      </c>
      <c r="AD63" t="s">
        <v>1441</v>
      </c>
      <c r="AE63" t="s">
        <v>1442</v>
      </c>
      <c r="AF63" t="s">
        <v>74</v>
      </c>
      <c r="AG63">
        <v>23</v>
      </c>
      <c r="AH63">
        <v>32</v>
      </c>
      <c r="AI63">
        <v>33</v>
      </c>
      <c r="AJ63">
        <v>1</v>
      </c>
      <c r="AK63">
        <v>5</v>
      </c>
      <c r="AL63" t="s">
        <v>681</v>
      </c>
      <c r="AM63" t="s">
        <v>682</v>
      </c>
      <c r="AN63" t="s">
        <v>683</v>
      </c>
      <c r="AO63" t="s">
        <v>1443</v>
      </c>
      <c r="AP63" t="s">
        <v>1444</v>
      </c>
      <c r="AQ63" t="s">
        <v>74</v>
      </c>
      <c r="AR63" t="s">
        <v>1445</v>
      </c>
      <c r="AS63" t="s">
        <v>1446</v>
      </c>
      <c r="AT63" t="s">
        <v>128</v>
      </c>
      <c r="AU63">
        <v>2017</v>
      </c>
      <c r="AV63">
        <v>8</v>
      </c>
      <c r="AW63">
        <v>6</v>
      </c>
      <c r="AX63" t="s">
        <v>74</v>
      </c>
      <c r="AY63" t="s">
        <v>74</v>
      </c>
      <c r="AZ63" t="s">
        <v>74</v>
      </c>
      <c r="BA63" t="s">
        <v>74</v>
      </c>
      <c r="BB63">
        <v>750</v>
      </c>
      <c r="BC63">
        <v>756</v>
      </c>
      <c r="BD63" t="s">
        <v>74</v>
      </c>
      <c r="BE63" t="s">
        <v>1447</v>
      </c>
      <c r="BF63" t="str">
        <f>HYPERLINK("http://dx.doi.org/10.1111/2041-210X.12702","http://dx.doi.org/10.1111/2041-210X.12702")</f>
        <v>http://dx.doi.org/10.1111/2041-210X.12702</v>
      </c>
      <c r="BG63" t="s">
        <v>74</v>
      </c>
      <c r="BH63" t="s">
        <v>74</v>
      </c>
      <c r="BI63">
        <v>7</v>
      </c>
      <c r="BJ63" t="s">
        <v>992</v>
      </c>
      <c r="BK63" t="s">
        <v>103</v>
      </c>
      <c r="BL63" t="s">
        <v>993</v>
      </c>
      <c r="BM63" t="s">
        <v>1448</v>
      </c>
      <c r="BN63" t="s">
        <v>74</v>
      </c>
      <c r="BO63" t="s">
        <v>412</v>
      </c>
      <c r="BP63" t="s">
        <v>74</v>
      </c>
      <c r="BQ63" t="s">
        <v>74</v>
      </c>
      <c r="BR63" t="s">
        <v>106</v>
      </c>
      <c r="BS63" t="s">
        <v>1449</v>
      </c>
      <c r="BT63" t="str">
        <f>HYPERLINK("https%3A%2F%2Fwww.webofscience.com%2Fwos%2Fwoscc%2Ffull-record%2FWOS:000402919100009","View Full Record in Web of Science")</f>
        <v>View Full Record in Web of Science</v>
      </c>
    </row>
    <row r="64" spans="1:72" x14ac:dyDescent="0.15">
      <c r="A64" t="s">
        <v>72</v>
      </c>
      <c r="B64" t="s">
        <v>1450</v>
      </c>
      <c r="C64" t="s">
        <v>74</v>
      </c>
      <c r="D64" t="s">
        <v>74</v>
      </c>
      <c r="E64" t="s">
        <v>74</v>
      </c>
      <c r="F64" t="s">
        <v>1451</v>
      </c>
      <c r="G64" t="s">
        <v>74</v>
      </c>
      <c r="H64" t="s">
        <v>74</v>
      </c>
      <c r="I64" t="s">
        <v>1452</v>
      </c>
      <c r="J64" t="s">
        <v>1453</v>
      </c>
      <c r="K64" t="s">
        <v>74</v>
      </c>
      <c r="L64" t="s">
        <v>74</v>
      </c>
      <c r="M64" t="s">
        <v>78</v>
      </c>
      <c r="N64" t="s">
        <v>79</v>
      </c>
      <c r="O64" t="s">
        <v>74</v>
      </c>
      <c r="P64" t="s">
        <v>74</v>
      </c>
      <c r="Q64" t="s">
        <v>74</v>
      </c>
      <c r="R64" t="s">
        <v>74</v>
      </c>
      <c r="S64" t="s">
        <v>74</v>
      </c>
      <c r="T64" t="s">
        <v>1454</v>
      </c>
      <c r="U64" t="s">
        <v>1455</v>
      </c>
      <c r="V64" t="s">
        <v>1456</v>
      </c>
      <c r="W64" t="s">
        <v>1457</v>
      </c>
      <c r="X64" t="s">
        <v>1458</v>
      </c>
      <c r="Y64" t="s">
        <v>1459</v>
      </c>
      <c r="Z64" t="s">
        <v>1460</v>
      </c>
      <c r="AA64" t="s">
        <v>1461</v>
      </c>
      <c r="AB64" t="s">
        <v>1462</v>
      </c>
      <c r="AC64" t="s">
        <v>1463</v>
      </c>
      <c r="AD64" t="s">
        <v>1463</v>
      </c>
      <c r="AE64" t="s">
        <v>1464</v>
      </c>
      <c r="AF64" t="s">
        <v>74</v>
      </c>
      <c r="AG64">
        <v>44</v>
      </c>
      <c r="AH64">
        <v>9</v>
      </c>
      <c r="AI64">
        <v>9</v>
      </c>
      <c r="AJ64">
        <v>4</v>
      </c>
      <c r="AK64">
        <v>34</v>
      </c>
      <c r="AL64" t="s">
        <v>986</v>
      </c>
      <c r="AM64" t="s">
        <v>430</v>
      </c>
      <c r="AN64" t="s">
        <v>987</v>
      </c>
      <c r="AO64" t="s">
        <v>1465</v>
      </c>
      <c r="AP64" t="s">
        <v>1466</v>
      </c>
      <c r="AQ64" t="s">
        <v>74</v>
      </c>
      <c r="AR64" t="s">
        <v>1453</v>
      </c>
      <c r="AS64" t="s">
        <v>1467</v>
      </c>
      <c r="AT64" t="s">
        <v>128</v>
      </c>
      <c r="AU64">
        <v>2017</v>
      </c>
      <c r="AV64">
        <v>36</v>
      </c>
      <c r="AW64">
        <v>2</v>
      </c>
      <c r="AX64" t="s">
        <v>74</v>
      </c>
      <c r="AY64" t="s">
        <v>74</v>
      </c>
      <c r="AZ64" t="s">
        <v>74</v>
      </c>
      <c r="BA64" t="s">
        <v>74</v>
      </c>
      <c r="BB64">
        <v>653</v>
      </c>
      <c r="BC64">
        <v>661</v>
      </c>
      <c r="BD64" t="s">
        <v>74</v>
      </c>
      <c r="BE64" t="s">
        <v>1468</v>
      </c>
      <c r="BF64" t="str">
        <f>HYPERLINK("http://dx.doi.org/10.1007/s00338-017-1556-y","http://dx.doi.org/10.1007/s00338-017-1556-y")</f>
        <v>http://dx.doi.org/10.1007/s00338-017-1556-y</v>
      </c>
      <c r="BG64" t="s">
        <v>74</v>
      </c>
      <c r="BH64" t="s">
        <v>74</v>
      </c>
      <c r="BI64">
        <v>9</v>
      </c>
      <c r="BJ64" t="s">
        <v>737</v>
      </c>
      <c r="BK64" t="s">
        <v>103</v>
      </c>
      <c r="BL64" t="s">
        <v>737</v>
      </c>
      <c r="BM64" t="s">
        <v>1469</v>
      </c>
      <c r="BN64" t="s">
        <v>74</v>
      </c>
      <c r="BO64" t="s">
        <v>74</v>
      </c>
      <c r="BP64" t="s">
        <v>74</v>
      </c>
      <c r="BQ64" t="s">
        <v>74</v>
      </c>
      <c r="BR64" t="s">
        <v>106</v>
      </c>
      <c r="BS64" t="s">
        <v>1470</v>
      </c>
      <c r="BT64" t="str">
        <f>HYPERLINK("https%3A%2F%2Fwww.webofscience.com%2Fwos%2Fwoscc%2Ffull-record%2FWOS:000401627400029","View Full Record in Web of Science")</f>
        <v>View Full Record in Web of Science</v>
      </c>
    </row>
    <row r="65" spans="1:72" x14ac:dyDescent="0.15">
      <c r="A65" t="s">
        <v>72</v>
      </c>
      <c r="B65" t="s">
        <v>1471</v>
      </c>
      <c r="C65" t="s">
        <v>74</v>
      </c>
      <c r="D65" t="s">
        <v>74</v>
      </c>
      <c r="E65" t="s">
        <v>74</v>
      </c>
      <c r="F65" t="s">
        <v>1472</v>
      </c>
      <c r="G65" t="s">
        <v>74</v>
      </c>
      <c r="H65" t="s">
        <v>74</v>
      </c>
      <c r="I65" t="s">
        <v>1473</v>
      </c>
      <c r="J65" t="s">
        <v>1474</v>
      </c>
      <c r="K65" t="s">
        <v>74</v>
      </c>
      <c r="L65" t="s">
        <v>74</v>
      </c>
      <c r="M65" t="s">
        <v>78</v>
      </c>
      <c r="N65" t="s">
        <v>1475</v>
      </c>
      <c r="O65" t="s">
        <v>74</v>
      </c>
      <c r="P65" t="s">
        <v>74</v>
      </c>
      <c r="Q65" t="s">
        <v>74</v>
      </c>
      <c r="R65" t="s">
        <v>74</v>
      </c>
      <c r="S65" t="s">
        <v>74</v>
      </c>
      <c r="T65" t="s">
        <v>74</v>
      </c>
      <c r="U65" t="s">
        <v>74</v>
      </c>
      <c r="V65" t="s">
        <v>74</v>
      </c>
      <c r="W65" t="s">
        <v>1476</v>
      </c>
      <c r="X65" t="s">
        <v>1477</v>
      </c>
      <c r="Y65" t="s">
        <v>1478</v>
      </c>
      <c r="Z65" t="s">
        <v>74</v>
      </c>
      <c r="AA65" t="s">
        <v>74</v>
      </c>
      <c r="AB65" t="s">
        <v>74</v>
      </c>
      <c r="AC65" t="s">
        <v>74</v>
      </c>
      <c r="AD65" t="s">
        <v>74</v>
      </c>
      <c r="AE65" t="s">
        <v>74</v>
      </c>
      <c r="AF65" t="s">
        <v>74</v>
      </c>
      <c r="AG65">
        <v>1</v>
      </c>
      <c r="AH65">
        <v>0</v>
      </c>
      <c r="AI65">
        <v>0</v>
      </c>
      <c r="AJ65">
        <v>0</v>
      </c>
      <c r="AK65">
        <v>0</v>
      </c>
      <c r="AL65" t="s">
        <v>1479</v>
      </c>
      <c r="AM65" t="s">
        <v>1480</v>
      </c>
      <c r="AN65" t="s">
        <v>1481</v>
      </c>
      <c r="AO65" t="s">
        <v>1482</v>
      </c>
      <c r="AP65" t="s">
        <v>1483</v>
      </c>
      <c r="AQ65" t="s">
        <v>74</v>
      </c>
      <c r="AR65" t="s">
        <v>1474</v>
      </c>
      <c r="AS65" t="s">
        <v>1484</v>
      </c>
      <c r="AT65" t="s">
        <v>128</v>
      </c>
      <c r="AU65">
        <v>2017</v>
      </c>
      <c r="AV65">
        <v>108</v>
      </c>
      <c r="AW65">
        <v>2</v>
      </c>
      <c r="AX65" t="s">
        <v>74</v>
      </c>
      <c r="AY65" t="s">
        <v>74</v>
      </c>
      <c r="AZ65" t="s">
        <v>74</v>
      </c>
      <c r="BA65" t="s">
        <v>74</v>
      </c>
      <c r="BB65">
        <v>429</v>
      </c>
      <c r="BC65" t="s">
        <v>1485</v>
      </c>
      <c r="BD65" t="s">
        <v>74</v>
      </c>
      <c r="BE65" t="s">
        <v>1486</v>
      </c>
      <c r="BF65" t="str">
        <f>HYPERLINK("http://dx.doi.org/10.1086/692366","http://dx.doi.org/10.1086/692366")</f>
        <v>http://dx.doi.org/10.1086/692366</v>
      </c>
      <c r="BG65" t="s">
        <v>74</v>
      </c>
      <c r="BH65" t="s">
        <v>74</v>
      </c>
      <c r="BI65">
        <v>2</v>
      </c>
      <c r="BJ65" t="s">
        <v>1487</v>
      </c>
      <c r="BK65" t="s">
        <v>1488</v>
      </c>
      <c r="BL65" t="s">
        <v>1489</v>
      </c>
      <c r="BM65" t="s">
        <v>1490</v>
      </c>
      <c r="BN65" t="s">
        <v>74</v>
      </c>
      <c r="BO65" t="s">
        <v>74</v>
      </c>
      <c r="BP65" t="s">
        <v>74</v>
      </c>
      <c r="BQ65" t="s">
        <v>74</v>
      </c>
      <c r="BR65" t="s">
        <v>106</v>
      </c>
      <c r="BS65" t="s">
        <v>1491</v>
      </c>
      <c r="BT65" t="str">
        <f>HYPERLINK("https%3A%2F%2Fwww.webofscience.com%2Fwos%2Fwoscc%2Ffull-record%2FWOS:000402165100027","View Full Record in Web of Science")</f>
        <v>View Full Record in Web of Science</v>
      </c>
    </row>
    <row r="66" spans="1:72" x14ac:dyDescent="0.15">
      <c r="A66" t="s">
        <v>72</v>
      </c>
      <c r="B66" t="s">
        <v>1492</v>
      </c>
      <c r="C66" t="s">
        <v>74</v>
      </c>
      <c r="D66" t="s">
        <v>74</v>
      </c>
      <c r="E66" t="s">
        <v>74</v>
      </c>
      <c r="F66" t="s">
        <v>1493</v>
      </c>
      <c r="G66" t="s">
        <v>74</v>
      </c>
      <c r="H66" t="s">
        <v>74</v>
      </c>
      <c r="I66" t="s">
        <v>1494</v>
      </c>
      <c r="J66" t="s">
        <v>1495</v>
      </c>
      <c r="K66" t="s">
        <v>74</v>
      </c>
      <c r="L66" t="s">
        <v>74</v>
      </c>
      <c r="M66" t="s">
        <v>78</v>
      </c>
      <c r="N66" t="s">
        <v>79</v>
      </c>
      <c r="O66" t="s">
        <v>74</v>
      </c>
      <c r="P66" t="s">
        <v>74</v>
      </c>
      <c r="Q66" t="s">
        <v>74</v>
      </c>
      <c r="R66" t="s">
        <v>74</v>
      </c>
      <c r="S66" t="s">
        <v>74</v>
      </c>
      <c r="T66" t="s">
        <v>1496</v>
      </c>
      <c r="U66" t="s">
        <v>1497</v>
      </c>
      <c r="V66" t="s">
        <v>1498</v>
      </c>
      <c r="W66" t="s">
        <v>1499</v>
      </c>
      <c r="X66" t="s">
        <v>1500</v>
      </c>
      <c r="Y66" t="s">
        <v>1501</v>
      </c>
      <c r="Z66" t="s">
        <v>1502</v>
      </c>
      <c r="AA66" t="s">
        <v>1503</v>
      </c>
      <c r="AB66" t="s">
        <v>1504</v>
      </c>
      <c r="AC66" t="s">
        <v>1505</v>
      </c>
      <c r="AD66" t="s">
        <v>1506</v>
      </c>
      <c r="AE66" t="s">
        <v>1507</v>
      </c>
      <c r="AF66" t="s">
        <v>74</v>
      </c>
      <c r="AG66">
        <v>61</v>
      </c>
      <c r="AH66">
        <v>2</v>
      </c>
      <c r="AI66">
        <v>2</v>
      </c>
      <c r="AJ66">
        <v>1</v>
      </c>
      <c r="AK66">
        <v>15</v>
      </c>
      <c r="AL66" t="s">
        <v>1508</v>
      </c>
      <c r="AM66" t="s">
        <v>1509</v>
      </c>
      <c r="AN66" t="s">
        <v>1510</v>
      </c>
      <c r="AO66" t="s">
        <v>1511</v>
      </c>
      <c r="AP66" t="s">
        <v>1512</v>
      </c>
      <c r="AQ66" t="s">
        <v>74</v>
      </c>
      <c r="AR66" t="s">
        <v>1513</v>
      </c>
      <c r="AS66" t="s">
        <v>1514</v>
      </c>
      <c r="AT66" t="s">
        <v>128</v>
      </c>
      <c r="AU66">
        <v>2017</v>
      </c>
      <c r="AV66">
        <v>55</v>
      </c>
      <c r="AW66">
        <v>6</v>
      </c>
      <c r="AX66" t="s">
        <v>74</v>
      </c>
      <c r="AY66" t="s">
        <v>74</v>
      </c>
      <c r="AZ66" t="s">
        <v>74</v>
      </c>
      <c r="BA66" t="s">
        <v>74</v>
      </c>
      <c r="BB66">
        <v>464</v>
      </c>
      <c r="BC66">
        <v>474</v>
      </c>
      <c r="BD66" t="s">
        <v>74</v>
      </c>
      <c r="BE66" t="s">
        <v>1515</v>
      </c>
      <c r="BF66" t="str">
        <f>HYPERLINK("http://dx.doi.org/10.1007/s12275-017-6599-9","http://dx.doi.org/10.1007/s12275-017-6599-9")</f>
        <v>http://dx.doi.org/10.1007/s12275-017-6599-9</v>
      </c>
      <c r="BG66" t="s">
        <v>74</v>
      </c>
      <c r="BH66" t="s">
        <v>74</v>
      </c>
      <c r="BI66">
        <v>11</v>
      </c>
      <c r="BJ66" t="s">
        <v>410</v>
      </c>
      <c r="BK66" t="s">
        <v>103</v>
      </c>
      <c r="BL66" t="s">
        <v>410</v>
      </c>
      <c r="BM66" t="s">
        <v>1516</v>
      </c>
      <c r="BN66">
        <v>28281198</v>
      </c>
      <c r="BO66" t="s">
        <v>74</v>
      </c>
      <c r="BP66" t="s">
        <v>74</v>
      </c>
      <c r="BQ66" t="s">
        <v>74</v>
      </c>
      <c r="BR66" t="s">
        <v>106</v>
      </c>
      <c r="BS66" t="s">
        <v>1517</v>
      </c>
      <c r="BT66" t="str">
        <f>HYPERLINK("https%3A%2F%2Fwww.webofscience.com%2Fwos%2Fwoscc%2Ffull-record%2FWOS:000402151800009","View Full Record in Web of Science")</f>
        <v>View Full Record in Web of Science</v>
      </c>
    </row>
    <row r="67" spans="1:72" x14ac:dyDescent="0.15">
      <c r="A67" t="s">
        <v>72</v>
      </c>
      <c r="B67" t="s">
        <v>1518</v>
      </c>
      <c r="C67" t="s">
        <v>74</v>
      </c>
      <c r="D67" t="s">
        <v>74</v>
      </c>
      <c r="E67" t="s">
        <v>74</v>
      </c>
      <c r="F67" t="s">
        <v>1519</v>
      </c>
      <c r="G67" t="s">
        <v>74</v>
      </c>
      <c r="H67" t="s">
        <v>74</v>
      </c>
      <c r="I67" t="s">
        <v>1520</v>
      </c>
      <c r="J67" t="s">
        <v>1521</v>
      </c>
      <c r="K67" t="s">
        <v>74</v>
      </c>
      <c r="L67" t="s">
        <v>74</v>
      </c>
      <c r="M67" t="s">
        <v>78</v>
      </c>
      <c r="N67" t="s">
        <v>79</v>
      </c>
      <c r="O67" t="s">
        <v>74</v>
      </c>
      <c r="P67" t="s">
        <v>74</v>
      </c>
      <c r="Q67" t="s">
        <v>74</v>
      </c>
      <c r="R67" t="s">
        <v>74</v>
      </c>
      <c r="S67" t="s">
        <v>74</v>
      </c>
      <c r="T67" t="s">
        <v>74</v>
      </c>
      <c r="U67" t="s">
        <v>1522</v>
      </c>
      <c r="V67" t="s">
        <v>1523</v>
      </c>
      <c r="W67" t="s">
        <v>1524</v>
      </c>
      <c r="X67" t="s">
        <v>1525</v>
      </c>
      <c r="Y67" t="s">
        <v>1526</v>
      </c>
      <c r="Z67" t="s">
        <v>1527</v>
      </c>
      <c r="AA67" t="s">
        <v>74</v>
      </c>
      <c r="AB67" t="s">
        <v>1528</v>
      </c>
      <c r="AC67" t="s">
        <v>1529</v>
      </c>
      <c r="AD67" t="s">
        <v>1530</v>
      </c>
      <c r="AE67" t="s">
        <v>1531</v>
      </c>
      <c r="AF67" t="s">
        <v>74</v>
      </c>
      <c r="AG67">
        <v>37</v>
      </c>
      <c r="AH67">
        <v>73</v>
      </c>
      <c r="AI67">
        <v>79</v>
      </c>
      <c r="AJ67">
        <v>1</v>
      </c>
      <c r="AK67">
        <v>23</v>
      </c>
      <c r="AL67" t="s">
        <v>1115</v>
      </c>
      <c r="AM67" t="s">
        <v>1116</v>
      </c>
      <c r="AN67" t="s">
        <v>1117</v>
      </c>
      <c r="AO67" t="s">
        <v>1532</v>
      </c>
      <c r="AP67" t="s">
        <v>1533</v>
      </c>
      <c r="AQ67" t="s">
        <v>74</v>
      </c>
      <c r="AR67" t="s">
        <v>1534</v>
      </c>
      <c r="AS67" t="s">
        <v>1535</v>
      </c>
      <c r="AT67" t="s">
        <v>128</v>
      </c>
      <c r="AU67">
        <v>2017</v>
      </c>
      <c r="AV67">
        <v>30</v>
      </c>
      <c r="AW67">
        <v>12</v>
      </c>
      <c r="AX67" t="s">
        <v>74</v>
      </c>
      <c r="AY67" t="s">
        <v>74</v>
      </c>
      <c r="AZ67" t="s">
        <v>74</v>
      </c>
      <c r="BA67" t="s">
        <v>74</v>
      </c>
      <c r="BB67">
        <v>4337</v>
      </c>
      <c r="BC67">
        <v>4350</v>
      </c>
      <c r="BD67" t="s">
        <v>74</v>
      </c>
      <c r="BE67" t="s">
        <v>1536</v>
      </c>
      <c r="BF67" t="str">
        <f>HYPERLINK("http://dx.doi.org/10.1175/JCLI-D-16-0420.1","http://dx.doi.org/10.1175/JCLI-D-16-0420.1")</f>
        <v>http://dx.doi.org/10.1175/JCLI-D-16-0420.1</v>
      </c>
      <c r="BG67" t="s">
        <v>74</v>
      </c>
      <c r="BH67" t="s">
        <v>74</v>
      </c>
      <c r="BI67">
        <v>14</v>
      </c>
      <c r="BJ67" t="s">
        <v>1261</v>
      </c>
      <c r="BK67" t="s">
        <v>103</v>
      </c>
      <c r="BL67" t="s">
        <v>1261</v>
      </c>
      <c r="BM67" t="s">
        <v>1537</v>
      </c>
      <c r="BN67" t="s">
        <v>74</v>
      </c>
      <c r="BO67" t="s">
        <v>1538</v>
      </c>
      <c r="BP67" t="s">
        <v>74</v>
      </c>
      <c r="BQ67" t="s">
        <v>74</v>
      </c>
      <c r="BR67" t="s">
        <v>106</v>
      </c>
      <c r="BS67" t="s">
        <v>1539</v>
      </c>
      <c r="BT67" t="str">
        <f>HYPERLINK("https%3A%2F%2Fwww.webofscience.com%2Fwos%2Fwoscc%2Ffull-record%2FWOS:000402379600001","View Full Record in Web of Science")</f>
        <v>View Full Record in Web of Science</v>
      </c>
    </row>
    <row r="68" spans="1:72" x14ac:dyDescent="0.15">
      <c r="A68" t="s">
        <v>72</v>
      </c>
      <c r="B68" t="s">
        <v>1540</v>
      </c>
      <c r="C68" t="s">
        <v>74</v>
      </c>
      <c r="D68" t="s">
        <v>74</v>
      </c>
      <c r="E68" t="s">
        <v>74</v>
      </c>
      <c r="F68" t="s">
        <v>1541</v>
      </c>
      <c r="G68" t="s">
        <v>74</v>
      </c>
      <c r="H68" t="s">
        <v>74</v>
      </c>
      <c r="I68" t="s">
        <v>1542</v>
      </c>
      <c r="J68" t="s">
        <v>1521</v>
      </c>
      <c r="K68" t="s">
        <v>74</v>
      </c>
      <c r="L68" t="s">
        <v>74</v>
      </c>
      <c r="M68" t="s">
        <v>78</v>
      </c>
      <c r="N68" t="s">
        <v>79</v>
      </c>
      <c r="O68" t="s">
        <v>74</v>
      </c>
      <c r="P68" t="s">
        <v>74</v>
      </c>
      <c r="Q68" t="s">
        <v>74</v>
      </c>
      <c r="R68" t="s">
        <v>74</v>
      </c>
      <c r="S68" t="s">
        <v>74</v>
      </c>
      <c r="T68" t="s">
        <v>74</v>
      </c>
      <c r="U68" t="s">
        <v>1543</v>
      </c>
      <c r="V68" t="s">
        <v>1544</v>
      </c>
      <c r="W68" t="s">
        <v>1545</v>
      </c>
      <c r="X68" t="s">
        <v>1546</v>
      </c>
      <c r="Y68" t="s">
        <v>1547</v>
      </c>
      <c r="Z68" t="s">
        <v>1548</v>
      </c>
      <c r="AA68" t="s">
        <v>1549</v>
      </c>
      <c r="AB68" t="s">
        <v>1550</v>
      </c>
      <c r="AC68" t="s">
        <v>1551</v>
      </c>
      <c r="AD68" t="s">
        <v>1552</v>
      </c>
      <c r="AE68" t="s">
        <v>1553</v>
      </c>
      <c r="AF68" t="s">
        <v>74</v>
      </c>
      <c r="AG68">
        <v>48</v>
      </c>
      <c r="AH68">
        <v>3</v>
      </c>
      <c r="AI68">
        <v>3</v>
      </c>
      <c r="AJ68">
        <v>0</v>
      </c>
      <c r="AK68">
        <v>5</v>
      </c>
      <c r="AL68" t="s">
        <v>1115</v>
      </c>
      <c r="AM68" t="s">
        <v>1116</v>
      </c>
      <c r="AN68" t="s">
        <v>1117</v>
      </c>
      <c r="AO68" t="s">
        <v>1532</v>
      </c>
      <c r="AP68" t="s">
        <v>1533</v>
      </c>
      <c r="AQ68" t="s">
        <v>74</v>
      </c>
      <c r="AR68" t="s">
        <v>1534</v>
      </c>
      <c r="AS68" t="s">
        <v>1535</v>
      </c>
      <c r="AT68" t="s">
        <v>128</v>
      </c>
      <c r="AU68">
        <v>2017</v>
      </c>
      <c r="AV68">
        <v>30</v>
      </c>
      <c r="AW68">
        <v>12</v>
      </c>
      <c r="AX68" t="s">
        <v>74</v>
      </c>
      <c r="AY68" t="s">
        <v>74</v>
      </c>
      <c r="AZ68" t="s">
        <v>74</v>
      </c>
      <c r="BA68" t="s">
        <v>74</v>
      </c>
      <c r="BB68">
        <v>4413</v>
      </c>
      <c r="BC68">
        <v>4427</v>
      </c>
      <c r="BD68" t="s">
        <v>74</v>
      </c>
      <c r="BE68" t="s">
        <v>1554</v>
      </c>
      <c r="BF68" t="str">
        <f>HYPERLINK("http://dx.doi.org/10.1175/JCLI-D-16-0862.1","http://dx.doi.org/10.1175/JCLI-D-16-0862.1")</f>
        <v>http://dx.doi.org/10.1175/JCLI-D-16-0862.1</v>
      </c>
      <c r="BG68" t="s">
        <v>74</v>
      </c>
      <c r="BH68" t="s">
        <v>74</v>
      </c>
      <c r="BI68">
        <v>15</v>
      </c>
      <c r="BJ68" t="s">
        <v>1261</v>
      </c>
      <c r="BK68" t="s">
        <v>103</v>
      </c>
      <c r="BL68" t="s">
        <v>1261</v>
      </c>
      <c r="BM68" t="s">
        <v>1537</v>
      </c>
      <c r="BN68" t="s">
        <v>74</v>
      </c>
      <c r="BO68" t="s">
        <v>1100</v>
      </c>
      <c r="BP68" t="s">
        <v>74</v>
      </c>
      <c r="BQ68" t="s">
        <v>74</v>
      </c>
      <c r="BR68" t="s">
        <v>106</v>
      </c>
      <c r="BS68" t="s">
        <v>1555</v>
      </c>
      <c r="BT68" t="str">
        <f>HYPERLINK("https%3A%2F%2Fwww.webofscience.com%2Fwos%2Fwoscc%2Ffull-record%2FWOS:000402379600005","View Full Record in Web of Science")</f>
        <v>View Full Record in Web of Science</v>
      </c>
    </row>
    <row r="69" spans="1:72" x14ac:dyDescent="0.15">
      <c r="A69" t="s">
        <v>72</v>
      </c>
      <c r="B69" t="s">
        <v>1556</v>
      </c>
      <c r="C69" t="s">
        <v>74</v>
      </c>
      <c r="D69" t="s">
        <v>74</v>
      </c>
      <c r="E69" t="s">
        <v>74</v>
      </c>
      <c r="F69" t="s">
        <v>1557</v>
      </c>
      <c r="G69" t="s">
        <v>74</v>
      </c>
      <c r="H69" t="s">
        <v>74</v>
      </c>
      <c r="I69" t="s">
        <v>1558</v>
      </c>
      <c r="J69" t="s">
        <v>1521</v>
      </c>
      <c r="K69" t="s">
        <v>74</v>
      </c>
      <c r="L69" t="s">
        <v>74</v>
      </c>
      <c r="M69" t="s">
        <v>78</v>
      </c>
      <c r="N69" t="s">
        <v>79</v>
      </c>
      <c r="O69" t="s">
        <v>74</v>
      </c>
      <c r="P69" t="s">
        <v>74</v>
      </c>
      <c r="Q69" t="s">
        <v>74</v>
      </c>
      <c r="R69" t="s">
        <v>74</v>
      </c>
      <c r="S69" t="s">
        <v>74</v>
      </c>
      <c r="T69" t="s">
        <v>74</v>
      </c>
      <c r="U69" t="s">
        <v>1559</v>
      </c>
      <c r="V69" t="s">
        <v>1560</v>
      </c>
      <c r="W69" t="s">
        <v>1561</v>
      </c>
      <c r="X69" t="s">
        <v>1562</v>
      </c>
      <c r="Y69" t="s">
        <v>1563</v>
      </c>
      <c r="Z69" t="s">
        <v>1564</v>
      </c>
      <c r="AA69" t="s">
        <v>1565</v>
      </c>
      <c r="AB69" t="s">
        <v>74</v>
      </c>
      <c r="AC69" t="s">
        <v>1566</v>
      </c>
      <c r="AD69" t="s">
        <v>1567</v>
      </c>
      <c r="AE69" t="s">
        <v>1568</v>
      </c>
      <c r="AF69" t="s">
        <v>74</v>
      </c>
      <c r="AG69">
        <v>84</v>
      </c>
      <c r="AH69">
        <v>120</v>
      </c>
      <c r="AI69">
        <v>131</v>
      </c>
      <c r="AJ69">
        <v>1</v>
      </c>
      <c r="AK69">
        <v>60</v>
      </c>
      <c r="AL69" t="s">
        <v>1115</v>
      </c>
      <c r="AM69" t="s">
        <v>1116</v>
      </c>
      <c r="AN69" t="s">
        <v>1569</v>
      </c>
      <c r="AO69" t="s">
        <v>1532</v>
      </c>
      <c r="AP69" t="s">
        <v>1533</v>
      </c>
      <c r="AQ69" t="s">
        <v>74</v>
      </c>
      <c r="AR69" t="s">
        <v>1534</v>
      </c>
      <c r="AS69" t="s">
        <v>1535</v>
      </c>
      <c r="AT69" t="s">
        <v>128</v>
      </c>
      <c r="AU69">
        <v>2017</v>
      </c>
      <c r="AV69">
        <v>30</v>
      </c>
      <c r="AW69">
        <v>12</v>
      </c>
      <c r="AX69" t="s">
        <v>74</v>
      </c>
      <c r="AY69" t="s">
        <v>74</v>
      </c>
      <c r="AZ69" t="s">
        <v>74</v>
      </c>
      <c r="BA69" t="s">
        <v>74</v>
      </c>
      <c r="BB69">
        <v>4547</v>
      </c>
      <c r="BC69">
        <v>4565</v>
      </c>
      <c r="BD69" t="s">
        <v>74</v>
      </c>
      <c r="BE69" t="s">
        <v>1570</v>
      </c>
      <c r="BF69" t="str">
        <f>HYPERLINK("http://dx.doi.org/10.1175/JCLI-D-16-0564.1","http://dx.doi.org/10.1175/JCLI-D-16-0564.1")</f>
        <v>http://dx.doi.org/10.1175/JCLI-D-16-0564.1</v>
      </c>
      <c r="BG69" t="s">
        <v>74</v>
      </c>
      <c r="BH69" t="s">
        <v>74</v>
      </c>
      <c r="BI69">
        <v>19</v>
      </c>
      <c r="BJ69" t="s">
        <v>1261</v>
      </c>
      <c r="BK69" t="s">
        <v>103</v>
      </c>
      <c r="BL69" t="s">
        <v>1261</v>
      </c>
      <c r="BM69" t="s">
        <v>1537</v>
      </c>
      <c r="BN69" t="s">
        <v>74</v>
      </c>
      <c r="BO69" t="s">
        <v>1538</v>
      </c>
      <c r="BP69" t="s">
        <v>74</v>
      </c>
      <c r="BQ69" t="s">
        <v>74</v>
      </c>
      <c r="BR69" t="s">
        <v>106</v>
      </c>
      <c r="BS69" t="s">
        <v>1571</v>
      </c>
      <c r="BT69" t="str">
        <f>HYPERLINK("https%3A%2F%2Fwww.webofscience.com%2Fwos%2Fwoscc%2Ffull-record%2FWOS:000402379600013","View Full Record in Web of Science")</f>
        <v>View Full Record in Web of Science</v>
      </c>
    </row>
    <row r="70" spans="1:72" x14ac:dyDescent="0.15">
      <c r="A70" t="s">
        <v>72</v>
      </c>
      <c r="B70" t="s">
        <v>1572</v>
      </c>
      <c r="C70" t="s">
        <v>74</v>
      </c>
      <c r="D70" t="s">
        <v>74</v>
      </c>
      <c r="E70" t="s">
        <v>74</v>
      </c>
      <c r="F70" t="s">
        <v>1573</v>
      </c>
      <c r="G70" t="s">
        <v>74</v>
      </c>
      <c r="H70" t="s">
        <v>74</v>
      </c>
      <c r="I70" t="s">
        <v>1574</v>
      </c>
      <c r="J70" t="s">
        <v>1575</v>
      </c>
      <c r="K70" t="s">
        <v>74</v>
      </c>
      <c r="L70" t="s">
        <v>74</v>
      </c>
      <c r="M70" t="s">
        <v>78</v>
      </c>
      <c r="N70" t="s">
        <v>79</v>
      </c>
      <c r="O70" t="s">
        <v>74</v>
      </c>
      <c r="P70" t="s">
        <v>74</v>
      </c>
      <c r="Q70" t="s">
        <v>74</v>
      </c>
      <c r="R70" t="s">
        <v>74</v>
      </c>
      <c r="S70" t="s">
        <v>74</v>
      </c>
      <c r="T70" t="s">
        <v>74</v>
      </c>
      <c r="U70" t="s">
        <v>1576</v>
      </c>
      <c r="V70" t="s">
        <v>1577</v>
      </c>
      <c r="W70" t="s">
        <v>1578</v>
      </c>
      <c r="X70" t="s">
        <v>1579</v>
      </c>
      <c r="Y70" t="s">
        <v>1580</v>
      </c>
      <c r="Z70" t="s">
        <v>1581</v>
      </c>
      <c r="AA70" t="s">
        <v>1582</v>
      </c>
      <c r="AB70" t="s">
        <v>1583</v>
      </c>
      <c r="AC70" t="s">
        <v>1584</v>
      </c>
      <c r="AD70" t="s">
        <v>1584</v>
      </c>
      <c r="AE70" t="s">
        <v>1585</v>
      </c>
      <c r="AF70" t="s">
        <v>74</v>
      </c>
      <c r="AG70">
        <v>76</v>
      </c>
      <c r="AH70">
        <v>66</v>
      </c>
      <c r="AI70">
        <v>71</v>
      </c>
      <c r="AJ70">
        <v>0</v>
      </c>
      <c r="AK70">
        <v>43</v>
      </c>
      <c r="AL70" t="s">
        <v>1586</v>
      </c>
      <c r="AM70" t="s">
        <v>1587</v>
      </c>
      <c r="AN70" t="s">
        <v>1588</v>
      </c>
      <c r="AO70" t="s">
        <v>1589</v>
      </c>
      <c r="AP70" t="s">
        <v>1590</v>
      </c>
      <c r="AQ70" t="s">
        <v>74</v>
      </c>
      <c r="AR70" t="s">
        <v>1591</v>
      </c>
      <c r="AS70" t="s">
        <v>1592</v>
      </c>
      <c r="AT70" t="s">
        <v>128</v>
      </c>
      <c r="AU70">
        <v>2017</v>
      </c>
      <c r="AV70">
        <v>74</v>
      </c>
      <c r="AW70">
        <v>6</v>
      </c>
      <c r="AX70" t="s">
        <v>74</v>
      </c>
      <c r="AY70" t="s">
        <v>74</v>
      </c>
      <c r="AZ70" t="s">
        <v>74</v>
      </c>
      <c r="BA70" t="s">
        <v>74</v>
      </c>
      <c r="BB70">
        <v>907</v>
      </c>
      <c r="BC70">
        <v>921</v>
      </c>
      <c r="BD70" t="s">
        <v>74</v>
      </c>
      <c r="BE70" t="s">
        <v>1593</v>
      </c>
      <c r="BF70" t="str">
        <f>HYPERLINK("http://dx.doi.org/10.1139/cjfas-2015-0558","http://dx.doi.org/10.1139/cjfas-2015-0558")</f>
        <v>http://dx.doi.org/10.1139/cjfas-2015-0558</v>
      </c>
      <c r="BG70" t="s">
        <v>74</v>
      </c>
      <c r="BH70" t="s">
        <v>74</v>
      </c>
      <c r="BI70">
        <v>15</v>
      </c>
      <c r="BJ70" t="s">
        <v>1198</v>
      </c>
      <c r="BK70" t="s">
        <v>103</v>
      </c>
      <c r="BL70" t="s">
        <v>1198</v>
      </c>
      <c r="BM70" t="s">
        <v>1594</v>
      </c>
      <c r="BN70" t="s">
        <v>74</v>
      </c>
      <c r="BO70" t="s">
        <v>74</v>
      </c>
      <c r="BP70" t="s">
        <v>74</v>
      </c>
      <c r="BQ70" t="s">
        <v>74</v>
      </c>
      <c r="BR70" t="s">
        <v>106</v>
      </c>
      <c r="BS70" t="s">
        <v>1595</v>
      </c>
      <c r="BT70" t="str">
        <f>HYPERLINK("https%3A%2F%2Fwww.webofscience.com%2Fwos%2Fwoscc%2Ffull-record%2FWOS:000402140000011","View Full Record in Web of Science")</f>
        <v>View Full Record in Web of Science</v>
      </c>
    </row>
    <row r="71" spans="1:72" x14ac:dyDescent="0.15">
      <c r="A71" t="s">
        <v>72</v>
      </c>
      <c r="B71" t="s">
        <v>1596</v>
      </c>
      <c r="C71" t="s">
        <v>74</v>
      </c>
      <c r="D71" t="s">
        <v>74</v>
      </c>
      <c r="E71" t="s">
        <v>74</v>
      </c>
      <c r="F71" t="s">
        <v>1597</v>
      </c>
      <c r="G71" t="s">
        <v>74</v>
      </c>
      <c r="H71" t="s">
        <v>74</v>
      </c>
      <c r="I71" t="s">
        <v>1598</v>
      </c>
      <c r="J71" t="s">
        <v>1599</v>
      </c>
      <c r="K71" t="s">
        <v>74</v>
      </c>
      <c r="L71" t="s">
        <v>74</v>
      </c>
      <c r="M71" t="s">
        <v>78</v>
      </c>
      <c r="N71" t="s">
        <v>79</v>
      </c>
      <c r="O71" t="s">
        <v>74</v>
      </c>
      <c r="P71" t="s">
        <v>74</v>
      </c>
      <c r="Q71" t="s">
        <v>74</v>
      </c>
      <c r="R71" t="s">
        <v>74</v>
      </c>
      <c r="S71" t="s">
        <v>74</v>
      </c>
      <c r="T71" t="s">
        <v>74</v>
      </c>
      <c r="U71" t="s">
        <v>1600</v>
      </c>
      <c r="V71" t="s">
        <v>1601</v>
      </c>
      <c r="W71" t="s">
        <v>1602</v>
      </c>
      <c r="X71" t="s">
        <v>1603</v>
      </c>
      <c r="Y71" t="s">
        <v>1604</v>
      </c>
      <c r="Z71" t="s">
        <v>1605</v>
      </c>
      <c r="AA71" t="s">
        <v>1606</v>
      </c>
      <c r="AB71" t="s">
        <v>1607</v>
      </c>
      <c r="AC71" t="s">
        <v>1608</v>
      </c>
      <c r="AD71" t="s">
        <v>1609</v>
      </c>
      <c r="AE71" t="s">
        <v>1610</v>
      </c>
      <c r="AF71" t="s">
        <v>74</v>
      </c>
      <c r="AG71">
        <v>56</v>
      </c>
      <c r="AH71">
        <v>26</v>
      </c>
      <c r="AI71">
        <v>28</v>
      </c>
      <c r="AJ71">
        <v>0</v>
      </c>
      <c r="AK71">
        <v>9</v>
      </c>
      <c r="AL71" t="s">
        <v>1611</v>
      </c>
      <c r="AM71" t="s">
        <v>403</v>
      </c>
      <c r="AN71" t="s">
        <v>1612</v>
      </c>
      <c r="AO71" t="s">
        <v>1613</v>
      </c>
      <c r="AP71" t="s">
        <v>74</v>
      </c>
      <c r="AQ71" t="s">
        <v>74</v>
      </c>
      <c r="AR71" t="s">
        <v>1614</v>
      </c>
      <c r="AS71" t="s">
        <v>1615</v>
      </c>
      <c r="AT71" t="s">
        <v>99</v>
      </c>
      <c r="AU71">
        <v>2017</v>
      </c>
      <c r="AV71">
        <v>8</v>
      </c>
      <c r="AW71" t="s">
        <v>74</v>
      </c>
      <c r="AX71" t="s">
        <v>74</v>
      </c>
      <c r="AY71" t="s">
        <v>74</v>
      </c>
      <c r="AZ71" t="s">
        <v>74</v>
      </c>
      <c r="BA71" t="s">
        <v>74</v>
      </c>
      <c r="BB71" t="s">
        <v>74</v>
      </c>
      <c r="BC71" t="s">
        <v>74</v>
      </c>
      <c r="BD71">
        <v>15591</v>
      </c>
      <c r="BE71" t="s">
        <v>1616</v>
      </c>
      <c r="BF71" t="str">
        <f>HYPERLINK("http://dx.doi.org/10.1038/ncomms15591","http://dx.doi.org/10.1038/ncomms15591")</f>
        <v>http://dx.doi.org/10.1038/ncomms15591</v>
      </c>
      <c r="BG71" t="s">
        <v>74</v>
      </c>
      <c r="BH71" t="s">
        <v>74</v>
      </c>
      <c r="BI71">
        <v>10</v>
      </c>
      <c r="BJ71" t="s">
        <v>1617</v>
      </c>
      <c r="BK71" t="s">
        <v>103</v>
      </c>
      <c r="BL71" t="s">
        <v>1618</v>
      </c>
      <c r="BM71" t="s">
        <v>1619</v>
      </c>
      <c r="BN71">
        <v>28569750</v>
      </c>
      <c r="BO71" t="s">
        <v>1620</v>
      </c>
      <c r="BP71" t="s">
        <v>74</v>
      </c>
      <c r="BQ71" t="s">
        <v>74</v>
      </c>
      <c r="BR71" t="s">
        <v>106</v>
      </c>
      <c r="BS71" t="s">
        <v>1621</v>
      </c>
      <c r="BT71" t="str">
        <f>HYPERLINK("https%3A%2F%2Fwww.webofscience.com%2Fwos%2Fwoscc%2Ffull-record%2FWOS:000402513400001","View Full Record in Web of Science")</f>
        <v>View Full Record in Web of Science</v>
      </c>
    </row>
    <row r="72" spans="1:72" x14ac:dyDescent="0.15">
      <c r="A72" t="s">
        <v>72</v>
      </c>
      <c r="B72" t="s">
        <v>1622</v>
      </c>
      <c r="C72" t="s">
        <v>74</v>
      </c>
      <c r="D72" t="s">
        <v>74</v>
      </c>
      <c r="E72" t="s">
        <v>74</v>
      </c>
      <c r="F72" t="s">
        <v>1623</v>
      </c>
      <c r="G72" t="s">
        <v>74</v>
      </c>
      <c r="H72" t="s">
        <v>74</v>
      </c>
      <c r="I72" t="s">
        <v>1624</v>
      </c>
      <c r="J72" t="s">
        <v>1625</v>
      </c>
      <c r="K72" t="s">
        <v>74</v>
      </c>
      <c r="L72" t="s">
        <v>74</v>
      </c>
      <c r="M72" t="s">
        <v>78</v>
      </c>
      <c r="N72" t="s">
        <v>79</v>
      </c>
      <c r="O72" t="s">
        <v>74</v>
      </c>
      <c r="P72" t="s">
        <v>74</v>
      </c>
      <c r="Q72" t="s">
        <v>74</v>
      </c>
      <c r="R72" t="s">
        <v>74</v>
      </c>
      <c r="S72" t="s">
        <v>74</v>
      </c>
      <c r="T72" t="s">
        <v>1626</v>
      </c>
      <c r="U72" t="s">
        <v>1627</v>
      </c>
      <c r="V72" t="s">
        <v>1628</v>
      </c>
      <c r="W72" t="s">
        <v>1629</v>
      </c>
      <c r="X72" t="s">
        <v>1630</v>
      </c>
      <c r="Y72" t="s">
        <v>1631</v>
      </c>
      <c r="Z72" t="s">
        <v>1632</v>
      </c>
      <c r="AA72" t="s">
        <v>1633</v>
      </c>
      <c r="AB72" t="s">
        <v>1634</v>
      </c>
      <c r="AC72" t="s">
        <v>1635</v>
      </c>
      <c r="AD72" t="s">
        <v>1636</v>
      </c>
      <c r="AE72" t="s">
        <v>1637</v>
      </c>
      <c r="AF72" t="s">
        <v>74</v>
      </c>
      <c r="AG72">
        <v>65</v>
      </c>
      <c r="AH72">
        <v>13</v>
      </c>
      <c r="AI72">
        <v>14</v>
      </c>
      <c r="AJ72">
        <v>0</v>
      </c>
      <c r="AK72">
        <v>21</v>
      </c>
      <c r="AL72" t="s">
        <v>374</v>
      </c>
      <c r="AM72" t="s">
        <v>93</v>
      </c>
      <c r="AN72" t="s">
        <v>375</v>
      </c>
      <c r="AO72" t="s">
        <v>1638</v>
      </c>
      <c r="AP72" t="s">
        <v>1639</v>
      </c>
      <c r="AQ72" t="s">
        <v>74</v>
      </c>
      <c r="AR72" t="s">
        <v>1640</v>
      </c>
      <c r="AS72" t="s">
        <v>1641</v>
      </c>
      <c r="AT72" t="s">
        <v>128</v>
      </c>
      <c r="AU72">
        <v>2017</v>
      </c>
      <c r="AV72">
        <v>127</v>
      </c>
      <c r="AW72" t="s">
        <v>74</v>
      </c>
      <c r="AX72" t="s">
        <v>74</v>
      </c>
      <c r="AY72" t="s">
        <v>74</v>
      </c>
      <c r="AZ72" t="s">
        <v>74</v>
      </c>
      <c r="BA72" t="s">
        <v>74</v>
      </c>
      <c r="BB72">
        <v>62</v>
      </c>
      <c r="BC72">
        <v>74</v>
      </c>
      <c r="BD72" t="s">
        <v>74</v>
      </c>
      <c r="BE72" t="s">
        <v>1642</v>
      </c>
      <c r="BF72" t="str">
        <f>HYPERLINK("http://dx.doi.org/10.1016/j.marenvres.2017.03.008","http://dx.doi.org/10.1016/j.marenvres.2017.03.008")</f>
        <v>http://dx.doi.org/10.1016/j.marenvres.2017.03.008</v>
      </c>
      <c r="BG72" t="s">
        <v>74</v>
      </c>
      <c r="BH72" t="s">
        <v>74</v>
      </c>
      <c r="BI72">
        <v>13</v>
      </c>
      <c r="BJ72" t="s">
        <v>1643</v>
      </c>
      <c r="BK72" t="s">
        <v>103</v>
      </c>
      <c r="BL72" t="s">
        <v>1644</v>
      </c>
      <c r="BM72" t="s">
        <v>1645</v>
      </c>
      <c r="BN72">
        <v>28385268</v>
      </c>
      <c r="BO72" t="s">
        <v>74</v>
      </c>
      <c r="BP72" t="s">
        <v>74</v>
      </c>
      <c r="BQ72" t="s">
        <v>74</v>
      </c>
      <c r="BR72" t="s">
        <v>106</v>
      </c>
      <c r="BS72" t="s">
        <v>1646</v>
      </c>
      <c r="BT72" t="str">
        <f>HYPERLINK("https%3A%2F%2Fwww.webofscience.com%2Fwos%2Fwoscc%2Ffull-record%2FWOS:000402212400007","View Full Record in Web of Science")</f>
        <v>View Full Record in Web of Science</v>
      </c>
    </row>
    <row r="73" spans="1:72" x14ac:dyDescent="0.15">
      <c r="A73" t="s">
        <v>72</v>
      </c>
      <c r="B73" t="s">
        <v>1647</v>
      </c>
      <c r="C73" t="s">
        <v>74</v>
      </c>
      <c r="D73" t="s">
        <v>74</v>
      </c>
      <c r="E73" t="s">
        <v>74</v>
      </c>
      <c r="F73" t="s">
        <v>1648</v>
      </c>
      <c r="G73" t="s">
        <v>74</v>
      </c>
      <c r="H73" t="s">
        <v>74</v>
      </c>
      <c r="I73" t="s">
        <v>1649</v>
      </c>
      <c r="J73" t="s">
        <v>1650</v>
      </c>
      <c r="K73" t="s">
        <v>74</v>
      </c>
      <c r="L73" t="s">
        <v>74</v>
      </c>
      <c r="M73" t="s">
        <v>78</v>
      </c>
      <c r="N73" t="s">
        <v>79</v>
      </c>
      <c r="O73" t="s">
        <v>74</v>
      </c>
      <c r="P73" t="s">
        <v>74</v>
      </c>
      <c r="Q73" t="s">
        <v>74</v>
      </c>
      <c r="R73" t="s">
        <v>74</v>
      </c>
      <c r="S73" t="s">
        <v>74</v>
      </c>
      <c r="T73" t="s">
        <v>1651</v>
      </c>
      <c r="U73" t="s">
        <v>1652</v>
      </c>
      <c r="V73" t="s">
        <v>1653</v>
      </c>
      <c r="W73" t="s">
        <v>1654</v>
      </c>
      <c r="X73" t="s">
        <v>1655</v>
      </c>
      <c r="Y73" t="s">
        <v>1656</v>
      </c>
      <c r="Z73" t="s">
        <v>1657</v>
      </c>
      <c r="AA73" t="s">
        <v>1658</v>
      </c>
      <c r="AB73" t="s">
        <v>1659</v>
      </c>
      <c r="AC73" t="s">
        <v>1660</v>
      </c>
      <c r="AD73" t="s">
        <v>1661</v>
      </c>
      <c r="AE73" t="s">
        <v>1662</v>
      </c>
      <c r="AF73" t="s">
        <v>74</v>
      </c>
      <c r="AG73">
        <v>55</v>
      </c>
      <c r="AH73">
        <v>16</v>
      </c>
      <c r="AI73">
        <v>16</v>
      </c>
      <c r="AJ73">
        <v>7</v>
      </c>
      <c r="AK73">
        <v>33</v>
      </c>
      <c r="AL73" t="s">
        <v>986</v>
      </c>
      <c r="AM73" t="s">
        <v>430</v>
      </c>
      <c r="AN73" t="s">
        <v>1663</v>
      </c>
      <c r="AO73" t="s">
        <v>1664</v>
      </c>
      <c r="AP73" t="s">
        <v>1665</v>
      </c>
      <c r="AQ73" t="s">
        <v>74</v>
      </c>
      <c r="AR73" t="s">
        <v>1666</v>
      </c>
      <c r="AS73" t="s">
        <v>1667</v>
      </c>
      <c r="AT73" t="s">
        <v>128</v>
      </c>
      <c r="AU73">
        <v>2017</v>
      </c>
      <c r="AV73">
        <v>52</v>
      </c>
      <c r="AW73">
        <v>5</v>
      </c>
      <c r="AX73" t="s">
        <v>74</v>
      </c>
      <c r="AY73" t="s">
        <v>74</v>
      </c>
      <c r="AZ73" t="s">
        <v>74</v>
      </c>
      <c r="BA73" t="s">
        <v>74</v>
      </c>
      <c r="BB73">
        <v>641</v>
      </c>
      <c r="BC73">
        <v>649</v>
      </c>
      <c r="BD73" t="s">
        <v>74</v>
      </c>
      <c r="BE73" t="s">
        <v>1668</v>
      </c>
      <c r="BF73" t="str">
        <f>HYPERLINK("http://dx.doi.org/10.1007/s00126-017-0732-x","http://dx.doi.org/10.1007/s00126-017-0732-x")</f>
        <v>http://dx.doi.org/10.1007/s00126-017-0732-x</v>
      </c>
      <c r="BG73" t="s">
        <v>74</v>
      </c>
      <c r="BH73" t="s">
        <v>74</v>
      </c>
      <c r="BI73">
        <v>9</v>
      </c>
      <c r="BJ73" t="s">
        <v>1669</v>
      </c>
      <c r="BK73" t="s">
        <v>103</v>
      </c>
      <c r="BL73" t="s">
        <v>1669</v>
      </c>
      <c r="BM73" t="s">
        <v>1670</v>
      </c>
      <c r="BN73" t="s">
        <v>74</v>
      </c>
      <c r="BO73" t="s">
        <v>74</v>
      </c>
      <c r="BP73" t="s">
        <v>74</v>
      </c>
      <c r="BQ73" t="s">
        <v>74</v>
      </c>
      <c r="BR73" t="s">
        <v>106</v>
      </c>
      <c r="BS73" t="s">
        <v>1671</v>
      </c>
      <c r="BT73" t="str">
        <f>HYPERLINK("https%3A%2F%2Fwww.webofscience.com%2Fwos%2Fwoscc%2Ffull-record%2FWOS:000402123100001","View Full Record in Web of Science")</f>
        <v>View Full Record in Web of Science</v>
      </c>
    </row>
    <row r="74" spans="1:72" x14ac:dyDescent="0.15">
      <c r="A74" t="s">
        <v>72</v>
      </c>
      <c r="B74" t="s">
        <v>1672</v>
      </c>
      <c r="C74" t="s">
        <v>74</v>
      </c>
      <c r="D74" t="s">
        <v>74</v>
      </c>
      <c r="E74" t="s">
        <v>74</v>
      </c>
      <c r="F74" t="s">
        <v>1673</v>
      </c>
      <c r="G74" t="s">
        <v>74</v>
      </c>
      <c r="H74" t="s">
        <v>74</v>
      </c>
      <c r="I74" t="s">
        <v>1674</v>
      </c>
      <c r="J74" t="s">
        <v>1675</v>
      </c>
      <c r="K74" t="s">
        <v>74</v>
      </c>
      <c r="L74" t="s">
        <v>74</v>
      </c>
      <c r="M74" t="s">
        <v>78</v>
      </c>
      <c r="N74" t="s">
        <v>79</v>
      </c>
      <c r="O74" t="s">
        <v>74</v>
      </c>
      <c r="P74" t="s">
        <v>74</v>
      </c>
      <c r="Q74" t="s">
        <v>74</v>
      </c>
      <c r="R74" t="s">
        <v>74</v>
      </c>
      <c r="S74" t="s">
        <v>74</v>
      </c>
      <c r="T74" t="s">
        <v>1676</v>
      </c>
      <c r="U74" t="s">
        <v>1677</v>
      </c>
      <c r="V74" t="s">
        <v>1678</v>
      </c>
      <c r="W74" t="s">
        <v>1679</v>
      </c>
      <c r="X74" t="s">
        <v>1680</v>
      </c>
      <c r="Y74" t="s">
        <v>1681</v>
      </c>
      <c r="Z74" t="s">
        <v>1682</v>
      </c>
      <c r="AA74" t="s">
        <v>1683</v>
      </c>
      <c r="AB74" t="s">
        <v>1684</v>
      </c>
      <c r="AC74" t="s">
        <v>1685</v>
      </c>
      <c r="AD74" t="s">
        <v>1686</v>
      </c>
      <c r="AE74" t="s">
        <v>1687</v>
      </c>
      <c r="AF74" t="s">
        <v>74</v>
      </c>
      <c r="AG74">
        <v>29</v>
      </c>
      <c r="AH74">
        <v>6</v>
      </c>
      <c r="AI74">
        <v>6</v>
      </c>
      <c r="AJ74">
        <v>1</v>
      </c>
      <c r="AK74">
        <v>7</v>
      </c>
      <c r="AL74" t="s">
        <v>1141</v>
      </c>
      <c r="AM74" t="s">
        <v>318</v>
      </c>
      <c r="AN74" t="s">
        <v>1142</v>
      </c>
      <c r="AO74" t="s">
        <v>1688</v>
      </c>
      <c r="AP74" t="s">
        <v>1689</v>
      </c>
      <c r="AQ74" t="s">
        <v>74</v>
      </c>
      <c r="AR74" t="s">
        <v>1690</v>
      </c>
      <c r="AS74" t="s">
        <v>1691</v>
      </c>
      <c r="AT74" t="s">
        <v>128</v>
      </c>
      <c r="AU74">
        <v>2017</v>
      </c>
      <c r="AV74">
        <v>12</v>
      </c>
      <c r="AW74" t="s">
        <v>74</v>
      </c>
      <c r="AX74" t="s">
        <v>74</v>
      </c>
      <c r="AY74" t="s">
        <v>74</v>
      </c>
      <c r="AZ74" t="s">
        <v>100</v>
      </c>
      <c r="BA74" t="s">
        <v>74</v>
      </c>
      <c r="BB74">
        <v>25</v>
      </c>
      <c r="BC74">
        <v>33</v>
      </c>
      <c r="BD74" t="s">
        <v>74</v>
      </c>
      <c r="BE74" t="s">
        <v>1692</v>
      </c>
      <c r="BF74" t="str">
        <f>HYPERLINK("http://dx.doi.org/10.1016/j.polar.2016.09.002","http://dx.doi.org/10.1016/j.polar.2016.09.002")</f>
        <v>http://dx.doi.org/10.1016/j.polar.2016.09.002</v>
      </c>
      <c r="BG74" t="s">
        <v>74</v>
      </c>
      <c r="BH74" t="s">
        <v>74</v>
      </c>
      <c r="BI74">
        <v>9</v>
      </c>
      <c r="BJ74" t="s">
        <v>1693</v>
      </c>
      <c r="BK74" t="s">
        <v>103</v>
      </c>
      <c r="BL74" t="s">
        <v>270</v>
      </c>
      <c r="BM74" t="s">
        <v>1694</v>
      </c>
      <c r="BN74" t="s">
        <v>74</v>
      </c>
      <c r="BO74" t="s">
        <v>384</v>
      </c>
      <c r="BP74" t="s">
        <v>74</v>
      </c>
      <c r="BQ74" t="s">
        <v>74</v>
      </c>
      <c r="BR74" t="s">
        <v>106</v>
      </c>
      <c r="BS74" t="s">
        <v>1695</v>
      </c>
      <c r="BT74" t="str">
        <f>HYPERLINK("https%3A%2F%2Fwww.webofscience.com%2Fwos%2Fwoscc%2Ffull-record%2FWOS:000402350800005","View Full Record in Web of Science")</f>
        <v>View Full Record in Web of Science</v>
      </c>
    </row>
    <row r="75" spans="1:72" x14ac:dyDescent="0.15">
      <c r="A75" t="s">
        <v>72</v>
      </c>
      <c r="B75" t="s">
        <v>1696</v>
      </c>
      <c r="C75" t="s">
        <v>74</v>
      </c>
      <c r="D75" t="s">
        <v>74</v>
      </c>
      <c r="E75" t="s">
        <v>74</v>
      </c>
      <c r="F75" t="s">
        <v>1697</v>
      </c>
      <c r="G75" t="s">
        <v>74</v>
      </c>
      <c r="H75" t="s">
        <v>74</v>
      </c>
      <c r="I75" t="s">
        <v>1698</v>
      </c>
      <c r="J75" t="s">
        <v>1675</v>
      </c>
      <c r="K75" t="s">
        <v>74</v>
      </c>
      <c r="L75" t="s">
        <v>74</v>
      </c>
      <c r="M75" t="s">
        <v>78</v>
      </c>
      <c r="N75" t="s">
        <v>79</v>
      </c>
      <c r="O75" t="s">
        <v>74</v>
      </c>
      <c r="P75" t="s">
        <v>74</v>
      </c>
      <c r="Q75" t="s">
        <v>74</v>
      </c>
      <c r="R75" t="s">
        <v>74</v>
      </c>
      <c r="S75" t="s">
        <v>74</v>
      </c>
      <c r="T75" t="s">
        <v>1699</v>
      </c>
      <c r="U75" t="s">
        <v>1700</v>
      </c>
      <c r="V75" t="s">
        <v>1701</v>
      </c>
      <c r="W75" t="s">
        <v>1702</v>
      </c>
      <c r="X75" t="s">
        <v>1703</v>
      </c>
      <c r="Y75" t="s">
        <v>1704</v>
      </c>
      <c r="Z75" t="s">
        <v>1705</v>
      </c>
      <c r="AA75" t="s">
        <v>74</v>
      </c>
      <c r="AB75" t="s">
        <v>1706</v>
      </c>
      <c r="AC75" t="s">
        <v>1707</v>
      </c>
      <c r="AD75" t="s">
        <v>1708</v>
      </c>
      <c r="AE75" t="s">
        <v>1709</v>
      </c>
      <c r="AF75" t="s">
        <v>74</v>
      </c>
      <c r="AG75">
        <v>65</v>
      </c>
      <c r="AH75">
        <v>4</v>
      </c>
      <c r="AI75">
        <v>4</v>
      </c>
      <c r="AJ75">
        <v>1</v>
      </c>
      <c r="AK75">
        <v>9</v>
      </c>
      <c r="AL75" t="s">
        <v>317</v>
      </c>
      <c r="AM75" t="s">
        <v>318</v>
      </c>
      <c r="AN75" t="s">
        <v>319</v>
      </c>
      <c r="AO75" t="s">
        <v>1688</v>
      </c>
      <c r="AP75" t="s">
        <v>1689</v>
      </c>
      <c r="AQ75" t="s">
        <v>74</v>
      </c>
      <c r="AR75" t="s">
        <v>1690</v>
      </c>
      <c r="AS75" t="s">
        <v>1691</v>
      </c>
      <c r="AT75" t="s">
        <v>128</v>
      </c>
      <c r="AU75">
        <v>2017</v>
      </c>
      <c r="AV75">
        <v>12</v>
      </c>
      <c r="AW75" t="s">
        <v>74</v>
      </c>
      <c r="AX75" t="s">
        <v>74</v>
      </c>
      <c r="AY75" t="s">
        <v>74</v>
      </c>
      <c r="AZ75" t="s">
        <v>100</v>
      </c>
      <c r="BA75" t="s">
        <v>74</v>
      </c>
      <c r="BB75">
        <v>34</v>
      </c>
      <c r="BC75">
        <v>45</v>
      </c>
      <c r="BD75" t="s">
        <v>74</v>
      </c>
      <c r="BE75" t="s">
        <v>1710</v>
      </c>
      <c r="BF75" t="str">
        <f>HYPERLINK("http://dx.doi.org/10.1016/j.polar.2016.06.007","http://dx.doi.org/10.1016/j.polar.2016.06.007")</f>
        <v>http://dx.doi.org/10.1016/j.polar.2016.06.007</v>
      </c>
      <c r="BG75" t="s">
        <v>74</v>
      </c>
      <c r="BH75" t="s">
        <v>74</v>
      </c>
      <c r="BI75">
        <v>12</v>
      </c>
      <c r="BJ75" t="s">
        <v>1693</v>
      </c>
      <c r="BK75" t="s">
        <v>103</v>
      </c>
      <c r="BL75" t="s">
        <v>270</v>
      </c>
      <c r="BM75" t="s">
        <v>1694</v>
      </c>
      <c r="BN75" t="s">
        <v>74</v>
      </c>
      <c r="BO75" t="s">
        <v>384</v>
      </c>
      <c r="BP75" t="s">
        <v>74</v>
      </c>
      <c r="BQ75" t="s">
        <v>74</v>
      </c>
      <c r="BR75" t="s">
        <v>106</v>
      </c>
      <c r="BS75" t="s">
        <v>1711</v>
      </c>
      <c r="BT75" t="str">
        <f>HYPERLINK("https%3A%2F%2Fwww.webofscience.com%2Fwos%2Fwoscc%2Ffull-record%2FWOS:000402350800006","View Full Record in Web of Science")</f>
        <v>View Full Record in Web of Science</v>
      </c>
    </row>
    <row r="76" spans="1:72" x14ac:dyDescent="0.15">
      <c r="A76" t="s">
        <v>72</v>
      </c>
      <c r="B76" t="s">
        <v>1712</v>
      </c>
      <c r="C76" t="s">
        <v>74</v>
      </c>
      <c r="D76" t="s">
        <v>74</v>
      </c>
      <c r="E76" t="s">
        <v>74</v>
      </c>
      <c r="F76" t="s">
        <v>1713</v>
      </c>
      <c r="G76" t="s">
        <v>74</v>
      </c>
      <c r="H76" t="s">
        <v>74</v>
      </c>
      <c r="I76" t="s">
        <v>1714</v>
      </c>
      <c r="J76" t="s">
        <v>1675</v>
      </c>
      <c r="K76" t="s">
        <v>74</v>
      </c>
      <c r="L76" t="s">
        <v>74</v>
      </c>
      <c r="M76" t="s">
        <v>78</v>
      </c>
      <c r="N76" t="s">
        <v>79</v>
      </c>
      <c r="O76" t="s">
        <v>74</v>
      </c>
      <c r="P76" t="s">
        <v>74</v>
      </c>
      <c r="Q76" t="s">
        <v>74</v>
      </c>
      <c r="R76" t="s">
        <v>74</v>
      </c>
      <c r="S76" t="s">
        <v>74</v>
      </c>
      <c r="T76" t="s">
        <v>1715</v>
      </c>
      <c r="U76" t="s">
        <v>1716</v>
      </c>
      <c r="V76" t="s">
        <v>1717</v>
      </c>
      <c r="W76" t="s">
        <v>1718</v>
      </c>
      <c r="X76" t="s">
        <v>1719</v>
      </c>
      <c r="Y76" t="s">
        <v>1720</v>
      </c>
      <c r="Z76" t="s">
        <v>1721</v>
      </c>
      <c r="AA76" t="s">
        <v>74</v>
      </c>
      <c r="AB76" t="s">
        <v>74</v>
      </c>
      <c r="AC76" t="s">
        <v>1722</v>
      </c>
      <c r="AD76" t="s">
        <v>1723</v>
      </c>
      <c r="AE76" t="s">
        <v>1724</v>
      </c>
      <c r="AF76" t="s">
        <v>74</v>
      </c>
      <c r="AG76">
        <v>46</v>
      </c>
      <c r="AH76">
        <v>7</v>
      </c>
      <c r="AI76">
        <v>8</v>
      </c>
      <c r="AJ76">
        <v>0</v>
      </c>
      <c r="AK76">
        <v>12</v>
      </c>
      <c r="AL76" t="s">
        <v>1141</v>
      </c>
      <c r="AM76" t="s">
        <v>318</v>
      </c>
      <c r="AN76" t="s">
        <v>1142</v>
      </c>
      <c r="AO76" t="s">
        <v>1688</v>
      </c>
      <c r="AP76" t="s">
        <v>1689</v>
      </c>
      <c r="AQ76" t="s">
        <v>74</v>
      </c>
      <c r="AR76" t="s">
        <v>1690</v>
      </c>
      <c r="AS76" t="s">
        <v>1691</v>
      </c>
      <c r="AT76" t="s">
        <v>128</v>
      </c>
      <c r="AU76">
        <v>2017</v>
      </c>
      <c r="AV76">
        <v>12</v>
      </c>
      <c r="AW76" t="s">
        <v>74</v>
      </c>
      <c r="AX76" t="s">
        <v>74</v>
      </c>
      <c r="AY76" t="s">
        <v>74</v>
      </c>
      <c r="AZ76" t="s">
        <v>100</v>
      </c>
      <c r="BA76" t="s">
        <v>74</v>
      </c>
      <c r="BB76">
        <v>46</v>
      </c>
      <c r="BC76">
        <v>58</v>
      </c>
      <c r="BD76" t="s">
        <v>74</v>
      </c>
      <c r="BE76" t="s">
        <v>1725</v>
      </c>
      <c r="BF76" t="str">
        <f>HYPERLINK("http://dx.doi.org/10.1016/j.polar.2016.06.009","http://dx.doi.org/10.1016/j.polar.2016.06.009")</f>
        <v>http://dx.doi.org/10.1016/j.polar.2016.06.009</v>
      </c>
      <c r="BG76" t="s">
        <v>74</v>
      </c>
      <c r="BH76" t="s">
        <v>74</v>
      </c>
      <c r="BI76">
        <v>13</v>
      </c>
      <c r="BJ76" t="s">
        <v>1693</v>
      </c>
      <c r="BK76" t="s">
        <v>103</v>
      </c>
      <c r="BL76" t="s">
        <v>270</v>
      </c>
      <c r="BM76" t="s">
        <v>1694</v>
      </c>
      <c r="BN76" t="s">
        <v>74</v>
      </c>
      <c r="BO76" t="s">
        <v>74</v>
      </c>
      <c r="BP76" t="s">
        <v>74</v>
      </c>
      <c r="BQ76" t="s">
        <v>74</v>
      </c>
      <c r="BR76" t="s">
        <v>106</v>
      </c>
      <c r="BS76" t="s">
        <v>1726</v>
      </c>
      <c r="BT76" t="str">
        <f>HYPERLINK("https%3A%2F%2Fwww.webofscience.com%2Fwos%2Fwoscc%2Ffull-record%2FWOS:000402350800007","View Full Record in Web of Science")</f>
        <v>View Full Record in Web of Science</v>
      </c>
    </row>
    <row r="77" spans="1:72" x14ac:dyDescent="0.15">
      <c r="A77" t="s">
        <v>72</v>
      </c>
      <c r="B77" t="s">
        <v>1727</v>
      </c>
      <c r="C77" t="s">
        <v>74</v>
      </c>
      <c r="D77" t="s">
        <v>74</v>
      </c>
      <c r="E77" t="s">
        <v>74</v>
      </c>
      <c r="F77" t="s">
        <v>1728</v>
      </c>
      <c r="G77" t="s">
        <v>74</v>
      </c>
      <c r="H77" t="s">
        <v>74</v>
      </c>
      <c r="I77" t="s">
        <v>1729</v>
      </c>
      <c r="J77" t="s">
        <v>1675</v>
      </c>
      <c r="K77" t="s">
        <v>74</v>
      </c>
      <c r="L77" t="s">
        <v>74</v>
      </c>
      <c r="M77" t="s">
        <v>78</v>
      </c>
      <c r="N77" t="s">
        <v>79</v>
      </c>
      <c r="O77" t="s">
        <v>74</v>
      </c>
      <c r="P77" t="s">
        <v>74</v>
      </c>
      <c r="Q77" t="s">
        <v>74</v>
      </c>
      <c r="R77" t="s">
        <v>74</v>
      </c>
      <c r="S77" t="s">
        <v>74</v>
      </c>
      <c r="T77" t="s">
        <v>1730</v>
      </c>
      <c r="U77" t="s">
        <v>1731</v>
      </c>
      <c r="V77" t="s">
        <v>1732</v>
      </c>
      <c r="W77" t="s">
        <v>1733</v>
      </c>
      <c r="X77" t="s">
        <v>1734</v>
      </c>
      <c r="Y77" t="s">
        <v>1735</v>
      </c>
      <c r="Z77" t="s">
        <v>1736</v>
      </c>
      <c r="AA77" t="s">
        <v>74</v>
      </c>
      <c r="AB77" t="s">
        <v>74</v>
      </c>
      <c r="AC77" t="s">
        <v>1737</v>
      </c>
      <c r="AD77" t="s">
        <v>1738</v>
      </c>
      <c r="AE77" t="s">
        <v>1739</v>
      </c>
      <c r="AF77" t="s">
        <v>74</v>
      </c>
      <c r="AG77">
        <v>52</v>
      </c>
      <c r="AH77">
        <v>8</v>
      </c>
      <c r="AI77">
        <v>8</v>
      </c>
      <c r="AJ77">
        <v>0</v>
      </c>
      <c r="AK77">
        <v>7</v>
      </c>
      <c r="AL77" t="s">
        <v>1141</v>
      </c>
      <c r="AM77" t="s">
        <v>318</v>
      </c>
      <c r="AN77" t="s">
        <v>1142</v>
      </c>
      <c r="AO77" t="s">
        <v>1688</v>
      </c>
      <c r="AP77" t="s">
        <v>1689</v>
      </c>
      <c r="AQ77" t="s">
        <v>74</v>
      </c>
      <c r="AR77" t="s">
        <v>1690</v>
      </c>
      <c r="AS77" t="s">
        <v>1691</v>
      </c>
      <c r="AT77" t="s">
        <v>128</v>
      </c>
      <c r="AU77">
        <v>2017</v>
      </c>
      <c r="AV77">
        <v>12</v>
      </c>
      <c r="AW77" t="s">
        <v>74</v>
      </c>
      <c r="AX77" t="s">
        <v>74</v>
      </c>
      <c r="AY77" t="s">
        <v>74</v>
      </c>
      <c r="AZ77" t="s">
        <v>100</v>
      </c>
      <c r="BA77" t="s">
        <v>74</v>
      </c>
      <c r="BB77">
        <v>69</v>
      </c>
      <c r="BC77">
        <v>78</v>
      </c>
      <c r="BD77" t="s">
        <v>74</v>
      </c>
      <c r="BE77" t="s">
        <v>1740</v>
      </c>
      <c r="BF77" t="str">
        <f>HYPERLINK("http://dx.doi.org/10.1016/j.polar.2016.11.005","http://dx.doi.org/10.1016/j.polar.2016.11.005")</f>
        <v>http://dx.doi.org/10.1016/j.polar.2016.11.005</v>
      </c>
      <c r="BG77" t="s">
        <v>74</v>
      </c>
      <c r="BH77" t="s">
        <v>74</v>
      </c>
      <c r="BI77">
        <v>10</v>
      </c>
      <c r="BJ77" t="s">
        <v>1693</v>
      </c>
      <c r="BK77" t="s">
        <v>103</v>
      </c>
      <c r="BL77" t="s">
        <v>270</v>
      </c>
      <c r="BM77" t="s">
        <v>1694</v>
      </c>
      <c r="BN77" t="s">
        <v>74</v>
      </c>
      <c r="BO77" t="s">
        <v>74</v>
      </c>
      <c r="BP77" t="s">
        <v>74</v>
      </c>
      <c r="BQ77" t="s">
        <v>74</v>
      </c>
      <c r="BR77" t="s">
        <v>106</v>
      </c>
      <c r="BS77" t="s">
        <v>1741</v>
      </c>
      <c r="BT77" t="str">
        <f>HYPERLINK("https%3A%2F%2Fwww.webofscience.com%2Fwos%2Fwoscc%2Ffull-record%2FWOS:000402350800009","View Full Record in Web of Science")</f>
        <v>View Full Record in Web of Science</v>
      </c>
    </row>
    <row r="78" spans="1:72" x14ac:dyDescent="0.15">
      <c r="A78" t="s">
        <v>72</v>
      </c>
      <c r="B78" t="s">
        <v>1742</v>
      </c>
      <c r="C78" t="s">
        <v>74</v>
      </c>
      <c r="D78" t="s">
        <v>74</v>
      </c>
      <c r="E78" t="s">
        <v>74</v>
      </c>
      <c r="F78" t="s">
        <v>1743</v>
      </c>
      <c r="G78" t="s">
        <v>74</v>
      </c>
      <c r="H78" t="s">
        <v>74</v>
      </c>
      <c r="I78" t="s">
        <v>1744</v>
      </c>
      <c r="J78" t="s">
        <v>1675</v>
      </c>
      <c r="K78" t="s">
        <v>74</v>
      </c>
      <c r="L78" t="s">
        <v>74</v>
      </c>
      <c r="M78" t="s">
        <v>78</v>
      </c>
      <c r="N78" t="s">
        <v>79</v>
      </c>
      <c r="O78" t="s">
        <v>74</v>
      </c>
      <c r="P78" t="s">
        <v>74</v>
      </c>
      <c r="Q78" t="s">
        <v>74</v>
      </c>
      <c r="R78" t="s">
        <v>74</v>
      </c>
      <c r="S78" t="s">
        <v>74</v>
      </c>
      <c r="T78" t="s">
        <v>1745</v>
      </c>
      <c r="U78" t="s">
        <v>1746</v>
      </c>
      <c r="V78" t="s">
        <v>1747</v>
      </c>
      <c r="W78" t="s">
        <v>1748</v>
      </c>
      <c r="X78" t="s">
        <v>1749</v>
      </c>
      <c r="Y78" t="s">
        <v>1750</v>
      </c>
      <c r="Z78" t="s">
        <v>1751</v>
      </c>
      <c r="AA78" t="s">
        <v>1752</v>
      </c>
      <c r="AB78" t="s">
        <v>1753</v>
      </c>
      <c r="AC78" t="s">
        <v>1754</v>
      </c>
      <c r="AD78" t="s">
        <v>1755</v>
      </c>
      <c r="AE78" t="s">
        <v>1756</v>
      </c>
      <c r="AF78" t="s">
        <v>74</v>
      </c>
      <c r="AG78">
        <v>52</v>
      </c>
      <c r="AH78">
        <v>9</v>
      </c>
      <c r="AI78">
        <v>10</v>
      </c>
      <c r="AJ78">
        <v>0</v>
      </c>
      <c r="AK78">
        <v>15</v>
      </c>
      <c r="AL78" t="s">
        <v>1141</v>
      </c>
      <c r="AM78" t="s">
        <v>318</v>
      </c>
      <c r="AN78" t="s">
        <v>1142</v>
      </c>
      <c r="AO78" t="s">
        <v>1688</v>
      </c>
      <c r="AP78" t="s">
        <v>1689</v>
      </c>
      <c r="AQ78" t="s">
        <v>74</v>
      </c>
      <c r="AR78" t="s">
        <v>1690</v>
      </c>
      <c r="AS78" t="s">
        <v>1691</v>
      </c>
      <c r="AT78" t="s">
        <v>128</v>
      </c>
      <c r="AU78">
        <v>2017</v>
      </c>
      <c r="AV78">
        <v>12</v>
      </c>
      <c r="AW78" t="s">
        <v>74</v>
      </c>
      <c r="AX78" t="s">
        <v>74</v>
      </c>
      <c r="AY78" t="s">
        <v>74</v>
      </c>
      <c r="AZ78" t="s">
        <v>100</v>
      </c>
      <c r="BA78" t="s">
        <v>74</v>
      </c>
      <c r="BB78">
        <v>79</v>
      </c>
      <c r="BC78">
        <v>87</v>
      </c>
      <c r="BD78" t="s">
        <v>74</v>
      </c>
      <c r="BE78" t="s">
        <v>1757</v>
      </c>
      <c r="BF78" t="str">
        <f>HYPERLINK("http://dx.doi.org/10.1016/j.polar.2017.02.007","http://dx.doi.org/10.1016/j.polar.2017.02.007")</f>
        <v>http://dx.doi.org/10.1016/j.polar.2017.02.007</v>
      </c>
      <c r="BG78" t="s">
        <v>74</v>
      </c>
      <c r="BH78" t="s">
        <v>74</v>
      </c>
      <c r="BI78">
        <v>9</v>
      </c>
      <c r="BJ78" t="s">
        <v>1693</v>
      </c>
      <c r="BK78" t="s">
        <v>103</v>
      </c>
      <c r="BL78" t="s">
        <v>270</v>
      </c>
      <c r="BM78" t="s">
        <v>1694</v>
      </c>
      <c r="BN78" t="s">
        <v>74</v>
      </c>
      <c r="BO78" t="s">
        <v>384</v>
      </c>
      <c r="BP78" t="s">
        <v>74</v>
      </c>
      <c r="BQ78" t="s">
        <v>74</v>
      </c>
      <c r="BR78" t="s">
        <v>106</v>
      </c>
      <c r="BS78" t="s">
        <v>1758</v>
      </c>
      <c r="BT78" t="str">
        <f>HYPERLINK("https%3A%2F%2Fwww.webofscience.com%2Fwos%2Fwoscc%2Ffull-record%2FWOS:000402350800010","View Full Record in Web of Science")</f>
        <v>View Full Record in Web of Science</v>
      </c>
    </row>
    <row r="79" spans="1:72" x14ac:dyDescent="0.15">
      <c r="A79" t="s">
        <v>72</v>
      </c>
      <c r="B79" t="s">
        <v>1759</v>
      </c>
      <c r="C79" t="s">
        <v>74</v>
      </c>
      <c r="D79" t="s">
        <v>74</v>
      </c>
      <c r="E79" t="s">
        <v>74</v>
      </c>
      <c r="F79" t="s">
        <v>1760</v>
      </c>
      <c r="G79" t="s">
        <v>74</v>
      </c>
      <c r="H79" t="s">
        <v>74</v>
      </c>
      <c r="I79" t="s">
        <v>1761</v>
      </c>
      <c r="J79" t="s">
        <v>1675</v>
      </c>
      <c r="K79" t="s">
        <v>74</v>
      </c>
      <c r="L79" t="s">
        <v>74</v>
      </c>
      <c r="M79" t="s">
        <v>78</v>
      </c>
      <c r="N79" t="s">
        <v>79</v>
      </c>
      <c r="O79" t="s">
        <v>74</v>
      </c>
      <c r="P79" t="s">
        <v>74</v>
      </c>
      <c r="Q79" t="s">
        <v>74</v>
      </c>
      <c r="R79" t="s">
        <v>74</v>
      </c>
      <c r="S79" t="s">
        <v>74</v>
      </c>
      <c r="T79" t="s">
        <v>1762</v>
      </c>
      <c r="U79" t="s">
        <v>1763</v>
      </c>
      <c r="V79" t="s">
        <v>1764</v>
      </c>
      <c r="W79" t="s">
        <v>1765</v>
      </c>
      <c r="X79" t="s">
        <v>1766</v>
      </c>
      <c r="Y79" t="s">
        <v>1767</v>
      </c>
      <c r="Z79" t="s">
        <v>1768</v>
      </c>
      <c r="AA79" t="s">
        <v>74</v>
      </c>
      <c r="AB79" t="s">
        <v>74</v>
      </c>
      <c r="AC79" t="s">
        <v>1769</v>
      </c>
      <c r="AD79" t="s">
        <v>1770</v>
      </c>
      <c r="AE79" t="s">
        <v>1771</v>
      </c>
      <c r="AF79" t="s">
        <v>74</v>
      </c>
      <c r="AG79">
        <v>35</v>
      </c>
      <c r="AH79">
        <v>10</v>
      </c>
      <c r="AI79">
        <v>11</v>
      </c>
      <c r="AJ79">
        <v>2</v>
      </c>
      <c r="AK79">
        <v>23</v>
      </c>
      <c r="AL79" t="s">
        <v>1141</v>
      </c>
      <c r="AM79" t="s">
        <v>318</v>
      </c>
      <c r="AN79" t="s">
        <v>1142</v>
      </c>
      <c r="AO79" t="s">
        <v>1688</v>
      </c>
      <c r="AP79" t="s">
        <v>1689</v>
      </c>
      <c r="AQ79" t="s">
        <v>74</v>
      </c>
      <c r="AR79" t="s">
        <v>1690</v>
      </c>
      <c r="AS79" t="s">
        <v>1691</v>
      </c>
      <c r="AT79" t="s">
        <v>128</v>
      </c>
      <c r="AU79">
        <v>2017</v>
      </c>
      <c r="AV79">
        <v>12</v>
      </c>
      <c r="AW79" t="s">
        <v>74</v>
      </c>
      <c r="AX79" t="s">
        <v>74</v>
      </c>
      <c r="AY79" t="s">
        <v>74</v>
      </c>
      <c r="AZ79" t="s">
        <v>100</v>
      </c>
      <c r="BA79" t="s">
        <v>74</v>
      </c>
      <c r="BB79">
        <v>88</v>
      </c>
      <c r="BC79">
        <v>98</v>
      </c>
      <c r="BD79" t="s">
        <v>74</v>
      </c>
      <c r="BE79" t="s">
        <v>1772</v>
      </c>
      <c r="BF79" t="str">
        <f>HYPERLINK("http://dx.doi.org/10.1016/j.polar.2017.02.006","http://dx.doi.org/10.1016/j.polar.2017.02.006")</f>
        <v>http://dx.doi.org/10.1016/j.polar.2017.02.006</v>
      </c>
      <c r="BG79" t="s">
        <v>74</v>
      </c>
      <c r="BH79" t="s">
        <v>74</v>
      </c>
      <c r="BI79">
        <v>11</v>
      </c>
      <c r="BJ79" t="s">
        <v>1693</v>
      </c>
      <c r="BK79" t="s">
        <v>103</v>
      </c>
      <c r="BL79" t="s">
        <v>270</v>
      </c>
      <c r="BM79" t="s">
        <v>1694</v>
      </c>
      <c r="BN79" t="s">
        <v>74</v>
      </c>
      <c r="BO79" t="s">
        <v>384</v>
      </c>
      <c r="BP79" t="s">
        <v>74</v>
      </c>
      <c r="BQ79" t="s">
        <v>74</v>
      </c>
      <c r="BR79" t="s">
        <v>106</v>
      </c>
      <c r="BS79" t="s">
        <v>1773</v>
      </c>
      <c r="BT79" t="str">
        <f>HYPERLINK("https%3A%2F%2Fwww.webofscience.com%2Fwos%2Fwoscc%2Ffull-record%2FWOS:000402350800011","View Full Record in Web of Science")</f>
        <v>View Full Record in Web of Science</v>
      </c>
    </row>
    <row r="80" spans="1:72" x14ac:dyDescent="0.15">
      <c r="A80" t="s">
        <v>72</v>
      </c>
      <c r="B80" t="s">
        <v>1774</v>
      </c>
      <c r="C80" t="s">
        <v>74</v>
      </c>
      <c r="D80" t="s">
        <v>74</v>
      </c>
      <c r="E80" t="s">
        <v>74</v>
      </c>
      <c r="F80" t="s">
        <v>1775</v>
      </c>
      <c r="G80" t="s">
        <v>74</v>
      </c>
      <c r="H80" t="s">
        <v>74</v>
      </c>
      <c r="I80" t="s">
        <v>1776</v>
      </c>
      <c r="J80" t="s">
        <v>1777</v>
      </c>
      <c r="K80" t="s">
        <v>74</v>
      </c>
      <c r="L80" t="s">
        <v>74</v>
      </c>
      <c r="M80" t="s">
        <v>78</v>
      </c>
      <c r="N80" t="s">
        <v>518</v>
      </c>
      <c r="O80" t="s">
        <v>74</v>
      </c>
      <c r="P80" t="s">
        <v>74</v>
      </c>
      <c r="Q80" t="s">
        <v>74</v>
      </c>
      <c r="R80" t="s">
        <v>74</v>
      </c>
      <c r="S80" t="s">
        <v>74</v>
      </c>
      <c r="T80" t="s">
        <v>74</v>
      </c>
      <c r="U80" t="s">
        <v>1778</v>
      </c>
      <c r="V80" t="s">
        <v>1779</v>
      </c>
      <c r="W80" t="s">
        <v>1780</v>
      </c>
      <c r="X80" t="s">
        <v>1781</v>
      </c>
      <c r="Y80" t="s">
        <v>1782</v>
      </c>
      <c r="Z80" t="s">
        <v>1783</v>
      </c>
      <c r="AA80" t="s">
        <v>74</v>
      </c>
      <c r="AB80" t="s">
        <v>1784</v>
      </c>
      <c r="AC80" t="s">
        <v>1785</v>
      </c>
      <c r="AD80" t="s">
        <v>1785</v>
      </c>
      <c r="AE80" t="s">
        <v>1786</v>
      </c>
      <c r="AF80" t="s">
        <v>74</v>
      </c>
      <c r="AG80">
        <v>28</v>
      </c>
      <c r="AH80">
        <v>0</v>
      </c>
      <c r="AI80">
        <v>0</v>
      </c>
      <c r="AJ80">
        <v>0</v>
      </c>
      <c r="AK80">
        <v>6</v>
      </c>
      <c r="AL80" t="s">
        <v>1787</v>
      </c>
      <c r="AM80" t="s">
        <v>1788</v>
      </c>
      <c r="AN80" t="s">
        <v>1789</v>
      </c>
      <c r="AO80" t="s">
        <v>1790</v>
      </c>
      <c r="AP80" t="s">
        <v>74</v>
      </c>
      <c r="AQ80" t="s">
        <v>74</v>
      </c>
      <c r="AR80" t="s">
        <v>1791</v>
      </c>
      <c r="AS80" t="s">
        <v>1792</v>
      </c>
      <c r="AT80" t="s">
        <v>128</v>
      </c>
      <c r="AU80">
        <v>2017</v>
      </c>
      <c r="AV80">
        <v>83</v>
      </c>
      <c r="AW80">
        <v>2</v>
      </c>
      <c r="AX80" t="s">
        <v>74</v>
      </c>
      <c r="AY80" t="s">
        <v>74</v>
      </c>
      <c r="AZ80" t="s">
        <v>74</v>
      </c>
      <c r="BA80" t="s">
        <v>74</v>
      </c>
      <c r="BB80">
        <v>249</v>
      </c>
      <c r="BC80">
        <v>254</v>
      </c>
      <c r="BD80" t="s">
        <v>74</v>
      </c>
      <c r="BE80" t="s">
        <v>1793</v>
      </c>
      <c r="BF80" t="str">
        <f>HYPERLINK("http://dx.doi.org/10.16943/ptinsa/2017/48944","http://dx.doi.org/10.16943/ptinsa/2017/48944")</f>
        <v>http://dx.doi.org/10.16943/ptinsa/2017/48944</v>
      </c>
      <c r="BG80" t="s">
        <v>74</v>
      </c>
      <c r="BH80" t="s">
        <v>74</v>
      </c>
      <c r="BI80">
        <v>6</v>
      </c>
      <c r="BJ80" t="s">
        <v>1617</v>
      </c>
      <c r="BK80" t="s">
        <v>1794</v>
      </c>
      <c r="BL80" t="s">
        <v>1618</v>
      </c>
      <c r="BM80" t="s">
        <v>1795</v>
      </c>
      <c r="BN80" t="s">
        <v>74</v>
      </c>
      <c r="BO80" t="s">
        <v>412</v>
      </c>
      <c r="BP80" t="s">
        <v>74</v>
      </c>
      <c r="BQ80" t="s">
        <v>74</v>
      </c>
      <c r="BR80" t="s">
        <v>106</v>
      </c>
      <c r="BS80" t="s">
        <v>1796</v>
      </c>
      <c r="BT80" t="str">
        <f>HYPERLINK("https%3A%2F%2Fwww.webofscience.com%2Fwos%2Fwoscc%2Ffull-record%2FWOS:000401547500002","View Full Record in Web of Science")</f>
        <v>View Full Record in Web of Science</v>
      </c>
    </row>
    <row r="81" spans="1:72" x14ac:dyDescent="0.15">
      <c r="A81" t="s">
        <v>72</v>
      </c>
      <c r="B81" t="s">
        <v>1797</v>
      </c>
      <c r="C81" t="s">
        <v>74</v>
      </c>
      <c r="D81" t="s">
        <v>74</v>
      </c>
      <c r="E81" t="s">
        <v>74</v>
      </c>
      <c r="F81" t="s">
        <v>1798</v>
      </c>
      <c r="G81" t="s">
        <v>74</v>
      </c>
      <c r="H81" t="s">
        <v>74</v>
      </c>
      <c r="I81" t="s">
        <v>1799</v>
      </c>
      <c r="J81" t="s">
        <v>1777</v>
      </c>
      <c r="K81" t="s">
        <v>74</v>
      </c>
      <c r="L81" t="s">
        <v>74</v>
      </c>
      <c r="M81" t="s">
        <v>78</v>
      </c>
      <c r="N81" t="s">
        <v>518</v>
      </c>
      <c r="O81" t="s">
        <v>74</v>
      </c>
      <c r="P81" t="s">
        <v>74</v>
      </c>
      <c r="Q81" t="s">
        <v>74</v>
      </c>
      <c r="R81" t="s">
        <v>74</v>
      </c>
      <c r="S81" t="s">
        <v>74</v>
      </c>
      <c r="T81" t="s">
        <v>74</v>
      </c>
      <c r="U81" t="s">
        <v>74</v>
      </c>
      <c r="V81" t="s">
        <v>1800</v>
      </c>
      <c r="W81" t="s">
        <v>1801</v>
      </c>
      <c r="X81" t="s">
        <v>1802</v>
      </c>
      <c r="Y81" t="s">
        <v>1803</v>
      </c>
      <c r="Z81" t="s">
        <v>1804</v>
      </c>
      <c r="AA81" t="s">
        <v>74</v>
      </c>
      <c r="AB81" t="s">
        <v>74</v>
      </c>
      <c r="AC81" t="s">
        <v>74</v>
      </c>
      <c r="AD81" t="s">
        <v>74</v>
      </c>
      <c r="AE81" t="s">
        <v>74</v>
      </c>
      <c r="AF81" t="s">
        <v>74</v>
      </c>
      <c r="AG81">
        <v>21</v>
      </c>
      <c r="AH81">
        <v>0</v>
      </c>
      <c r="AI81">
        <v>0</v>
      </c>
      <c r="AJ81">
        <v>0</v>
      </c>
      <c r="AK81">
        <v>8</v>
      </c>
      <c r="AL81" t="s">
        <v>1787</v>
      </c>
      <c r="AM81" t="s">
        <v>1788</v>
      </c>
      <c r="AN81" t="s">
        <v>1789</v>
      </c>
      <c r="AO81" t="s">
        <v>1790</v>
      </c>
      <c r="AP81" t="s">
        <v>74</v>
      </c>
      <c r="AQ81" t="s">
        <v>74</v>
      </c>
      <c r="AR81" t="s">
        <v>1791</v>
      </c>
      <c r="AS81" t="s">
        <v>1792</v>
      </c>
      <c r="AT81" t="s">
        <v>128</v>
      </c>
      <c r="AU81">
        <v>2017</v>
      </c>
      <c r="AV81">
        <v>83</v>
      </c>
      <c r="AW81">
        <v>2</v>
      </c>
      <c r="AX81" t="s">
        <v>74</v>
      </c>
      <c r="AY81" t="s">
        <v>74</v>
      </c>
      <c r="AZ81" t="s">
        <v>74</v>
      </c>
      <c r="BA81" t="s">
        <v>74</v>
      </c>
      <c r="BB81">
        <v>255</v>
      </c>
      <c r="BC81">
        <v>267</v>
      </c>
      <c r="BD81" t="s">
        <v>74</v>
      </c>
      <c r="BE81" t="s">
        <v>1805</v>
      </c>
      <c r="BF81" t="str">
        <f>HYPERLINK("http://dx.doi.org/10.16943/ptinsa/2017/48945","http://dx.doi.org/10.16943/ptinsa/2017/48945")</f>
        <v>http://dx.doi.org/10.16943/ptinsa/2017/48945</v>
      </c>
      <c r="BG81" t="s">
        <v>74</v>
      </c>
      <c r="BH81" t="s">
        <v>74</v>
      </c>
      <c r="BI81">
        <v>13</v>
      </c>
      <c r="BJ81" t="s">
        <v>1617</v>
      </c>
      <c r="BK81" t="s">
        <v>1794</v>
      </c>
      <c r="BL81" t="s">
        <v>1618</v>
      </c>
      <c r="BM81" t="s">
        <v>1795</v>
      </c>
      <c r="BN81" t="s">
        <v>74</v>
      </c>
      <c r="BO81" t="s">
        <v>412</v>
      </c>
      <c r="BP81" t="s">
        <v>74</v>
      </c>
      <c r="BQ81" t="s">
        <v>74</v>
      </c>
      <c r="BR81" t="s">
        <v>106</v>
      </c>
      <c r="BS81" t="s">
        <v>1806</v>
      </c>
      <c r="BT81" t="str">
        <f>HYPERLINK("https%3A%2F%2Fwww.webofscience.com%2Fwos%2Fwoscc%2Ffull-record%2FWOS:000401547500003","View Full Record in Web of Science")</f>
        <v>View Full Record in Web of Science</v>
      </c>
    </row>
    <row r="82" spans="1:72" x14ac:dyDescent="0.15">
      <c r="A82" t="s">
        <v>72</v>
      </c>
      <c r="B82" t="s">
        <v>1807</v>
      </c>
      <c r="C82" t="s">
        <v>74</v>
      </c>
      <c r="D82" t="s">
        <v>74</v>
      </c>
      <c r="E82" t="s">
        <v>74</v>
      </c>
      <c r="F82" t="s">
        <v>1808</v>
      </c>
      <c r="G82" t="s">
        <v>74</v>
      </c>
      <c r="H82" t="s">
        <v>74</v>
      </c>
      <c r="I82" t="s">
        <v>1809</v>
      </c>
      <c r="J82" t="s">
        <v>1777</v>
      </c>
      <c r="K82" t="s">
        <v>74</v>
      </c>
      <c r="L82" t="s">
        <v>74</v>
      </c>
      <c r="M82" t="s">
        <v>78</v>
      </c>
      <c r="N82" t="s">
        <v>518</v>
      </c>
      <c r="O82" t="s">
        <v>74</v>
      </c>
      <c r="P82" t="s">
        <v>74</v>
      </c>
      <c r="Q82" t="s">
        <v>74</v>
      </c>
      <c r="R82" t="s">
        <v>74</v>
      </c>
      <c r="S82" t="s">
        <v>74</v>
      </c>
      <c r="T82" t="s">
        <v>74</v>
      </c>
      <c r="U82" t="s">
        <v>1810</v>
      </c>
      <c r="V82" t="s">
        <v>1811</v>
      </c>
      <c r="W82" t="s">
        <v>1812</v>
      </c>
      <c r="X82" t="s">
        <v>1813</v>
      </c>
      <c r="Y82" t="s">
        <v>1814</v>
      </c>
      <c r="Z82" t="s">
        <v>1815</v>
      </c>
      <c r="AA82" t="s">
        <v>74</v>
      </c>
      <c r="AB82" t="s">
        <v>74</v>
      </c>
      <c r="AC82" t="s">
        <v>74</v>
      </c>
      <c r="AD82" t="s">
        <v>74</v>
      </c>
      <c r="AE82" t="s">
        <v>74</v>
      </c>
      <c r="AF82" t="s">
        <v>74</v>
      </c>
      <c r="AG82">
        <v>48</v>
      </c>
      <c r="AH82">
        <v>3</v>
      </c>
      <c r="AI82">
        <v>3</v>
      </c>
      <c r="AJ82">
        <v>0</v>
      </c>
      <c r="AK82">
        <v>3</v>
      </c>
      <c r="AL82" t="s">
        <v>1787</v>
      </c>
      <c r="AM82" t="s">
        <v>1788</v>
      </c>
      <c r="AN82" t="s">
        <v>1789</v>
      </c>
      <c r="AO82" t="s">
        <v>1790</v>
      </c>
      <c r="AP82" t="s">
        <v>74</v>
      </c>
      <c r="AQ82" t="s">
        <v>74</v>
      </c>
      <c r="AR82" t="s">
        <v>1791</v>
      </c>
      <c r="AS82" t="s">
        <v>1792</v>
      </c>
      <c r="AT82" t="s">
        <v>128</v>
      </c>
      <c r="AU82">
        <v>2017</v>
      </c>
      <c r="AV82">
        <v>83</v>
      </c>
      <c r="AW82">
        <v>2</v>
      </c>
      <c r="AX82" t="s">
        <v>74</v>
      </c>
      <c r="AY82" t="s">
        <v>74</v>
      </c>
      <c r="AZ82" t="s">
        <v>74</v>
      </c>
      <c r="BA82" t="s">
        <v>74</v>
      </c>
      <c r="BB82">
        <v>269</v>
      </c>
      <c r="BC82">
        <v>278</v>
      </c>
      <c r="BD82" t="s">
        <v>74</v>
      </c>
      <c r="BE82" t="s">
        <v>1816</v>
      </c>
      <c r="BF82" t="str">
        <f>HYPERLINK("http://dx.doi.org/10.16943/ptinsa/2017/48948","http://dx.doi.org/10.16943/ptinsa/2017/48948")</f>
        <v>http://dx.doi.org/10.16943/ptinsa/2017/48948</v>
      </c>
      <c r="BG82" t="s">
        <v>74</v>
      </c>
      <c r="BH82" t="s">
        <v>74</v>
      </c>
      <c r="BI82">
        <v>10</v>
      </c>
      <c r="BJ82" t="s">
        <v>1617</v>
      </c>
      <c r="BK82" t="s">
        <v>1794</v>
      </c>
      <c r="BL82" t="s">
        <v>1618</v>
      </c>
      <c r="BM82" t="s">
        <v>1795</v>
      </c>
      <c r="BN82" t="s">
        <v>74</v>
      </c>
      <c r="BO82" t="s">
        <v>412</v>
      </c>
      <c r="BP82" t="s">
        <v>74</v>
      </c>
      <c r="BQ82" t="s">
        <v>74</v>
      </c>
      <c r="BR82" t="s">
        <v>106</v>
      </c>
      <c r="BS82" t="s">
        <v>1817</v>
      </c>
      <c r="BT82" t="str">
        <f>HYPERLINK("https%3A%2F%2Fwww.webofscience.com%2Fwos%2Fwoscc%2Ffull-record%2FWOS:000401547500004","View Full Record in Web of Science")</f>
        <v>View Full Record in Web of Science</v>
      </c>
    </row>
    <row r="83" spans="1:72" x14ac:dyDescent="0.15">
      <c r="A83" t="s">
        <v>72</v>
      </c>
      <c r="B83" t="s">
        <v>1818</v>
      </c>
      <c r="C83" t="s">
        <v>74</v>
      </c>
      <c r="D83" t="s">
        <v>74</v>
      </c>
      <c r="E83" t="s">
        <v>74</v>
      </c>
      <c r="F83" t="s">
        <v>1819</v>
      </c>
      <c r="G83" t="s">
        <v>74</v>
      </c>
      <c r="H83" t="s">
        <v>74</v>
      </c>
      <c r="I83" t="s">
        <v>1820</v>
      </c>
      <c r="J83" t="s">
        <v>1777</v>
      </c>
      <c r="K83" t="s">
        <v>74</v>
      </c>
      <c r="L83" t="s">
        <v>74</v>
      </c>
      <c r="M83" t="s">
        <v>78</v>
      </c>
      <c r="N83" t="s">
        <v>518</v>
      </c>
      <c r="O83" t="s">
        <v>74</v>
      </c>
      <c r="P83" t="s">
        <v>74</v>
      </c>
      <c r="Q83" t="s">
        <v>74</v>
      </c>
      <c r="R83" t="s">
        <v>74</v>
      </c>
      <c r="S83" t="s">
        <v>74</v>
      </c>
      <c r="T83" t="s">
        <v>74</v>
      </c>
      <c r="U83" t="s">
        <v>1821</v>
      </c>
      <c r="V83" t="s">
        <v>1822</v>
      </c>
      <c r="W83" t="s">
        <v>1823</v>
      </c>
      <c r="X83" t="s">
        <v>1824</v>
      </c>
      <c r="Y83" t="s">
        <v>1825</v>
      </c>
      <c r="Z83" t="s">
        <v>1826</v>
      </c>
      <c r="AA83" t="s">
        <v>74</v>
      </c>
      <c r="AB83" t="s">
        <v>74</v>
      </c>
      <c r="AC83" t="s">
        <v>1827</v>
      </c>
      <c r="AD83" t="s">
        <v>1827</v>
      </c>
      <c r="AE83" t="s">
        <v>1828</v>
      </c>
      <c r="AF83" t="s">
        <v>74</v>
      </c>
      <c r="AG83">
        <v>39</v>
      </c>
      <c r="AH83">
        <v>3</v>
      </c>
      <c r="AI83">
        <v>3</v>
      </c>
      <c r="AJ83">
        <v>0</v>
      </c>
      <c r="AK83">
        <v>18</v>
      </c>
      <c r="AL83" t="s">
        <v>1787</v>
      </c>
      <c r="AM83" t="s">
        <v>1788</v>
      </c>
      <c r="AN83" t="s">
        <v>1789</v>
      </c>
      <c r="AO83" t="s">
        <v>1790</v>
      </c>
      <c r="AP83" t="s">
        <v>74</v>
      </c>
      <c r="AQ83" t="s">
        <v>74</v>
      </c>
      <c r="AR83" t="s">
        <v>1791</v>
      </c>
      <c r="AS83" t="s">
        <v>1792</v>
      </c>
      <c r="AT83" t="s">
        <v>128</v>
      </c>
      <c r="AU83">
        <v>2017</v>
      </c>
      <c r="AV83">
        <v>83</v>
      </c>
      <c r="AW83">
        <v>2</v>
      </c>
      <c r="AX83" t="s">
        <v>74</v>
      </c>
      <c r="AY83" t="s">
        <v>74</v>
      </c>
      <c r="AZ83" t="s">
        <v>74</v>
      </c>
      <c r="BA83" t="s">
        <v>74</v>
      </c>
      <c r="BB83">
        <v>279</v>
      </c>
      <c r="BC83">
        <v>287</v>
      </c>
      <c r="BD83" t="s">
        <v>74</v>
      </c>
      <c r="BE83" t="s">
        <v>1829</v>
      </c>
      <c r="BF83" t="str">
        <f>HYPERLINK("http://dx.doi.org/10.16943/ptinsa/2017/48949","http://dx.doi.org/10.16943/ptinsa/2017/48949")</f>
        <v>http://dx.doi.org/10.16943/ptinsa/2017/48949</v>
      </c>
      <c r="BG83" t="s">
        <v>74</v>
      </c>
      <c r="BH83" t="s">
        <v>74</v>
      </c>
      <c r="BI83">
        <v>9</v>
      </c>
      <c r="BJ83" t="s">
        <v>1617</v>
      </c>
      <c r="BK83" t="s">
        <v>1794</v>
      </c>
      <c r="BL83" t="s">
        <v>1618</v>
      </c>
      <c r="BM83" t="s">
        <v>1795</v>
      </c>
      <c r="BN83" t="s">
        <v>74</v>
      </c>
      <c r="BO83" t="s">
        <v>412</v>
      </c>
      <c r="BP83" t="s">
        <v>74</v>
      </c>
      <c r="BQ83" t="s">
        <v>74</v>
      </c>
      <c r="BR83" t="s">
        <v>106</v>
      </c>
      <c r="BS83" t="s">
        <v>1830</v>
      </c>
      <c r="BT83" t="str">
        <f>HYPERLINK("https%3A%2F%2Fwww.webofscience.com%2Fwos%2Fwoscc%2Ffull-record%2FWOS:000401547500005","View Full Record in Web of Science")</f>
        <v>View Full Record in Web of Science</v>
      </c>
    </row>
    <row r="84" spans="1:72" x14ac:dyDescent="0.15">
      <c r="A84" t="s">
        <v>72</v>
      </c>
      <c r="B84" t="s">
        <v>1831</v>
      </c>
      <c r="C84" t="s">
        <v>74</v>
      </c>
      <c r="D84" t="s">
        <v>74</v>
      </c>
      <c r="E84" t="s">
        <v>74</v>
      </c>
      <c r="F84" t="s">
        <v>1832</v>
      </c>
      <c r="G84" t="s">
        <v>74</v>
      </c>
      <c r="H84" t="s">
        <v>74</v>
      </c>
      <c r="I84" t="s">
        <v>1833</v>
      </c>
      <c r="J84" t="s">
        <v>1777</v>
      </c>
      <c r="K84" t="s">
        <v>74</v>
      </c>
      <c r="L84" t="s">
        <v>74</v>
      </c>
      <c r="M84" t="s">
        <v>78</v>
      </c>
      <c r="N84" t="s">
        <v>518</v>
      </c>
      <c r="O84" t="s">
        <v>74</v>
      </c>
      <c r="P84" t="s">
        <v>74</v>
      </c>
      <c r="Q84" t="s">
        <v>74</v>
      </c>
      <c r="R84" t="s">
        <v>74</v>
      </c>
      <c r="S84" t="s">
        <v>74</v>
      </c>
      <c r="T84" t="s">
        <v>74</v>
      </c>
      <c r="U84" t="s">
        <v>1834</v>
      </c>
      <c r="V84" t="s">
        <v>1835</v>
      </c>
      <c r="W84" t="s">
        <v>1836</v>
      </c>
      <c r="X84" t="s">
        <v>1837</v>
      </c>
      <c r="Y84" t="s">
        <v>1838</v>
      </c>
      <c r="Z84" t="s">
        <v>1839</v>
      </c>
      <c r="AA84" t="s">
        <v>74</v>
      </c>
      <c r="AB84" t="s">
        <v>1840</v>
      </c>
      <c r="AC84" t="s">
        <v>1841</v>
      </c>
      <c r="AD84" t="s">
        <v>1842</v>
      </c>
      <c r="AE84" t="s">
        <v>1843</v>
      </c>
      <c r="AF84" t="s">
        <v>74</v>
      </c>
      <c r="AG84">
        <v>70</v>
      </c>
      <c r="AH84">
        <v>2</v>
      </c>
      <c r="AI84">
        <v>2</v>
      </c>
      <c r="AJ84">
        <v>0</v>
      </c>
      <c r="AK84">
        <v>1</v>
      </c>
      <c r="AL84" t="s">
        <v>1787</v>
      </c>
      <c r="AM84" t="s">
        <v>1788</v>
      </c>
      <c r="AN84" t="s">
        <v>1789</v>
      </c>
      <c r="AO84" t="s">
        <v>1790</v>
      </c>
      <c r="AP84" t="s">
        <v>74</v>
      </c>
      <c r="AQ84" t="s">
        <v>74</v>
      </c>
      <c r="AR84" t="s">
        <v>1791</v>
      </c>
      <c r="AS84" t="s">
        <v>1792</v>
      </c>
      <c r="AT84" t="s">
        <v>128</v>
      </c>
      <c r="AU84">
        <v>2017</v>
      </c>
      <c r="AV84">
        <v>83</v>
      </c>
      <c r="AW84">
        <v>2</v>
      </c>
      <c r="AX84" t="s">
        <v>74</v>
      </c>
      <c r="AY84" t="s">
        <v>74</v>
      </c>
      <c r="AZ84" t="s">
        <v>74</v>
      </c>
      <c r="BA84" t="s">
        <v>74</v>
      </c>
      <c r="BB84">
        <v>299</v>
      </c>
      <c r="BC84">
        <v>326</v>
      </c>
      <c r="BD84" t="s">
        <v>74</v>
      </c>
      <c r="BE84" t="s">
        <v>1844</v>
      </c>
      <c r="BF84" t="str">
        <f>HYPERLINK("http://dx.doi.org/10.16943/ptinsa/2017/48955","http://dx.doi.org/10.16943/ptinsa/2017/48955")</f>
        <v>http://dx.doi.org/10.16943/ptinsa/2017/48955</v>
      </c>
      <c r="BG84" t="s">
        <v>74</v>
      </c>
      <c r="BH84" t="s">
        <v>74</v>
      </c>
      <c r="BI84">
        <v>28</v>
      </c>
      <c r="BJ84" t="s">
        <v>1617</v>
      </c>
      <c r="BK84" t="s">
        <v>1794</v>
      </c>
      <c r="BL84" t="s">
        <v>1618</v>
      </c>
      <c r="BM84" t="s">
        <v>1795</v>
      </c>
      <c r="BN84" t="s">
        <v>74</v>
      </c>
      <c r="BO84" t="s">
        <v>412</v>
      </c>
      <c r="BP84" t="s">
        <v>74</v>
      </c>
      <c r="BQ84" t="s">
        <v>74</v>
      </c>
      <c r="BR84" t="s">
        <v>106</v>
      </c>
      <c r="BS84" t="s">
        <v>1845</v>
      </c>
      <c r="BT84" t="str">
        <f>HYPERLINK("https%3A%2F%2Fwww.webofscience.com%2Fwos%2Fwoscc%2Ffull-record%2FWOS:000401547500007","View Full Record in Web of Science")</f>
        <v>View Full Record in Web of Science</v>
      </c>
    </row>
    <row r="85" spans="1:72" x14ac:dyDescent="0.15">
      <c r="A85" t="s">
        <v>72</v>
      </c>
      <c r="B85" t="s">
        <v>1846</v>
      </c>
      <c r="C85" t="s">
        <v>74</v>
      </c>
      <c r="D85" t="s">
        <v>74</v>
      </c>
      <c r="E85" t="s">
        <v>74</v>
      </c>
      <c r="F85" t="s">
        <v>1847</v>
      </c>
      <c r="G85" t="s">
        <v>74</v>
      </c>
      <c r="H85" t="s">
        <v>74</v>
      </c>
      <c r="I85" t="s">
        <v>1848</v>
      </c>
      <c r="J85" t="s">
        <v>1777</v>
      </c>
      <c r="K85" t="s">
        <v>74</v>
      </c>
      <c r="L85" t="s">
        <v>74</v>
      </c>
      <c r="M85" t="s">
        <v>78</v>
      </c>
      <c r="N85" t="s">
        <v>518</v>
      </c>
      <c r="O85" t="s">
        <v>74</v>
      </c>
      <c r="P85" t="s">
        <v>74</v>
      </c>
      <c r="Q85" t="s">
        <v>74</v>
      </c>
      <c r="R85" t="s">
        <v>74</v>
      </c>
      <c r="S85" t="s">
        <v>74</v>
      </c>
      <c r="T85" t="s">
        <v>74</v>
      </c>
      <c r="U85" t="s">
        <v>74</v>
      </c>
      <c r="V85" t="s">
        <v>1849</v>
      </c>
      <c r="W85" t="s">
        <v>1850</v>
      </c>
      <c r="X85" t="s">
        <v>1851</v>
      </c>
      <c r="Y85" t="s">
        <v>1852</v>
      </c>
      <c r="Z85" t="s">
        <v>1853</v>
      </c>
      <c r="AA85" t="s">
        <v>1854</v>
      </c>
      <c r="AB85" t="s">
        <v>1855</v>
      </c>
      <c r="AC85" t="s">
        <v>74</v>
      </c>
      <c r="AD85" t="s">
        <v>74</v>
      </c>
      <c r="AE85" t="s">
        <v>74</v>
      </c>
      <c r="AF85" t="s">
        <v>74</v>
      </c>
      <c r="AG85">
        <v>38</v>
      </c>
      <c r="AH85">
        <v>0</v>
      </c>
      <c r="AI85">
        <v>1</v>
      </c>
      <c r="AJ85">
        <v>0</v>
      </c>
      <c r="AK85">
        <v>14</v>
      </c>
      <c r="AL85" t="s">
        <v>1787</v>
      </c>
      <c r="AM85" t="s">
        <v>1788</v>
      </c>
      <c r="AN85" t="s">
        <v>1789</v>
      </c>
      <c r="AO85" t="s">
        <v>1790</v>
      </c>
      <c r="AP85" t="s">
        <v>1856</v>
      </c>
      <c r="AQ85" t="s">
        <v>74</v>
      </c>
      <c r="AR85" t="s">
        <v>1791</v>
      </c>
      <c r="AS85" t="s">
        <v>1792</v>
      </c>
      <c r="AT85" t="s">
        <v>128</v>
      </c>
      <c r="AU85">
        <v>2017</v>
      </c>
      <c r="AV85">
        <v>83</v>
      </c>
      <c r="AW85">
        <v>2</v>
      </c>
      <c r="AX85" t="s">
        <v>74</v>
      </c>
      <c r="AY85" t="s">
        <v>74</v>
      </c>
      <c r="AZ85" t="s">
        <v>74</v>
      </c>
      <c r="BA85" t="s">
        <v>74</v>
      </c>
      <c r="BB85">
        <v>353</v>
      </c>
      <c r="BC85">
        <v>361</v>
      </c>
      <c r="BD85" t="s">
        <v>74</v>
      </c>
      <c r="BE85" t="s">
        <v>1857</v>
      </c>
      <c r="BF85" t="str">
        <f>HYPERLINK("http://dx.doi.org/10.16943/ptinsa/2017/48959","http://dx.doi.org/10.16943/ptinsa/2017/48959")</f>
        <v>http://dx.doi.org/10.16943/ptinsa/2017/48959</v>
      </c>
      <c r="BG85" t="s">
        <v>74</v>
      </c>
      <c r="BH85" t="s">
        <v>74</v>
      </c>
      <c r="BI85">
        <v>9</v>
      </c>
      <c r="BJ85" t="s">
        <v>1617</v>
      </c>
      <c r="BK85" t="s">
        <v>1794</v>
      </c>
      <c r="BL85" t="s">
        <v>1618</v>
      </c>
      <c r="BM85" t="s">
        <v>1795</v>
      </c>
      <c r="BN85" t="s">
        <v>74</v>
      </c>
      <c r="BO85" t="s">
        <v>412</v>
      </c>
      <c r="BP85" t="s">
        <v>74</v>
      </c>
      <c r="BQ85" t="s">
        <v>74</v>
      </c>
      <c r="BR85" t="s">
        <v>106</v>
      </c>
      <c r="BS85" t="s">
        <v>1858</v>
      </c>
      <c r="BT85" t="str">
        <f>HYPERLINK("https%3A%2F%2Fwww.webofscience.com%2Fwos%2Fwoscc%2Ffull-record%2FWOS:000401547500009","View Full Record in Web of Science")</f>
        <v>View Full Record in Web of Science</v>
      </c>
    </row>
    <row r="86" spans="1:72" x14ac:dyDescent="0.15">
      <c r="A86" t="s">
        <v>72</v>
      </c>
      <c r="B86" t="s">
        <v>1859</v>
      </c>
      <c r="C86" t="s">
        <v>74</v>
      </c>
      <c r="D86" t="s">
        <v>74</v>
      </c>
      <c r="E86" t="s">
        <v>74</v>
      </c>
      <c r="F86" t="s">
        <v>1860</v>
      </c>
      <c r="G86" t="s">
        <v>74</v>
      </c>
      <c r="H86" t="s">
        <v>74</v>
      </c>
      <c r="I86" t="s">
        <v>1861</v>
      </c>
      <c r="J86" t="s">
        <v>1777</v>
      </c>
      <c r="K86" t="s">
        <v>74</v>
      </c>
      <c r="L86" t="s">
        <v>74</v>
      </c>
      <c r="M86" t="s">
        <v>78</v>
      </c>
      <c r="N86" t="s">
        <v>518</v>
      </c>
      <c r="O86" t="s">
        <v>74</v>
      </c>
      <c r="P86" t="s">
        <v>74</v>
      </c>
      <c r="Q86" t="s">
        <v>74</v>
      </c>
      <c r="R86" t="s">
        <v>74</v>
      </c>
      <c r="S86" t="s">
        <v>74</v>
      </c>
      <c r="T86" t="s">
        <v>74</v>
      </c>
      <c r="U86" t="s">
        <v>1862</v>
      </c>
      <c r="V86" t="s">
        <v>1863</v>
      </c>
      <c r="W86" t="s">
        <v>1864</v>
      </c>
      <c r="X86" t="s">
        <v>1865</v>
      </c>
      <c r="Y86" t="s">
        <v>1866</v>
      </c>
      <c r="Z86" t="s">
        <v>1867</v>
      </c>
      <c r="AA86" t="s">
        <v>74</v>
      </c>
      <c r="AB86" t="s">
        <v>74</v>
      </c>
      <c r="AC86" t="s">
        <v>1868</v>
      </c>
      <c r="AD86" t="s">
        <v>1869</v>
      </c>
      <c r="AE86" t="s">
        <v>1870</v>
      </c>
      <c r="AF86" t="s">
        <v>74</v>
      </c>
      <c r="AG86">
        <v>72</v>
      </c>
      <c r="AH86">
        <v>2</v>
      </c>
      <c r="AI86">
        <v>2</v>
      </c>
      <c r="AJ86">
        <v>0</v>
      </c>
      <c r="AK86">
        <v>5</v>
      </c>
      <c r="AL86" t="s">
        <v>1787</v>
      </c>
      <c r="AM86" t="s">
        <v>1788</v>
      </c>
      <c r="AN86" t="s">
        <v>1789</v>
      </c>
      <c r="AO86" t="s">
        <v>1790</v>
      </c>
      <c r="AP86" t="s">
        <v>1856</v>
      </c>
      <c r="AQ86" t="s">
        <v>74</v>
      </c>
      <c r="AR86" t="s">
        <v>1791</v>
      </c>
      <c r="AS86" t="s">
        <v>1792</v>
      </c>
      <c r="AT86" t="s">
        <v>128</v>
      </c>
      <c r="AU86">
        <v>2017</v>
      </c>
      <c r="AV86">
        <v>83</v>
      </c>
      <c r="AW86">
        <v>2</v>
      </c>
      <c r="AX86" t="s">
        <v>74</v>
      </c>
      <c r="AY86" t="s">
        <v>74</v>
      </c>
      <c r="AZ86" t="s">
        <v>74</v>
      </c>
      <c r="BA86" t="s">
        <v>74</v>
      </c>
      <c r="BB86">
        <v>363</v>
      </c>
      <c r="BC86">
        <v>376</v>
      </c>
      <c r="BD86" t="s">
        <v>74</v>
      </c>
      <c r="BE86" t="s">
        <v>1871</v>
      </c>
      <c r="BF86" t="str">
        <f>HYPERLINK("http://dx.doi.org/10.16943/ptinsa/2017/48960","http://dx.doi.org/10.16943/ptinsa/2017/48960")</f>
        <v>http://dx.doi.org/10.16943/ptinsa/2017/48960</v>
      </c>
      <c r="BG86" t="s">
        <v>74</v>
      </c>
      <c r="BH86" t="s">
        <v>74</v>
      </c>
      <c r="BI86">
        <v>14</v>
      </c>
      <c r="BJ86" t="s">
        <v>1617</v>
      </c>
      <c r="BK86" t="s">
        <v>1794</v>
      </c>
      <c r="BL86" t="s">
        <v>1618</v>
      </c>
      <c r="BM86" t="s">
        <v>1795</v>
      </c>
      <c r="BN86" t="s">
        <v>74</v>
      </c>
      <c r="BO86" t="s">
        <v>412</v>
      </c>
      <c r="BP86" t="s">
        <v>74</v>
      </c>
      <c r="BQ86" t="s">
        <v>74</v>
      </c>
      <c r="BR86" t="s">
        <v>106</v>
      </c>
      <c r="BS86" t="s">
        <v>1872</v>
      </c>
      <c r="BT86" t="str">
        <f>HYPERLINK("https%3A%2F%2Fwww.webofscience.com%2Fwos%2Fwoscc%2Ffull-record%2FWOS:000401547500010","View Full Record in Web of Science")</f>
        <v>View Full Record in Web of Science</v>
      </c>
    </row>
    <row r="87" spans="1:72" x14ac:dyDescent="0.15">
      <c r="A87" t="s">
        <v>72</v>
      </c>
      <c r="B87" t="s">
        <v>1873</v>
      </c>
      <c r="C87" t="s">
        <v>74</v>
      </c>
      <c r="D87" t="s">
        <v>74</v>
      </c>
      <c r="E87" t="s">
        <v>74</v>
      </c>
      <c r="F87" t="s">
        <v>1874</v>
      </c>
      <c r="G87" t="s">
        <v>74</v>
      </c>
      <c r="H87" t="s">
        <v>74</v>
      </c>
      <c r="I87" t="s">
        <v>1875</v>
      </c>
      <c r="J87" t="s">
        <v>1777</v>
      </c>
      <c r="K87" t="s">
        <v>74</v>
      </c>
      <c r="L87" t="s">
        <v>74</v>
      </c>
      <c r="M87" t="s">
        <v>78</v>
      </c>
      <c r="N87" t="s">
        <v>518</v>
      </c>
      <c r="O87" t="s">
        <v>74</v>
      </c>
      <c r="P87" t="s">
        <v>74</v>
      </c>
      <c r="Q87" t="s">
        <v>74</v>
      </c>
      <c r="R87" t="s">
        <v>74</v>
      </c>
      <c r="S87" t="s">
        <v>74</v>
      </c>
      <c r="T87" t="s">
        <v>74</v>
      </c>
      <c r="U87" t="s">
        <v>1876</v>
      </c>
      <c r="V87" t="s">
        <v>1877</v>
      </c>
      <c r="W87" t="s">
        <v>1878</v>
      </c>
      <c r="X87" t="s">
        <v>1865</v>
      </c>
      <c r="Y87" t="s">
        <v>1879</v>
      </c>
      <c r="Z87" t="s">
        <v>1880</v>
      </c>
      <c r="AA87" t="s">
        <v>74</v>
      </c>
      <c r="AB87" t="s">
        <v>74</v>
      </c>
      <c r="AC87" t="s">
        <v>1881</v>
      </c>
      <c r="AD87" t="s">
        <v>1881</v>
      </c>
      <c r="AE87" t="s">
        <v>1882</v>
      </c>
      <c r="AF87" t="s">
        <v>74</v>
      </c>
      <c r="AG87">
        <v>36</v>
      </c>
      <c r="AH87">
        <v>0</v>
      </c>
      <c r="AI87">
        <v>0</v>
      </c>
      <c r="AJ87">
        <v>1</v>
      </c>
      <c r="AK87">
        <v>3</v>
      </c>
      <c r="AL87" t="s">
        <v>1787</v>
      </c>
      <c r="AM87" t="s">
        <v>1788</v>
      </c>
      <c r="AN87" t="s">
        <v>1789</v>
      </c>
      <c r="AO87" t="s">
        <v>1790</v>
      </c>
      <c r="AP87" t="s">
        <v>74</v>
      </c>
      <c r="AQ87" t="s">
        <v>74</v>
      </c>
      <c r="AR87" t="s">
        <v>1791</v>
      </c>
      <c r="AS87" t="s">
        <v>1792</v>
      </c>
      <c r="AT87" t="s">
        <v>128</v>
      </c>
      <c r="AU87">
        <v>2017</v>
      </c>
      <c r="AV87">
        <v>83</v>
      </c>
      <c r="AW87">
        <v>2</v>
      </c>
      <c r="AX87" t="s">
        <v>74</v>
      </c>
      <c r="AY87" t="s">
        <v>74</v>
      </c>
      <c r="AZ87" t="s">
        <v>74</v>
      </c>
      <c r="BA87" t="s">
        <v>74</v>
      </c>
      <c r="BB87">
        <v>377</v>
      </c>
      <c r="BC87">
        <v>384</v>
      </c>
      <c r="BD87" t="s">
        <v>74</v>
      </c>
      <c r="BE87" t="s">
        <v>1883</v>
      </c>
      <c r="BF87" t="str">
        <f>HYPERLINK("http://dx.doi.org/10.16943/ptinsa/2017/48961","http://dx.doi.org/10.16943/ptinsa/2017/48961")</f>
        <v>http://dx.doi.org/10.16943/ptinsa/2017/48961</v>
      </c>
      <c r="BG87" t="s">
        <v>74</v>
      </c>
      <c r="BH87" t="s">
        <v>74</v>
      </c>
      <c r="BI87">
        <v>8</v>
      </c>
      <c r="BJ87" t="s">
        <v>1617</v>
      </c>
      <c r="BK87" t="s">
        <v>1794</v>
      </c>
      <c r="BL87" t="s">
        <v>1618</v>
      </c>
      <c r="BM87" t="s">
        <v>1795</v>
      </c>
      <c r="BN87" t="s">
        <v>74</v>
      </c>
      <c r="BO87" t="s">
        <v>412</v>
      </c>
      <c r="BP87" t="s">
        <v>74</v>
      </c>
      <c r="BQ87" t="s">
        <v>74</v>
      </c>
      <c r="BR87" t="s">
        <v>106</v>
      </c>
      <c r="BS87" t="s">
        <v>1884</v>
      </c>
      <c r="BT87" t="str">
        <f>HYPERLINK("https%3A%2F%2Fwww.webofscience.com%2Fwos%2Fwoscc%2Ffull-record%2FWOS:000401547500011","View Full Record in Web of Science")</f>
        <v>View Full Record in Web of Science</v>
      </c>
    </row>
    <row r="88" spans="1:72" x14ac:dyDescent="0.15">
      <c r="A88" t="s">
        <v>72</v>
      </c>
      <c r="B88" t="s">
        <v>1885</v>
      </c>
      <c r="C88" t="s">
        <v>74</v>
      </c>
      <c r="D88" t="s">
        <v>74</v>
      </c>
      <c r="E88" t="s">
        <v>74</v>
      </c>
      <c r="F88" t="s">
        <v>1886</v>
      </c>
      <c r="G88" t="s">
        <v>74</v>
      </c>
      <c r="H88" t="s">
        <v>74</v>
      </c>
      <c r="I88" t="s">
        <v>1887</v>
      </c>
      <c r="J88" t="s">
        <v>1777</v>
      </c>
      <c r="K88" t="s">
        <v>74</v>
      </c>
      <c r="L88" t="s">
        <v>74</v>
      </c>
      <c r="M88" t="s">
        <v>78</v>
      </c>
      <c r="N88" t="s">
        <v>518</v>
      </c>
      <c r="O88" t="s">
        <v>74</v>
      </c>
      <c r="P88" t="s">
        <v>74</v>
      </c>
      <c r="Q88" t="s">
        <v>74</v>
      </c>
      <c r="R88" t="s">
        <v>74</v>
      </c>
      <c r="S88" t="s">
        <v>74</v>
      </c>
      <c r="T88" t="s">
        <v>74</v>
      </c>
      <c r="U88" t="s">
        <v>1888</v>
      </c>
      <c r="V88" t="s">
        <v>1889</v>
      </c>
      <c r="W88" t="s">
        <v>1890</v>
      </c>
      <c r="X88" t="s">
        <v>1865</v>
      </c>
      <c r="Y88" t="s">
        <v>1891</v>
      </c>
      <c r="Z88" t="s">
        <v>1892</v>
      </c>
      <c r="AA88" t="s">
        <v>1893</v>
      </c>
      <c r="AB88" t="s">
        <v>1894</v>
      </c>
      <c r="AC88" t="s">
        <v>74</v>
      </c>
      <c r="AD88" t="s">
        <v>74</v>
      </c>
      <c r="AE88" t="s">
        <v>74</v>
      </c>
      <c r="AF88" t="s">
        <v>74</v>
      </c>
      <c r="AG88">
        <v>40</v>
      </c>
      <c r="AH88">
        <v>2</v>
      </c>
      <c r="AI88">
        <v>2</v>
      </c>
      <c r="AJ88">
        <v>0</v>
      </c>
      <c r="AK88">
        <v>6</v>
      </c>
      <c r="AL88" t="s">
        <v>1787</v>
      </c>
      <c r="AM88" t="s">
        <v>1788</v>
      </c>
      <c r="AN88" t="s">
        <v>1789</v>
      </c>
      <c r="AO88" t="s">
        <v>1790</v>
      </c>
      <c r="AP88" t="s">
        <v>74</v>
      </c>
      <c r="AQ88" t="s">
        <v>74</v>
      </c>
      <c r="AR88" t="s">
        <v>1791</v>
      </c>
      <c r="AS88" t="s">
        <v>1792</v>
      </c>
      <c r="AT88" t="s">
        <v>128</v>
      </c>
      <c r="AU88">
        <v>2017</v>
      </c>
      <c r="AV88">
        <v>83</v>
      </c>
      <c r="AW88">
        <v>2</v>
      </c>
      <c r="AX88" t="s">
        <v>74</v>
      </c>
      <c r="AY88" t="s">
        <v>74</v>
      </c>
      <c r="AZ88" t="s">
        <v>74</v>
      </c>
      <c r="BA88" t="s">
        <v>74</v>
      </c>
      <c r="BB88">
        <v>385</v>
      </c>
      <c r="BC88">
        <v>398</v>
      </c>
      <c r="BD88" t="s">
        <v>74</v>
      </c>
      <c r="BE88" t="s">
        <v>1895</v>
      </c>
      <c r="BF88" t="str">
        <f>HYPERLINK("http://dx.doi.org/10.16943/ptinsa/2017/48962","http://dx.doi.org/10.16943/ptinsa/2017/48962")</f>
        <v>http://dx.doi.org/10.16943/ptinsa/2017/48962</v>
      </c>
      <c r="BG88" t="s">
        <v>74</v>
      </c>
      <c r="BH88" t="s">
        <v>74</v>
      </c>
      <c r="BI88">
        <v>14</v>
      </c>
      <c r="BJ88" t="s">
        <v>1617</v>
      </c>
      <c r="BK88" t="s">
        <v>1794</v>
      </c>
      <c r="BL88" t="s">
        <v>1618</v>
      </c>
      <c r="BM88" t="s">
        <v>1795</v>
      </c>
      <c r="BN88" t="s">
        <v>74</v>
      </c>
      <c r="BO88" t="s">
        <v>412</v>
      </c>
      <c r="BP88" t="s">
        <v>74</v>
      </c>
      <c r="BQ88" t="s">
        <v>74</v>
      </c>
      <c r="BR88" t="s">
        <v>106</v>
      </c>
      <c r="BS88" t="s">
        <v>1896</v>
      </c>
      <c r="BT88" t="str">
        <f>HYPERLINK("https%3A%2F%2Fwww.webofscience.com%2Fwos%2Fwoscc%2Ffull-record%2FWOS:000401547500012","View Full Record in Web of Science")</f>
        <v>View Full Record in Web of Science</v>
      </c>
    </row>
    <row r="89" spans="1:72" x14ac:dyDescent="0.15">
      <c r="A89" t="s">
        <v>72</v>
      </c>
      <c r="B89" t="s">
        <v>1897</v>
      </c>
      <c r="C89" t="s">
        <v>74</v>
      </c>
      <c r="D89" t="s">
        <v>74</v>
      </c>
      <c r="E89" t="s">
        <v>74</v>
      </c>
      <c r="F89" t="s">
        <v>1898</v>
      </c>
      <c r="G89" t="s">
        <v>74</v>
      </c>
      <c r="H89" t="s">
        <v>74</v>
      </c>
      <c r="I89" t="s">
        <v>1899</v>
      </c>
      <c r="J89" t="s">
        <v>1777</v>
      </c>
      <c r="K89" t="s">
        <v>74</v>
      </c>
      <c r="L89" t="s">
        <v>74</v>
      </c>
      <c r="M89" t="s">
        <v>78</v>
      </c>
      <c r="N89" t="s">
        <v>518</v>
      </c>
      <c r="O89" t="s">
        <v>74</v>
      </c>
      <c r="P89" t="s">
        <v>74</v>
      </c>
      <c r="Q89" t="s">
        <v>74</v>
      </c>
      <c r="R89" t="s">
        <v>74</v>
      </c>
      <c r="S89" t="s">
        <v>74</v>
      </c>
      <c r="T89" t="s">
        <v>74</v>
      </c>
      <c r="U89" t="s">
        <v>1900</v>
      </c>
      <c r="V89" t="s">
        <v>1901</v>
      </c>
      <c r="W89" t="s">
        <v>1902</v>
      </c>
      <c r="X89" t="s">
        <v>1781</v>
      </c>
      <c r="Y89" t="s">
        <v>1903</v>
      </c>
      <c r="Z89" t="s">
        <v>1904</v>
      </c>
      <c r="AA89" t="s">
        <v>1905</v>
      </c>
      <c r="AB89" t="s">
        <v>74</v>
      </c>
      <c r="AC89" t="s">
        <v>74</v>
      </c>
      <c r="AD89" t="s">
        <v>74</v>
      </c>
      <c r="AE89" t="s">
        <v>74</v>
      </c>
      <c r="AF89" t="s">
        <v>74</v>
      </c>
      <c r="AG89">
        <v>76</v>
      </c>
      <c r="AH89">
        <v>4</v>
      </c>
      <c r="AI89">
        <v>6</v>
      </c>
      <c r="AJ89">
        <v>0</v>
      </c>
      <c r="AK89">
        <v>4</v>
      </c>
      <c r="AL89" t="s">
        <v>1787</v>
      </c>
      <c r="AM89" t="s">
        <v>1788</v>
      </c>
      <c r="AN89" t="s">
        <v>1789</v>
      </c>
      <c r="AO89" t="s">
        <v>1790</v>
      </c>
      <c r="AP89" t="s">
        <v>74</v>
      </c>
      <c r="AQ89" t="s">
        <v>74</v>
      </c>
      <c r="AR89" t="s">
        <v>1791</v>
      </c>
      <c r="AS89" t="s">
        <v>1792</v>
      </c>
      <c r="AT89" t="s">
        <v>128</v>
      </c>
      <c r="AU89">
        <v>2017</v>
      </c>
      <c r="AV89">
        <v>83</v>
      </c>
      <c r="AW89">
        <v>2</v>
      </c>
      <c r="AX89" t="s">
        <v>74</v>
      </c>
      <c r="AY89" t="s">
        <v>74</v>
      </c>
      <c r="AZ89" t="s">
        <v>74</v>
      </c>
      <c r="BA89" t="s">
        <v>74</v>
      </c>
      <c r="BB89">
        <v>399</v>
      </c>
      <c r="BC89">
        <v>413</v>
      </c>
      <c r="BD89" t="s">
        <v>74</v>
      </c>
      <c r="BE89" t="s">
        <v>1906</v>
      </c>
      <c r="BF89" t="str">
        <f>HYPERLINK("http://dx.doi.org/10.16943/ptinsa/2017/48964","http://dx.doi.org/10.16943/ptinsa/2017/48964")</f>
        <v>http://dx.doi.org/10.16943/ptinsa/2017/48964</v>
      </c>
      <c r="BG89" t="s">
        <v>74</v>
      </c>
      <c r="BH89" t="s">
        <v>74</v>
      </c>
      <c r="BI89">
        <v>15</v>
      </c>
      <c r="BJ89" t="s">
        <v>1617</v>
      </c>
      <c r="BK89" t="s">
        <v>1794</v>
      </c>
      <c r="BL89" t="s">
        <v>1618</v>
      </c>
      <c r="BM89" t="s">
        <v>1795</v>
      </c>
      <c r="BN89" t="s">
        <v>74</v>
      </c>
      <c r="BO89" t="s">
        <v>412</v>
      </c>
      <c r="BP89" t="s">
        <v>74</v>
      </c>
      <c r="BQ89" t="s">
        <v>74</v>
      </c>
      <c r="BR89" t="s">
        <v>106</v>
      </c>
      <c r="BS89" t="s">
        <v>1907</v>
      </c>
      <c r="BT89" t="str">
        <f>HYPERLINK("https%3A%2F%2Fwww.webofscience.com%2Fwos%2Fwoscc%2Ffull-record%2FWOS:000401547500013","View Full Record in Web of Science")</f>
        <v>View Full Record in Web of Science</v>
      </c>
    </row>
    <row r="90" spans="1:72" x14ac:dyDescent="0.15">
      <c r="A90" t="s">
        <v>72</v>
      </c>
      <c r="B90" t="s">
        <v>1908</v>
      </c>
      <c r="C90" t="s">
        <v>74</v>
      </c>
      <c r="D90" t="s">
        <v>74</v>
      </c>
      <c r="E90" t="s">
        <v>74</v>
      </c>
      <c r="F90" t="s">
        <v>1909</v>
      </c>
      <c r="G90" t="s">
        <v>74</v>
      </c>
      <c r="H90" t="s">
        <v>74</v>
      </c>
      <c r="I90" t="s">
        <v>1910</v>
      </c>
      <c r="J90" t="s">
        <v>1777</v>
      </c>
      <c r="K90" t="s">
        <v>74</v>
      </c>
      <c r="L90" t="s">
        <v>74</v>
      </c>
      <c r="M90" t="s">
        <v>78</v>
      </c>
      <c r="N90" t="s">
        <v>79</v>
      </c>
      <c r="O90" t="s">
        <v>74</v>
      </c>
      <c r="P90" t="s">
        <v>74</v>
      </c>
      <c r="Q90" t="s">
        <v>74</v>
      </c>
      <c r="R90" t="s">
        <v>74</v>
      </c>
      <c r="S90" t="s">
        <v>74</v>
      </c>
      <c r="T90" t="s">
        <v>74</v>
      </c>
      <c r="U90" t="s">
        <v>1911</v>
      </c>
      <c r="V90" t="s">
        <v>1912</v>
      </c>
      <c r="W90" t="s">
        <v>1913</v>
      </c>
      <c r="X90" t="s">
        <v>1914</v>
      </c>
      <c r="Y90" t="s">
        <v>1915</v>
      </c>
      <c r="Z90" t="s">
        <v>1916</v>
      </c>
      <c r="AA90" t="s">
        <v>1917</v>
      </c>
      <c r="AB90" t="s">
        <v>74</v>
      </c>
      <c r="AC90" t="s">
        <v>74</v>
      </c>
      <c r="AD90" t="s">
        <v>74</v>
      </c>
      <c r="AE90" t="s">
        <v>74</v>
      </c>
      <c r="AF90" t="s">
        <v>74</v>
      </c>
      <c r="AG90">
        <v>42</v>
      </c>
      <c r="AH90">
        <v>3</v>
      </c>
      <c r="AI90">
        <v>3</v>
      </c>
      <c r="AJ90">
        <v>0</v>
      </c>
      <c r="AK90">
        <v>2</v>
      </c>
      <c r="AL90" t="s">
        <v>1787</v>
      </c>
      <c r="AM90" t="s">
        <v>1788</v>
      </c>
      <c r="AN90" t="s">
        <v>1789</v>
      </c>
      <c r="AO90" t="s">
        <v>1790</v>
      </c>
      <c r="AP90" t="s">
        <v>74</v>
      </c>
      <c r="AQ90" t="s">
        <v>74</v>
      </c>
      <c r="AR90" t="s">
        <v>1791</v>
      </c>
      <c r="AS90" t="s">
        <v>1792</v>
      </c>
      <c r="AT90" t="s">
        <v>128</v>
      </c>
      <c r="AU90">
        <v>2017</v>
      </c>
      <c r="AV90">
        <v>83</v>
      </c>
      <c r="AW90">
        <v>2</v>
      </c>
      <c r="AX90" t="s">
        <v>74</v>
      </c>
      <c r="AY90" t="s">
        <v>74</v>
      </c>
      <c r="AZ90" t="s">
        <v>74</v>
      </c>
      <c r="BA90" t="s">
        <v>74</v>
      </c>
      <c r="BB90">
        <v>427</v>
      </c>
      <c r="BC90">
        <v>435</v>
      </c>
      <c r="BD90" t="s">
        <v>74</v>
      </c>
      <c r="BE90" t="s">
        <v>1918</v>
      </c>
      <c r="BF90" t="str">
        <f>HYPERLINK("http://dx.doi.org/10.16943/ptinsa/2017/48947","http://dx.doi.org/10.16943/ptinsa/2017/48947")</f>
        <v>http://dx.doi.org/10.16943/ptinsa/2017/48947</v>
      </c>
      <c r="BG90" t="s">
        <v>74</v>
      </c>
      <c r="BH90" t="s">
        <v>74</v>
      </c>
      <c r="BI90">
        <v>9</v>
      </c>
      <c r="BJ90" t="s">
        <v>1617</v>
      </c>
      <c r="BK90" t="s">
        <v>1794</v>
      </c>
      <c r="BL90" t="s">
        <v>1618</v>
      </c>
      <c r="BM90" t="s">
        <v>1795</v>
      </c>
      <c r="BN90" t="s">
        <v>74</v>
      </c>
      <c r="BO90" t="s">
        <v>412</v>
      </c>
      <c r="BP90" t="s">
        <v>74</v>
      </c>
      <c r="BQ90" t="s">
        <v>74</v>
      </c>
      <c r="BR90" t="s">
        <v>106</v>
      </c>
      <c r="BS90" t="s">
        <v>1919</v>
      </c>
      <c r="BT90" t="str">
        <f>HYPERLINK("https%3A%2F%2Fwww.webofscience.com%2Fwos%2Fwoscc%2Ffull-record%2FWOS:000401547500015","View Full Record in Web of Science")</f>
        <v>View Full Record in Web of Science</v>
      </c>
    </row>
    <row r="91" spans="1:72" x14ac:dyDescent="0.15">
      <c r="A91" t="s">
        <v>72</v>
      </c>
      <c r="B91" t="s">
        <v>1920</v>
      </c>
      <c r="C91" t="s">
        <v>74</v>
      </c>
      <c r="D91" t="s">
        <v>74</v>
      </c>
      <c r="E91" t="s">
        <v>74</v>
      </c>
      <c r="F91" t="s">
        <v>1921</v>
      </c>
      <c r="G91" t="s">
        <v>74</v>
      </c>
      <c r="H91" t="s">
        <v>74</v>
      </c>
      <c r="I91" t="s">
        <v>1922</v>
      </c>
      <c r="J91" t="s">
        <v>1777</v>
      </c>
      <c r="K91" t="s">
        <v>74</v>
      </c>
      <c r="L91" t="s">
        <v>74</v>
      </c>
      <c r="M91" t="s">
        <v>78</v>
      </c>
      <c r="N91" t="s">
        <v>79</v>
      </c>
      <c r="O91" t="s">
        <v>74</v>
      </c>
      <c r="P91" t="s">
        <v>74</v>
      </c>
      <c r="Q91" t="s">
        <v>74</v>
      </c>
      <c r="R91" t="s">
        <v>74</v>
      </c>
      <c r="S91" t="s">
        <v>74</v>
      </c>
      <c r="T91" t="s">
        <v>74</v>
      </c>
      <c r="U91" t="s">
        <v>1923</v>
      </c>
      <c r="V91" t="s">
        <v>1924</v>
      </c>
      <c r="W91" t="s">
        <v>1925</v>
      </c>
      <c r="X91" t="s">
        <v>1926</v>
      </c>
      <c r="Y91" t="s">
        <v>1927</v>
      </c>
      <c r="Z91" t="s">
        <v>1928</v>
      </c>
      <c r="AA91" t="s">
        <v>74</v>
      </c>
      <c r="AB91" t="s">
        <v>74</v>
      </c>
      <c r="AC91" t="s">
        <v>74</v>
      </c>
      <c r="AD91" t="s">
        <v>74</v>
      </c>
      <c r="AE91" t="s">
        <v>74</v>
      </c>
      <c r="AF91" t="s">
        <v>74</v>
      </c>
      <c r="AG91">
        <v>45</v>
      </c>
      <c r="AH91">
        <v>4</v>
      </c>
      <c r="AI91">
        <v>4</v>
      </c>
      <c r="AJ91">
        <v>0</v>
      </c>
      <c r="AK91">
        <v>6</v>
      </c>
      <c r="AL91" t="s">
        <v>1787</v>
      </c>
      <c r="AM91" t="s">
        <v>1788</v>
      </c>
      <c r="AN91" t="s">
        <v>1789</v>
      </c>
      <c r="AO91" t="s">
        <v>1790</v>
      </c>
      <c r="AP91" t="s">
        <v>74</v>
      </c>
      <c r="AQ91" t="s">
        <v>74</v>
      </c>
      <c r="AR91" t="s">
        <v>1791</v>
      </c>
      <c r="AS91" t="s">
        <v>1792</v>
      </c>
      <c r="AT91" t="s">
        <v>128</v>
      </c>
      <c r="AU91">
        <v>2017</v>
      </c>
      <c r="AV91">
        <v>83</v>
      </c>
      <c r="AW91">
        <v>2</v>
      </c>
      <c r="AX91" t="s">
        <v>74</v>
      </c>
      <c r="AY91" t="s">
        <v>74</v>
      </c>
      <c r="AZ91" t="s">
        <v>74</v>
      </c>
      <c r="BA91" t="s">
        <v>74</v>
      </c>
      <c r="BB91">
        <v>441</v>
      </c>
      <c r="BC91">
        <v>447</v>
      </c>
      <c r="BD91" t="s">
        <v>74</v>
      </c>
      <c r="BE91" t="s">
        <v>1929</v>
      </c>
      <c r="BF91" t="str">
        <f>HYPERLINK("http://dx.doi.org/10.16943/ptinsa/2017/48952","http://dx.doi.org/10.16943/ptinsa/2017/48952")</f>
        <v>http://dx.doi.org/10.16943/ptinsa/2017/48952</v>
      </c>
      <c r="BG91" t="s">
        <v>74</v>
      </c>
      <c r="BH91" t="s">
        <v>74</v>
      </c>
      <c r="BI91">
        <v>7</v>
      </c>
      <c r="BJ91" t="s">
        <v>1617</v>
      </c>
      <c r="BK91" t="s">
        <v>1794</v>
      </c>
      <c r="BL91" t="s">
        <v>1618</v>
      </c>
      <c r="BM91" t="s">
        <v>1795</v>
      </c>
      <c r="BN91" t="s">
        <v>74</v>
      </c>
      <c r="BO91" t="s">
        <v>412</v>
      </c>
      <c r="BP91" t="s">
        <v>74</v>
      </c>
      <c r="BQ91" t="s">
        <v>74</v>
      </c>
      <c r="BR91" t="s">
        <v>106</v>
      </c>
      <c r="BS91" t="s">
        <v>1930</v>
      </c>
      <c r="BT91" t="str">
        <f>HYPERLINK("https%3A%2F%2Fwww.webofscience.com%2Fwos%2Fwoscc%2Ffull-record%2FWOS:000401547500017","View Full Record in Web of Science")</f>
        <v>View Full Record in Web of Science</v>
      </c>
    </row>
    <row r="92" spans="1:72" x14ac:dyDescent="0.15">
      <c r="A92" t="s">
        <v>72</v>
      </c>
      <c r="B92" t="s">
        <v>1931</v>
      </c>
      <c r="C92" t="s">
        <v>74</v>
      </c>
      <c r="D92" t="s">
        <v>74</v>
      </c>
      <c r="E92" t="s">
        <v>74</v>
      </c>
      <c r="F92" t="s">
        <v>1932</v>
      </c>
      <c r="G92" t="s">
        <v>74</v>
      </c>
      <c r="H92" t="s">
        <v>74</v>
      </c>
      <c r="I92" t="s">
        <v>1933</v>
      </c>
      <c r="J92" t="s">
        <v>1777</v>
      </c>
      <c r="K92" t="s">
        <v>74</v>
      </c>
      <c r="L92" t="s">
        <v>74</v>
      </c>
      <c r="M92" t="s">
        <v>78</v>
      </c>
      <c r="N92" t="s">
        <v>79</v>
      </c>
      <c r="O92" t="s">
        <v>74</v>
      </c>
      <c r="P92" t="s">
        <v>74</v>
      </c>
      <c r="Q92" t="s">
        <v>74</v>
      </c>
      <c r="R92" t="s">
        <v>74</v>
      </c>
      <c r="S92" t="s">
        <v>74</v>
      </c>
      <c r="T92" t="s">
        <v>74</v>
      </c>
      <c r="U92" t="s">
        <v>1934</v>
      </c>
      <c r="V92" t="s">
        <v>1935</v>
      </c>
      <c r="W92" t="s">
        <v>1936</v>
      </c>
      <c r="X92" t="s">
        <v>1937</v>
      </c>
      <c r="Y92" t="s">
        <v>1938</v>
      </c>
      <c r="Z92" t="s">
        <v>1939</v>
      </c>
      <c r="AA92" t="s">
        <v>1940</v>
      </c>
      <c r="AB92" t="s">
        <v>1941</v>
      </c>
      <c r="AC92" t="s">
        <v>74</v>
      </c>
      <c r="AD92" t="s">
        <v>74</v>
      </c>
      <c r="AE92" t="s">
        <v>74</v>
      </c>
      <c r="AF92" t="s">
        <v>74</v>
      </c>
      <c r="AG92">
        <v>48</v>
      </c>
      <c r="AH92">
        <v>6</v>
      </c>
      <c r="AI92">
        <v>6</v>
      </c>
      <c r="AJ92">
        <v>0</v>
      </c>
      <c r="AK92">
        <v>7</v>
      </c>
      <c r="AL92" t="s">
        <v>1787</v>
      </c>
      <c r="AM92" t="s">
        <v>1788</v>
      </c>
      <c r="AN92" t="s">
        <v>1789</v>
      </c>
      <c r="AO92" t="s">
        <v>1790</v>
      </c>
      <c r="AP92" t="s">
        <v>74</v>
      </c>
      <c r="AQ92" t="s">
        <v>74</v>
      </c>
      <c r="AR92" t="s">
        <v>1791</v>
      </c>
      <c r="AS92" t="s">
        <v>1792</v>
      </c>
      <c r="AT92" t="s">
        <v>128</v>
      </c>
      <c r="AU92">
        <v>2017</v>
      </c>
      <c r="AV92">
        <v>83</v>
      </c>
      <c r="AW92">
        <v>2</v>
      </c>
      <c r="AX92" t="s">
        <v>74</v>
      </c>
      <c r="AY92" t="s">
        <v>74</v>
      </c>
      <c r="AZ92" t="s">
        <v>74</v>
      </c>
      <c r="BA92" t="s">
        <v>74</v>
      </c>
      <c r="BB92">
        <v>469</v>
      </c>
      <c r="BC92">
        <v>481</v>
      </c>
      <c r="BD92" t="s">
        <v>74</v>
      </c>
      <c r="BE92" t="s">
        <v>1942</v>
      </c>
      <c r="BF92" t="str">
        <f>HYPERLINK("http://dx.doi.org/10.16943/ptinsa/2017/48957","http://dx.doi.org/10.16943/ptinsa/2017/48957")</f>
        <v>http://dx.doi.org/10.16943/ptinsa/2017/48957</v>
      </c>
      <c r="BG92" t="s">
        <v>74</v>
      </c>
      <c r="BH92" t="s">
        <v>74</v>
      </c>
      <c r="BI92">
        <v>13</v>
      </c>
      <c r="BJ92" t="s">
        <v>1617</v>
      </c>
      <c r="BK92" t="s">
        <v>1794</v>
      </c>
      <c r="BL92" t="s">
        <v>1618</v>
      </c>
      <c r="BM92" t="s">
        <v>1795</v>
      </c>
      <c r="BN92" t="s">
        <v>74</v>
      </c>
      <c r="BO92" t="s">
        <v>412</v>
      </c>
      <c r="BP92" t="s">
        <v>74</v>
      </c>
      <c r="BQ92" t="s">
        <v>74</v>
      </c>
      <c r="BR92" t="s">
        <v>106</v>
      </c>
      <c r="BS92" t="s">
        <v>1943</v>
      </c>
      <c r="BT92" t="str">
        <f>HYPERLINK("https%3A%2F%2Fwww.webofscience.com%2Fwos%2Fwoscc%2Ffull-record%2FWOS:000401547500020","View Full Record in Web of Science")</f>
        <v>View Full Record in Web of Science</v>
      </c>
    </row>
    <row r="93" spans="1:72" x14ac:dyDescent="0.15">
      <c r="A93" t="s">
        <v>72</v>
      </c>
      <c r="B93" t="s">
        <v>1944</v>
      </c>
      <c r="C93" t="s">
        <v>74</v>
      </c>
      <c r="D93" t="s">
        <v>74</v>
      </c>
      <c r="E93" t="s">
        <v>74</v>
      </c>
      <c r="F93" t="s">
        <v>1945</v>
      </c>
      <c r="G93" t="s">
        <v>74</v>
      </c>
      <c r="H93" t="s">
        <v>74</v>
      </c>
      <c r="I93" t="s">
        <v>1946</v>
      </c>
      <c r="J93" t="s">
        <v>1777</v>
      </c>
      <c r="K93" t="s">
        <v>74</v>
      </c>
      <c r="L93" t="s">
        <v>74</v>
      </c>
      <c r="M93" t="s">
        <v>78</v>
      </c>
      <c r="N93" t="s">
        <v>79</v>
      </c>
      <c r="O93" t="s">
        <v>74</v>
      </c>
      <c r="P93" t="s">
        <v>74</v>
      </c>
      <c r="Q93" t="s">
        <v>74</v>
      </c>
      <c r="R93" t="s">
        <v>74</v>
      </c>
      <c r="S93" t="s">
        <v>74</v>
      </c>
      <c r="T93" t="s">
        <v>74</v>
      </c>
      <c r="U93" t="s">
        <v>1947</v>
      </c>
      <c r="V93" t="s">
        <v>1948</v>
      </c>
      <c r="W93" t="s">
        <v>1949</v>
      </c>
      <c r="X93" t="s">
        <v>1865</v>
      </c>
      <c r="Y93" t="s">
        <v>1950</v>
      </c>
      <c r="Z93" t="s">
        <v>1951</v>
      </c>
      <c r="AA93" t="s">
        <v>74</v>
      </c>
      <c r="AB93" t="s">
        <v>74</v>
      </c>
      <c r="AC93" t="s">
        <v>1952</v>
      </c>
      <c r="AD93" t="s">
        <v>1953</v>
      </c>
      <c r="AE93" t="s">
        <v>1954</v>
      </c>
      <c r="AF93" t="s">
        <v>74</v>
      </c>
      <c r="AG93">
        <v>37</v>
      </c>
      <c r="AH93">
        <v>0</v>
      </c>
      <c r="AI93">
        <v>0</v>
      </c>
      <c r="AJ93">
        <v>0</v>
      </c>
      <c r="AK93">
        <v>0</v>
      </c>
      <c r="AL93" t="s">
        <v>1787</v>
      </c>
      <c r="AM93" t="s">
        <v>1788</v>
      </c>
      <c r="AN93" t="s">
        <v>1789</v>
      </c>
      <c r="AO93" t="s">
        <v>1790</v>
      </c>
      <c r="AP93" t="s">
        <v>74</v>
      </c>
      <c r="AQ93" t="s">
        <v>74</v>
      </c>
      <c r="AR93" t="s">
        <v>1791</v>
      </c>
      <c r="AS93" t="s">
        <v>1792</v>
      </c>
      <c r="AT93" t="s">
        <v>128</v>
      </c>
      <c r="AU93">
        <v>2017</v>
      </c>
      <c r="AV93">
        <v>83</v>
      </c>
      <c r="AW93">
        <v>2</v>
      </c>
      <c r="AX93" t="s">
        <v>74</v>
      </c>
      <c r="AY93" t="s">
        <v>74</v>
      </c>
      <c r="AZ93" t="s">
        <v>74</v>
      </c>
      <c r="BA93" t="s">
        <v>74</v>
      </c>
      <c r="BB93">
        <v>497</v>
      </c>
      <c r="BC93">
        <v>503</v>
      </c>
      <c r="BD93" t="s">
        <v>74</v>
      </c>
      <c r="BE93" t="s">
        <v>1955</v>
      </c>
      <c r="BF93" t="str">
        <f>HYPERLINK("http://dx.doi.org/10.16943/ptinsa/2017/48963","http://dx.doi.org/10.16943/ptinsa/2017/48963")</f>
        <v>http://dx.doi.org/10.16943/ptinsa/2017/48963</v>
      </c>
      <c r="BG93" t="s">
        <v>74</v>
      </c>
      <c r="BH93" t="s">
        <v>74</v>
      </c>
      <c r="BI93">
        <v>7</v>
      </c>
      <c r="BJ93" t="s">
        <v>1617</v>
      </c>
      <c r="BK93" t="s">
        <v>1794</v>
      </c>
      <c r="BL93" t="s">
        <v>1618</v>
      </c>
      <c r="BM93" t="s">
        <v>1795</v>
      </c>
      <c r="BN93" t="s">
        <v>74</v>
      </c>
      <c r="BO93" t="s">
        <v>412</v>
      </c>
      <c r="BP93" t="s">
        <v>74</v>
      </c>
      <c r="BQ93" t="s">
        <v>74</v>
      </c>
      <c r="BR93" t="s">
        <v>106</v>
      </c>
      <c r="BS93" t="s">
        <v>1956</v>
      </c>
      <c r="BT93" t="str">
        <f>HYPERLINK("https%3A%2F%2Fwww.webofscience.com%2Fwos%2Fwoscc%2Ffull-record%2FWOS:000401547500022","View Full Record in Web of Science")</f>
        <v>View Full Record in Web of Science</v>
      </c>
    </row>
    <row r="94" spans="1:72" x14ac:dyDescent="0.15">
      <c r="A94" t="s">
        <v>72</v>
      </c>
      <c r="B94" t="s">
        <v>1957</v>
      </c>
      <c r="C94" t="s">
        <v>74</v>
      </c>
      <c r="D94" t="s">
        <v>74</v>
      </c>
      <c r="E94" t="s">
        <v>74</v>
      </c>
      <c r="F94" t="s">
        <v>1958</v>
      </c>
      <c r="G94" t="s">
        <v>74</v>
      </c>
      <c r="H94" t="s">
        <v>74</v>
      </c>
      <c r="I94" t="s">
        <v>1959</v>
      </c>
      <c r="J94" t="s">
        <v>1777</v>
      </c>
      <c r="K94" t="s">
        <v>74</v>
      </c>
      <c r="L94" t="s">
        <v>74</v>
      </c>
      <c r="M94" t="s">
        <v>78</v>
      </c>
      <c r="N94" t="s">
        <v>79</v>
      </c>
      <c r="O94" t="s">
        <v>74</v>
      </c>
      <c r="P94" t="s">
        <v>74</v>
      </c>
      <c r="Q94" t="s">
        <v>74</v>
      </c>
      <c r="R94" t="s">
        <v>74</v>
      </c>
      <c r="S94" t="s">
        <v>74</v>
      </c>
      <c r="T94" t="s">
        <v>74</v>
      </c>
      <c r="U94" t="s">
        <v>74</v>
      </c>
      <c r="V94" t="s">
        <v>1960</v>
      </c>
      <c r="W94" t="s">
        <v>1961</v>
      </c>
      <c r="X94" t="s">
        <v>1962</v>
      </c>
      <c r="Y94" t="s">
        <v>1963</v>
      </c>
      <c r="Z94" t="s">
        <v>1964</v>
      </c>
      <c r="AA94" t="s">
        <v>74</v>
      </c>
      <c r="AB94" t="s">
        <v>74</v>
      </c>
      <c r="AC94" t="s">
        <v>74</v>
      </c>
      <c r="AD94" t="s">
        <v>74</v>
      </c>
      <c r="AE94" t="s">
        <v>74</v>
      </c>
      <c r="AF94" t="s">
        <v>74</v>
      </c>
      <c r="AG94">
        <v>23</v>
      </c>
      <c r="AH94">
        <v>0</v>
      </c>
      <c r="AI94">
        <v>0</v>
      </c>
      <c r="AJ94">
        <v>0</v>
      </c>
      <c r="AK94">
        <v>1</v>
      </c>
      <c r="AL94" t="s">
        <v>1787</v>
      </c>
      <c r="AM94" t="s">
        <v>1788</v>
      </c>
      <c r="AN94" t="s">
        <v>1789</v>
      </c>
      <c r="AO94" t="s">
        <v>1790</v>
      </c>
      <c r="AP94" t="s">
        <v>74</v>
      </c>
      <c r="AQ94" t="s">
        <v>74</v>
      </c>
      <c r="AR94" t="s">
        <v>1791</v>
      </c>
      <c r="AS94" t="s">
        <v>1792</v>
      </c>
      <c r="AT94" t="s">
        <v>128</v>
      </c>
      <c r="AU94">
        <v>2017</v>
      </c>
      <c r="AV94">
        <v>83</v>
      </c>
      <c r="AW94">
        <v>2</v>
      </c>
      <c r="AX94" t="s">
        <v>74</v>
      </c>
      <c r="AY94" t="s">
        <v>74</v>
      </c>
      <c r="AZ94" t="s">
        <v>74</v>
      </c>
      <c r="BA94" t="s">
        <v>74</v>
      </c>
      <c r="BB94">
        <v>505</v>
      </c>
      <c r="BC94">
        <v>512</v>
      </c>
      <c r="BD94" t="s">
        <v>74</v>
      </c>
      <c r="BE94" t="s">
        <v>1965</v>
      </c>
      <c r="BF94" t="str">
        <f>HYPERLINK("http://dx.doi.org/10.16943/ptinsa/2017/48965","http://dx.doi.org/10.16943/ptinsa/2017/48965")</f>
        <v>http://dx.doi.org/10.16943/ptinsa/2017/48965</v>
      </c>
      <c r="BG94" t="s">
        <v>74</v>
      </c>
      <c r="BH94" t="s">
        <v>74</v>
      </c>
      <c r="BI94">
        <v>8</v>
      </c>
      <c r="BJ94" t="s">
        <v>1617</v>
      </c>
      <c r="BK94" t="s">
        <v>1794</v>
      </c>
      <c r="BL94" t="s">
        <v>1618</v>
      </c>
      <c r="BM94" t="s">
        <v>1795</v>
      </c>
      <c r="BN94" t="s">
        <v>74</v>
      </c>
      <c r="BO94" t="s">
        <v>412</v>
      </c>
      <c r="BP94" t="s">
        <v>74</v>
      </c>
      <c r="BQ94" t="s">
        <v>74</v>
      </c>
      <c r="BR94" t="s">
        <v>106</v>
      </c>
      <c r="BS94" t="s">
        <v>1966</v>
      </c>
      <c r="BT94" t="str">
        <f>HYPERLINK("https%3A%2F%2Fwww.webofscience.com%2Fwos%2Fwoscc%2Ffull-record%2FWOS:000401547500023","View Full Record in Web of Science")</f>
        <v>View Full Record in Web of Science</v>
      </c>
    </row>
    <row r="95" spans="1:72" x14ac:dyDescent="0.15">
      <c r="A95" t="s">
        <v>72</v>
      </c>
      <c r="B95" t="s">
        <v>1967</v>
      </c>
      <c r="C95" t="s">
        <v>74</v>
      </c>
      <c r="D95" t="s">
        <v>74</v>
      </c>
      <c r="E95" t="s">
        <v>74</v>
      </c>
      <c r="F95" t="s">
        <v>1968</v>
      </c>
      <c r="G95" t="s">
        <v>74</v>
      </c>
      <c r="H95" t="s">
        <v>1969</v>
      </c>
      <c r="I95" t="s">
        <v>1970</v>
      </c>
      <c r="J95" t="s">
        <v>1971</v>
      </c>
      <c r="K95" t="s">
        <v>74</v>
      </c>
      <c r="L95" t="s">
        <v>74</v>
      </c>
      <c r="M95" t="s">
        <v>78</v>
      </c>
      <c r="N95" t="s">
        <v>79</v>
      </c>
      <c r="O95" t="s">
        <v>74</v>
      </c>
      <c r="P95" t="s">
        <v>74</v>
      </c>
      <c r="Q95" t="s">
        <v>74</v>
      </c>
      <c r="R95" t="s">
        <v>74</v>
      </c>
      <c r="S95" t="s">
        <v>74</v>
      </c>
      <c r="T95" t="s">
        <v>1972</v>
      </c>
      <c r="U95" t="s">
        <v>1973</v>
      </c>
      <c r="V95" t="s">
        <v>1974</v>
      </c>
      <c r="W95" t="s">
        <v>1975</v>
      </c>
      <c r="X95" t="s">
        <v>1976</v>
      </c>
      <c r="Y95" t="s">
        <v>1977</v>
      </c>
      <c r="Z95" t="s">
        <v>1978</v>
      </c>
      <c r="AA95" t="s">
        <v>1979</v>
      </c>
      <c r="AB95" t="s">
        <v>1980</v>
      </c>
      <c r="AC95" t="s">
        <v>1981</v>
      </c>
      <c r="AD95" t="s">
        <v>1982</v>
      </c>
      <c r="AE95" t="s">
        <v>1983</v>
      </c>
      <c r="AF95" t="s">
        <v>74</v>
      </c>
      <c r="AG95">
        <v>46</v>
      </c>
      <c r="AH95">
        <v>33</v>
      </c>
      <c r="AI95">
        <v>37</v>
      </c>
      <c r="AJ95">
        <v>1</v>
      </c>
      <c r="AK95">
        <v>23</v>
      </c>
      <c r="AL95" t="s">
        <v>803</v>
      </c>
      <c r="AM95" t="s">
        <v>1984</v>
      </c>
      <c r="AN95" t="s">
        <v>1985</v>
      </c>
      <c r="AO95" t="s">
        <v>1986</v>
      </c>
      <c r="AP95" t="s">
        <v>1987</v>
      </c>
      <c r="AQ95" t="s">
        <v>74</v>
      </c>
      <c r="AR95" t="s">
        <v>1988</v>
      </c>
      <c r="AS95" t="s">
        <v>1989</v>
      </c>
      <c r="AT95" t="s">
        <v>128</v>
      </c>
      <c r="AU95">
        <v>2017</v>
      </c>
      <c r="AV95">
        <v>63</v>
      </c>
      <c r="AW95">
        <v>239</v>
      </c>
      <c r="AX95" t="s">
        <v>74</v>
      </c>
      <c r="AY95" t="s">
        <v>74</v>
      </c>
      <c r="AZ95" t="s">
        <v>74</v>
      </c>
      <c r="BA95" t="s">
        <v>74</v>
      </c>
      <c r="BB95">
        <v>387</v>
      </c>
      <c r="BC95">
        <v>400</v>
      </c>
      <c r="BD95" t="s">
        <v>74</v>
      </c>
      <c r="BE95" t="s">
        <v>1990</v>
      </c>
      <c r="BF95" t="str">
        <f>HYPERLINK("http://dx.doi.org/10.1017/jog.2017.16","http://dx.doi.org/10.1017/jog.2017.16")</f>
        <v>http://dx.doi.org/10.1017/jog.2017.16</v>
      </c>
      <c r="BG95" t="s">
        <v>74</v>
      </c>
      <c r="BH95" t="s">
        <v>74</v>
      </c>
      <c r="BI95">
        <v>14</v>
      </c>
      <c r="BJ95" t="s">
        <v>1338</v>
      </c>
      <c r="BK95" t="s">
        <v>103</v>
      </c>
      <c r="BL95" t="s">
        <v>1339</v>
      </c>
      <c r="BM95" t="s">
        <v>1991</v>
      </c>
      <c r="BN95" t="s">
        <v>74</v>
      </c>
      <c r="BO95" t="s">
        <v>131</v>
      </c>
      <c r="BP95" t="s">
        <v>74</v>
      </c>
      <c r="BQ95" t="s">
        <v>74</v>
      </c>
      <c r="BR95" t="s">
        <v>106</v>
      </c>
      <c r="BS95" t="s">
        <v>1992</v>
      </c>
      <c r="BT95" t="str">
        <f>HYPERLINK("https%3A%2F%2Fwww.webofscience.com%2Fwos%2Fwoscc%2Ffull-record%2FWOS:000401649100001","View Full Record in Web of Science")</f>
        <v>View Full Record in Web of Science</v>
      </c>
    </row>
    <row r="96" spans="1:72" x14ac:dyDescent="0.15">
      <c r="A96" t="s">
        <v>72</v>
      </c>
      <c r="B96" t="s">
        <v>1993</v>
      </c>
      <c r="C96" t="s">
        <v>74</v>
      </c>
      <c r="D96" t="s">
        <v>74</v>
      </c>
      <c r="E96" t="s">
        <v>74</v>
      </c>
      <c r="F96" t="s">
        <v>1994</v>
      </c>
      <c r="G96" t="s">
        <v>74</v>
      </c>
      <c r="H96" t="s">
        <v>74</v>
      </c>
      <c r="I96" t="s">
        <v>1995</v>
      </c>
      <c r="J96" t="s">
        <v>1971</v>
      </c>
      <c r="K96" t="s">
        <v>74</v>
      </c>
      <c r="L96" t="s">
        <v>74</v>
      </c>
      <c r="M96" t="s">
        <v>78</v>
      </c>
      <c r="N96" t="s">
        <v>79</v>
      </c>
      <c r="O96" t="s">
        <v>74</v>
      </c>
      <c r="P96" t="s">
        <v>74</v>
      </c>
      <c r="Q96" t="s">
        <v>74</v>
      </c>
      <c r="R96" t="s">
        <v>74</v>
      </c>
      <c r="S96" t="s">
        <v>74</v>
      </c>
      <c r="T96" t="s">
        <v>1996</v>
      </c>
      <c r="U96" t="s">
        <v>1997</v>
      </c>
      <c r="V96" t="s">
        <v>1998</v>
      </c>
      <c r="W96" t="s">
        <v>1999</v>
      </c>
      <c r="X96" t="s">
        <v>2000</v>
      </c>
      <c r="Y96" t="s">
        <v>2001</v>
      </c>
      <c r="Z96" t="s">
        <v>2002</v>
      </c>
      <c r="AA96" t="s">
        <v>2003</v>
      </c>
      <c r="AB96" t="s">
        <v>2004</v>
      </c>
      <c r="AC96" t="s">
        <v>2005</v>
      </c>
      <c r="AD96" t="s">
        <v>2006</v>
      </c>
      <c r="AE96" t="s">
        <v>2007</v>
      </c>
      <c r="AF96" t="s">
        <v>74</v>
      </c>
      <c r="AG96">
        <v>63</v>
      </c>
      <c r="AH96">
        <v>49</v>
      </c>
      <c r="AI96">
        <v>56</v>
      </c>
      <c r="AJ96">
        <v>2</v>
      </c>
      <c r="AK96">
        <v>22</v>
      </c>
      <c r="AL96" t="s">
        <v>803</v>
      </c>
      <c r="AM96" t="s">
        <v>1984</v>
      </c>
      <c r="AN96" t="s">
        <v>1985</v>
      </c>
      <c r="AO96" t="s">
        <v>1986</v>
      </c>
      <c r="AP96" t="s">
        <v>1987</v>
      </c>
      <c r="AQ96" t="s">
        <v>74</v>
      </c>
      <c r="AR96" t="s">
        <v>1988</v>
      </c>
      <c r="AS96" t="s">
        <v>1989</v>
      </c>
      <c r="AT96" t="s">
        <v>128</v>
      </c>
      <c r="AU96">
        <v>2017</v>
      </c>
      <c r="AV96">
        <v>63</v>
      </c>
      <c r="AW96">
        <v>239</v>
      </c>
      <c r="AX96" t="s">
        <v>74</v>
      </c>
      <c r="AY96" t="s">
        <v>74</v>
      </c>
      <c r="AZ96" t="s">
        <v>74</v>
      </c>
      <c r="BA96" t="s">
        <v>74</v>
      </c>
      <c r="BB96">
        <v>401</v>
      </c>
      <c r="BC96">
        <v>422</v>
      </c>
      <c r="BD96" t="s">
        <v>74</v>
      </c>
      <c r="BE96" t="s">
        <v>2008</v>
      </c>
      <c r="BF96" t="str">
        <f>HYPERLINK("http://dx.doi.org/10.1017/jog.2016.114","http://dx.doi.org/10.1017/jog.2016.114")</f>
        <v>http://dx.doi.org/10.1017/jog.2016.114</v>
      </c>
      <c r="BG96" t="s">
        <v>74</v>
      </c>
      <c r="BH96" t="s">
        <v>74</v>
      </c>
      <c r="BI96">
        <v>22</v>
      </c>
      <c r="BJ96" t="s">
        <v>1338</v>
      </c>
      <c r="BK96" t="s">
        <v>103</v>
      </c>
      <c r="BL96" t="s">
        <v>1339</v>
      </c>
      <c r="BM96" t="s">
        <v>1991</v>
      </c>
      <c r="BN96" t="s">
        <v>74</v>
      </c>
      <c r="BO96" t="s">
        <v>2009</v>
      </c>
      <c r="BP96" t="s">
        <v>74</v>
      </c>
      <c r="BQ96" t="s">
        <v>74</v>
      </c>
      <c r="BR96" t="s">
        <v>106</v>
      </c>
      <c r="BS96" t="s">
        <v>2010</v>
      </c>
      <c r="BT96" t="str">
        <f>HYPERLINK("https%3A%2F%2Fwww.webofscience.com%2Fwos%2Fwoscc%2Ffull-record%2FWOS:000401649100002","View Full Record in Web of Science")</f>
        <v>View Full Record in Web of Science</v>
      </c>
    </row>
    <row r="97" spans="1:72" x14ac:dyDescent="0.15">
      <c r="A97" t="s">
        <v>72</v>
      </c>
      <c r="B97" t="s">
        <v>2011</v>
      </c>
      <c r="C97" t="s">
        <v>74</v>
      </c>
      <c r="D97" t="s">
        <v>74</v>
      </c>
      <c r="E97" t="s">
        <v>74</v>
      </c>
      <c r="F97" t="s">
        <v>2012</v>
      </c>
      <c r="G97" t="s">
        <v>74</v>
      </c>
      <c r="H97" t="s">
        <v>74</v>
      </c>
      <c r="I97" t="s">
        <v>2013</v>
      </c>
      <c r="J97" t="s">
        <v>1971</v>
      </c>
      <c r="K97" t="s">
        <v>74</v>
      </c>
      <c r="L97" t="s">
        <v>74</v>
      </c>
      <c r="M97" t="s">
        <v>78</v>
      </c>
      <c r="N97" t="s">
        <v>79</v>
      </c>
      <c r="O97" t="s">
        <v>74</v>
      </c>
      <c r="P97" t="s">
        <v>74</v>
      </c>
      <c r="Q97" t="s">
        <v>74</v>
      </c>
      <c r="R97" t="s">
        <v>74</v>
      </c>
      <c r="S97" t="s">
        <v>74</v>
      </c>
      <c r="T97" t="s">
        <v>2014</v>
      </c>
      <c r="U97" t="s">
        <v>2015</v>
      </c>
      <c r="V97" t="s">
        <v>2016</v>
      </c>
      <c r="W97" t="s">
        <v>2017</v>
      </c>
      <c r="X97" t="s">
        <v>2018</v>
      </c>
      <c r="Y97" t="s">
        <v>2019</v>
      </c>
      <c r="Z97" t="s">
        <v>2020</v>
      </c>
      <c r="AA97" t="s">
        <v>74</v>
      </c>
      <c r="AB97" t="s">
        <v>2021</v>
      </c>
      <c r="AC97" t="s">
        <v>2022</v>
      </c>
      <c r="AD97" t="s">
        <v>2023</v>
      </c>
      <c r="AE97" t="s">
        <v>2024</v>
      </c>
      <c r="AF97" t="s">
        <v>74</v>
      </c>
      <c r="AG97">
        <v>48</v>
      </c>
      <c r="AH97">
        <v>7</v>
      </c>
      <c r="AI97">
        <v>7</v>
      </c>
      <c r="AJ97">
        <v>0</v>
      </c>
      <c r="AK97">
        <v>5</v>
      </c>
      <c r="AL97" t="s">
        <v>803</v>
      </c>
      <c r="AM97" t="s">
        <v>1984</v>
      </c>
      <c r="AN97" t="s">
        <v>1985</v>
      </c>
      <c r="AO97" t="s">
        <v>1986</v>
      </c>
      <c r="AP97" t="s">
        <v>1987</v>
      </c>
      <c r="AQ97" t="s">
        <v>74</v>
      </c>
      <c r="AR97" t="s">
        <v>1988</v>
      </c>
      <c r="AS97" t="s">
        <v>1989</v>
      </c>
      <c r="AT97" t="s">
        <v>128</v>
      </c>
      <c r="AU97">
        <v>2017</v>
      </c>
      <c r="AV97">
        <v>63</v>
      </c>
      <c r="AW97">
        <v>239</v>
      </c>
      <c r="AX97" t="s">
        <v>74</v>
      </c>
      <c r="AY97" t="s">
        <v>74</v>
      </c>
      <c r="AZ97" t="s">
        <v>74</v>
      </c>
      <c r="BA97" t="s">
        <v>74</v>
      </c>
      <c r="BB97">
        <v>477</v>
      </c>
      <c r="BC97">
        <v>486</v>
      </c>
      <c r="BD97" t="s">
        <v>74</v>
      </c>
      <c r="BE97" t="s">
        <v>2025</v>
      </c>
      <c r="BF97" t="str">
        <f>HYPERLINK("http://dx.doi.org/10.1017/jog.2017.6","http://dx.doi.org/10.1017/jog.2017.6")</f>
        <v>http://dx.doi.org/10.1017/jog.2017.6</v>
      </c>
      <c r="BG97" t="s">
        <v>74</v>
      </c>
      <c r="BH97" t="s">
        <v>74</v>
      </c>
      <c r="BI97">
        <v>10</v>
      </c>
      <c r="BJ97" t="s">
        <v>1338</v>
      </c>
      <c r="BK97" t="s">
        <v>103</v>
      </c>
      <c r="BL97" t="s">
        <v>1339</v>
      </c>
      <c r="BM97" t="s">
        <v>1991</v>
      </c>
      <c r="BN97" t="s">
        <v>74</v>
      </c>
      <c r="BO97" t="s">
        <v>131</v>
      </c>
      <c r="BP97" t="s">
        <v>74</v>
      </c>
      <c r="BQ97" t="s">
        <v>74</v>
      </c>
      <c r="BR97" t="s">
        <v>106</v>
      </c>
      <c r="BS97" t="s">
        <v>2026</v>
      </c>
      <c r="BT97" t="str">
        <f>HYPERLINK("https%3A%2F%2Fwww.webofscience.com%2Fwos%2Fwoscc%2Ffull-record%2FWOS:000401649100007","View Full Record in Web of Science")</f>
        <v>View Full Record in Web of Science</v>
      </c>
    </row>
    <row r="98" spans="1:72" x14ac:dyDescent="0.15">
      <c r="A98" t="s">
        <v>72</v>
      </c>
      <c r="B98" t="s">
        <v>2027</v>
      </c>
      <c r="C98" t="s">
        <v>74</v>
      </c>
      <c r="D98" t="s">
        <v>74</v>
      </c>
      <c r="E98" t="s">
        <v>74</v>
      </c>
      <c r="F98" t="s">
        <v>2028</v>
      </c>
      <c r="G98" t="s">
        <v>74</v>
      </c>
      <c r="H98" t="s">
        <v>74</v>
      </c>
      <c r="I98" t="s">
        <v>2029</v>
      </c>
      <c r="J98" t="s">
        <v>1971</v>
      </c>
      <c r="K98" t="s">
        <v>74</v>
      </c>
      <c r="L98" t="s">
        <v>74</v>
      </c>
      <c r="M98" t="s">
        <v>78</v>
      </c>
      <c r="N98" t="s">
        <v>79</v>
      </c>
      <c r="O98" t="s">
        <v>74</v>
      </c>
      <c r="P98" t="s">
        <v>74</v>
      </c>
      <c r="Q98" t="s">
        <v>74</v>
      </c>
      <c r="R98" t="s">
        <v>74</v>
      </c>
      <c r="S98" t="s">
        <v>74</v>
      </c>
      <c r="T98" t="s">
        <v>2030</v>
      </c>
      <c r="U98" t="s">
        <v>2031</v>
      </c>
      <c r="V98" t="s">
        <v>2032</v>
      </c>
      <c r="W98" t="s">
        <v>2033</v>
      </c>
      <c r="X98" t="s">
        <v>2034</v>
      </c>
      <c r="Y98" t="s">
        <v>2035</v>
      </c>
      <c r="Z98" t="s">
        <v>2036</v>
      </c>
      <c r="AA98" t="s">
        <v>2037</v>
      </c>
      <c r="AB98" t="s">
        <v>2038</v>
      </c>
      <c r="AC98" t="s">
        <v>2039</v>
      </c>
      <c r="AD98" t="s">
        <v>2040</v>
      </c>
      <c r="AE98" t="s">
        <v>2041</v>
      </c>
      <c r="AF98" t="s">
        <v>74</v>
      </c>
      <c r="AG98">
        <v>77</v>
      </c>
      <c r="AH98">
        <v>51</v>
      </c>
      <c r="AI98">
        <v>54</v>
      </c>
      <c r="AJ98">
        <v>2</v>
      </c>
      <c r="AK98">
        <v>26</v>
      </c>
      <c r="AL98" t="s">
        <v>803</v>
      </c>
      <c r="AM98" t="s">
        <v>1984</v>
      </c>
      <c r="AN98" t="s">
        <v>1985</v>
      </c>
      <c r="AO98" t="s">
        <v>1986</v>
      </c>
      <c r="AP98" t="s">
        <v>1987</v>
      </c>
      <c r="AQ98" t="s">
        <v>74</v>
      </c>
      <c r="AR98" t="s">
        <v>1988</v>
      </c>
      <c r="AS98" t="s">
        <v>1989</v>
      </c>
      <c r="AT98" t="s">
        <v>128</v>
      </c>
      <c r="AU98">
        <v>2017</v>
      </c>
      <c r="AV98">
        <v>63</v>
      </c>
      <c r="AW98">
        <v>239</v>
      </c>
      <c r="AX98" t="s">
        <v>74</v>
      </c>
      <c r="AY98" t="s">
        <v>74</v>
      </c>
      <c r="AZ98" t="s">
        <v>74</v>
      </c>
      <c r="BA98" t="s">
        <v>74</v>
      </c>
      <c r="BB98">
        <v>543</v>
      </c>
      <c r="BC98">
        <v>555</v>
      </c>
      <c r="BD98" t="s">
        <v>74</v>
      </c>
      <c r="BE98" t="s">
        <v>2042</v>
      </c>
      <c r="BF98" t="str">
        <f>HYPERLINK("http://dx.doi.org/10.1017/jog.2017.18","http://dx.doi.org/10.1017/jog.2017.18")</f>
        <v>http://dx.doi.org/10.1017/jog.2017.18</v>
      </c>
      <c r="BG98" t="s">
        <v>74</v>
      </c>
      <c r="BH98" t="s">
        <v>74</v>
      </c>
      <c r="BI98">
        <v>13</v>
      </c>
      <c r="BJ98" t="s">
        <v>1338</v>
      </c>
      <c r="BK98" t="s">
        <v>103</v>
      </c>
      <c r="BL98" t="s">
        <v>1339</v>
      </c>
      <c r="BM98" t="s">
        <v>1991</v>
      </c>
      <c r="BN98" t="s">
        <v>74</v>
      </c>
      <c r="BO98" t="s">
        <v>1224</v>
      </c>
      <c r="BP98" t="s">
        <v>74</v>
      </c>
      <c r="BQ98" t="s">
        <v>74</v>
      </c>
      <c r="BR98" t="s">
        <v>106</v>
      </c>
      <c r="BS98" t="s">
        <v>2043</v>
      </c>
      <c r="BT98" t="str">
        <f>HYPERLINK("https%3A%2F%2Fwww.webofscience.com%2Fwos%2Fwoscc%2Ffull-record%2FWOS:000401649100013","View Full Record in Web of Science")</f>
        <v>View Full Record in Web of Science</v>
      </c>
    </row>
    <row r="99" spans="1:72" x14ac:dyDescent="0.15">
      <c r="A99" t="s">
        <v>72</v>
      </c>
      <c r="B99" t="s">
        <v>2044</v>
      </c>
      <c r="C99" t="s">
        <v>74</v>
      </c>
      <c r="D99" t="s">
        <v>74</v>
      </c>
      <c r="E99" t="s">
        <v>74</v>
      </c>
      <c r="F99" t="s">
        <v>2045</v>
      </c>
      <c r="G99" t="s">
        <v>74</v>
      </c>
      <c r="H99" t="s">
        <v>74</v>
      </c>
      <c r="I99" t="s">
        <v>2046</v>
      </c>
      <c r="J99" t="s">
        <v>2047</v>
      </c>
      <c r="K99" t="s">
        <v>74</v>
      </c>
      <c r="L99" t="s">
        <v>74</v>
      </c>
      <c r="M99" t="s">
        <v>78</v>
      </c>
      <c r="N99" t="s">
        <v>79</v>
      </c>
      <c r="O99" t="s">
        <v>74</v>
      </c>
      <c r="P99" t="s">
        <v>74</v>
      </c>
      <c r="Q99" t="s">
        <v>74</v>
      </c>
      <c r="R99" t="s">
        <v>74</v>
      </c>
      <c r="S99" t="s">
        <v>74</v>
      </c>
      <c r="T99" t="s">
        <v>2048</v>
      </c>
      <c r="U99" t="s">
        <v>2049</v>
      </c>
      <c r="V99" t="s">
        <v>2050</v>
      </c>
      <c r="W99" t="s">
        <v>2051</v>
      </c>
      <c r="X99" t="s">
        <v>2052</v>
      </c>
      <c r="Y99" t="s">
        <v>2053</v>
      </c>
      <c r="Z99" t="s">
        <v>2054</v>
      </c>
      <c r="AA99" t="s">
        <v>2055</v>
      </c>
      <c r="AB99" t="s">
        <v>2056</v>
      </c>
      <c r="AC99" t="s">
        <v>2057</v>
      </c>
      <c r="AD99" t="s">
        <v>2058</v>
      </c>
      <c r="AE99" t="s">
        <v>2059</v>
      </c>
      <c r="AF99" t="s">
        <v>74</v>
      </c>
      <c r="AG99">
        <v>90</v>
      </c>
      <c r="AH99">
        <v>33</v>
      </c>
      <c r="AI99">
        <v>42</v>
      </c>
      <c r="AJ99">
        <v>2</v>
      </c>
      <c r="AK99">
        <v>41</v>
      </c>
      <c r="AL99" t="s">
        <v>374</v>
      </c>
      <c r="AM99" t="s">
        <v>93</v>
      </c>
      <c r="AN99" t="s">
        <v>375</v>
      </c>
      <c r="AO99" t="s">
        <v>2060</v>
      </c>
      <c r="AP99" t="s">
        <v>2061</v>
      </c>
      <c r="AQ99" t="s">
        <v>74</v>
      </c>
      <c r="AR99" t="s">
        <v>2062</v>
      </c>
      <c r="AS99" t="s">
        <v>2063</v>
      </c>
      <c r="AT99" t="s">
        <v>128</v>
      </c>
      <c r="AU99">
        <v>2017</v>
      </c>
      <c r="AV99">
        <v>84</v>
      </c>
      <c r="AW99" t="s">
        <v>74</v>
      </c>
      <c r="AX99" t="s">
        <v>74</v>
      </c>
      <c r="AY99" t="s">
        <v>74</v>
      </c>
      <c r="AZ99" t="s">
        <v>74</v>
      </c>
      <c r="BA99" t="s">
        <v>74</v>
      </c>
      <c r="BB99">
        <v>76</v>
      </c>
      <c r="BC99">
        <v>101</v>
      </c>
      <c r="BD99" t="s">
        <v>74</v>
      </c>
      <c r="BE99" t="s">
        <v>2064</v>
      </c>
      <c r="BF99" t="str">
        <f>HYPERLINK("http://dx.doi.org/10.1016/j.marpetgeo.2017.03.022","http://dx.doi.org/10.1016/j.marpetgeo.2017.03.022")</f>
        <v>http://dx.doi.org/10.1016/j.marpetgeo.2017.03.022</v>
      </c>
      <c r="BG99" t="s">
        <v>74</v>
      </c>
      <c r="BH99" t="s">
        <v>74</v>
      </c>
      <c r="BI99">
        <v>26</v>
      </c>
      <c r="BJ99" t="s">
        <v>437</v>
      </c>
      <c r="BK99" t="s">
        <v>103</v>
      </c>
      <c r="BL99" t="s">
        <v>438</v>
      </c>
      <c r="BM99" t="s">
        <v>2065</v>
      </c>
      <c r="BN99" t="s">
        <v>74</v>
      </c>
      <c r="BO99" t="s">
        <v>74</v>
      </c>
      <c r="BP99" t="s">
        <v>74</v>
      </c>
      <c r="BQ99" t="s">
        <v>74</v>
      </c>
      <c r="BR99" t="s">
        <v>106</v>
      </c>
      <c r="BS99" t="s">
        <v>2066</v>
      </c>
      <c r="BT99" t="str">
        <f>HYPERLINK("https%3A%2F%2Fwww.webofscience.com%2Fwos%2Fwoscc%2Ffull-record%2FWOS:000401878300006","View Full Record in Web of Science")</f>
        <v>View Full Record in Web of Science</v>
      </c>
    </row>
    <row r="100" spans="1:72" x14ac:dyDescent="0.15">
      <c r="A100" t="s">
        <v>72</v>
      </c>
      <c r="B100" t="s">
        <v>2067</v>
      </c>
      <c r="C100" t="s">
        <v>74</v>
      </c>
      <c r="D100" t="s">
        <v>74</v>
      </c>
      <c r="E100" t="s">
        <v>74</v>
      </c>
      <c r="F100" t="s">
        <v>2068</v>
      </c>
      <c r="G100" t="s">
        <v>74</v>
      </c>
      <c r="H100" t="s">
        <v>74</v>
      </c>
      <c r="I100" t="s">
        <v>2069</v>
      </c>
      <c r="J100" t="s">
        <v>2047</v>
      </c>
      <c r="K100" t="s">
        <v>74</v>
      </c>
      <c r="L100" t="s">
        <v>74</v>
      </c>
      <c r="M100" t="s">
        <v>78</v>
      </c>
      <c r="N100" t="s">
        <v>79</v>
      </c>
      <c r="O100" t="s">
        <v>74</v>
      </c>
      <c r="P100" t="s">
        <v>74</v>
      </c>
      <c r="Q100" t="s">
        <v>74</v>
      </c>
      <c r="R100" t="s">
        <v>74</v>
      </c>
      <c r="S100" t="s">
        <v>74</v>
      </c>
      <c r="T100" t="s">
        <v>2070</v>
      </c>
      <c r="U100" t="s">
        <v>2071</v>
      </c>
      <c r="V100" t="s">
        <v>2072</v>
      </c>
      <c r="W100" t="s">
        <v>2073</v>
      </c>
      <c r="X100" t="s">
        <v>2074</v>
      </c>
      <c r="Y100" t="s">
        <v>2075</v>
      </c>
      <c r="Z100" t="s">
        <v>2076</v>
      </c>
      <c r="AA100" t="s">
        <v>74</v>
      </c>
      <c r="AB100" t="s">
        <v>74</v>
      </c>
      <c r="AC100" t="s">
        <v>74</v>
      </c>
      <c r="AD100" t="s">
        <v>74</v>
      </c>
      <c r="AE100" t="s">
        <v>74</v>
      </c>
      <c r="AF100" t="s">
        <v>74</v>
      </c>
      <c r="AG100">
        <v>109</v>
      </c>
      <c r="AH100">
        <v>8</v>
      </c>
      <c r="AI100">
        <v>9</v>
      </c>
      <c r="AJ100">
        <v>1</v>
      </c>
      <c r="AK100">
        <v>16</v>
      </c>
      <c r="AL100" t="s">
        <v>374</v>
      </c>
      <c r="AM100" t="s">
        <v>93</v>
      </c>
      <c r="AN100" t="s">
        <v>375</v>
      </c>
      <c r="AO100" t="s">
        <v>2060</v>
      </c>
      <c r="AP100" t="s">
        <v>2061</v>
      </c>
      <c r="AQ100" t="s">
        <v>74</v>
      </c>
      <c r="AR100" t="s">
        <v>2062</v>
      </c>
      <c r="AS100" t="s">
        <v>2063</v>
      </c>
      <c r="AT100" t="s">
        <v>128</v>
      </c>
      <c r="AU100">
        <v>2017</v>
      </c>
      <c r="AV100">
        <v>84</v>
      </c>
      <c r="AW100" t="s">
        <v>74</v>
      </c>
      <c r="AX100" t="s">
        <v>74</v>
      </c>
      <c r="AY100" t="s">
        <v>74</v>
      </c>
      <c r="AZ100" t="s">
        <v>74</v>
      </c>
      <c r="BA100" t="s">
        <v>74</v>
      </c>
      <c r="BB100">
        <v>243</v>
      </c>
      <c r="BC100">
        <v>256</v>
      </c>
      <c r="BD100" t="s">
        <v>74</v>
      </c>
      <c r="BE100" t="s">
        <v>2077</v>
      </c>
      <c r="BF100" t="str">
        <f>HYPERLINK("http://dx.doi.org/10.1016/j.marpetgeo.2017.03.034","http://dx.doi.org/10.1016/j.marpetgeo.2017.03.034")</f>
        <v>http://dx.doi.org/10.1016/j.marpetgeo.2017.03.034</v>
      </c>
      <c r="BG100" t="s">
        <v>74</v>
      </c>
      <c r="BH100" t="s">
        <v>74</v>
      </c>
      <c r="BI100">
        <v>14</v>
      </c>
      <c r="BJ100" t="s">
        <v>437</v>
      </c>
      <c r="BK100" t="s">
        <v>103</v>
      </c>
      <c r="BL100" t="s">
        <v>438</v>
      </c>
      <c r="BM100" t="s">
        <v>2065</v>
      </c>
      <c r="BN100" t="s">
        <v>74</v>
      </c>
      <c r="BO100" t="s">
        <v>74</v>
      </c>
      <c r="BP100" t="s">
        <v>74</v>
      </c>
      <c r="BQ100" t="s">
        <v>74</v>
      </c>
      <c r="BR100" t="s">
        <v>106</v>
      </c>
      <c r="BS100" t="s">
        <v>2078</v>
      </c>
      <c r="BT100" t="str">
        <f>HYPERLINK("https%3A%2F%2Fwww.webofscience.com%2Fwos%2Fwoscc%2Ffull-record%2FWOS:000401878300015","View Full Record in Web of Science")</f>
        <v>View Full Record in Web of Science</v>
      </c>
    </row>
    <row r="101" spans="1:72" x14ac:dyDescent="0.15">
      <c r="A101" t="s">
        <v>72</v>
      </c>
      <c r="B101" t="s">
        <v>2079</v>
      </c>
      <c r="C101" t="s">
        <v>74</v>
      </c>
      <c r="D101" t="s">
        <v>74</v>
      </c>
      <c r="E101" t="s">
        <v>74</v>
      </c>
      <c r="F101" t="s">
        <v>2080</v>
      </c>
      <c r="G101" t="s">
        <v>74</v>
      </c>
      <c r="H101" t="s">
        <v>74</v>
      </c>
      <c r="I101" t="s">
        <v>2081</v>
      </c>
      <c r="J101" t="s">
        <v>791</v>
      </c>
      <c r="K101" t="s">
        <v>74</v>
      </c>
      <c r="L101" t="s">
        <v>74</v>
      </c>
      <c r="M101" t="s">
        <v>78</v>
      </c>
      <c r="N101" t="s">
        <v>2082</v>
      </c>
      <c r="O101" t="s">
        <v>74</v>
      </c>
      <c r="P101" t="s">
        <v>74</v>
      </c>
      <c r="Q101" t="s">
        <v>74</v>
      </c>
      <c r="R101" t="s">
        <v>74</v>
      </c>
      <c r="S101" t="s">
        <v>74</v>
      </c>
      <c r="T101" t="s">
        <v>74</v>
      </c>
      <c r="U101" t="s">
        <v>74</v>
      </c>
      <c r="V101" t="s">
        <v>74</v>
      </c>
      <c r="W101" t="s">
        <v>74</v>
      </c>
      <c r="X101" t="s">
        <v>74</v>
      </c>
      <c r="Y101" t="s">
        <v>74</v>
      </c>
      <c r="Z101" t="s">
        <v>74</v>
      </c>
      <c r="AA101" t="s">
        <v>74</v>
      </c>
      <c r="AB101" t="s">
        <v>74</v>
      </c>
      <c r="AC101" t="s">
        <v>74</v>
      </c>
      <c r="AD101" t="s">
        <v>74</v>
      </c>
      <c r="AE101" t="s">
        <v>74</v>
      </c>
      <c r="AF101" t="s">
        <v>74</v>
      </c>
      <c r="AG101">
        <v>0</v>
      </c>
      <c r="AH101">
        <v>0</v>
      </c>
      <c r="AI101">
        <v>0</v>
      </c>
      <c r="AJ101">
        <v>0</v>
      </c>
      <c r="AK101">
        <v>5</v>
      </c>
      <c r="AL101" t="s">
        <v>803</v>
      </c>
      <c r="AM101" t="s">
        <v>430</v>
      </c>
      <c r="AN101" t="s">
        <v>804</v>
      </c>
      <c r="AO101" t="s">
        <v>805</v>
      </c>
      <c r="AP101" t="s">
        <v>806</v>
      </c>
      <c r="AQ101" t="s">
        <v>74</v>
      </c>
      <c r="AR101" t="s">
        <v>807</v>
      </c>
      <c r="AS101" t="s">
        <v>808</v>
      </c>
      <c r="AT101" t="s">
        <v>128</v>
      </c>
      <c r="AU101">
        <v>2017</v>
      </c>
      <c r="AV101">
        <v>29</v>
      </c>
      <c r="AW101">
        <v>3</v>
      </c>
      <c r="AX101" t="s">
        <v>74</v>
      </c>
      <c r="AY101" t="s">
        <v>74</v>
      </c>
      <c r="AZ101" t="s">
        <v>74</v>
      </c>
      <c r="BA101" t="s">
        <v>74</v>
      </c>
      <c r="BB101">
        <v>199</v>
      </c>
      <c r="BC101">
        <v>199</v>
      </c>
      <c r="BD101" t="s">
        <v>74</v>
      </c>
      <c r="BE101" t="s">
        <v>2083</v>
      </c>
      <c r="BF101" t="str">
        <f>HYPERLINK("http://dx.doi.org/10.1017/S0954102017000153","http://dx.doi.org/10.1017/S0954102017000153")</f>
        <v>http://dx.doi.org/10.1017/S0954102017000153</v>
      </c>
      <c r="BG101" t="s">
        <v>74</v>
      </c>
      <c r="BH101" t="s">
        <v>74</v>
      </c>
      <c r="BI101">
        <v>1</v>
      </c>
      <c r="BJ101" t="s">
        <v>810</v>
      </c>
      <c r="BK101" t="s">
        <v>103</v>
      </c>
      <c r="BL101" t="s">
        <v>811</v>
      </c>
      <c r="BM101" t="s">
        <v>812</v>
      </c>
      <c r="BN101" t="s">
        <v>74</v>
      </c>
      <c r="BO101" t="s">
        <v>412</v>
      </c>
      <c r="BP101" t="s">
        <v>74</v>
      </c>
      <c r="BQ101" t="s">
        <v>74</v>
      </c>
      <c r="BR101" t="s">
        <v>106</v>
      </c>
      <c r="BS101" t="s">
        <v>2084</v>
      </c>
      <c r="BT101" t="str">
        <f>HYPERLINK("https%3A%2F%2Fwww.webofscience.com%2Fwos%2Fwoscc%2Ffull-record%2FWOS:000404282500001","View Full Record in Web of Science")</f>
        <v>View Full Record in Web of Science</v>
      </c>
    </row>
    <row r="102" spans="1:72" x14ac:dyDescent="0.15">
      <c r="A102" t="s">
        <v>72</v>
      </c>
      <c r="B102" t="s">
        <v>2085</v>
      </c>
      <c r="C102" t="s">
        <v>74</v>
      </c>
      <c r="D102" t="s">
        <v>74</v>
      </c>
      <c r="E102" t="s">
        <v>74</v>
      </c>
      <c r="F102" t="s">
        <v>2086</v>
      </c>
      <c r="G102" t="s">
        <v>74</v>
      </c>
      <c r="H102" t="s">
        <v>74</v>
      </c>
      <c r="I102" t="s">
        <v>2087</v>
      </c>
      <c r="J102" t="s">
        <v>791</v>
      </c>
      <c r="K102" t="s">
        <v>74</v>
      </c>
      <c r="L102" t="s">
        <v>74</v>
      </c>
      <c r="M102" t="s">
        <v>78</v>
      </c>
      <c r="N102" t="s">
        <v>79</v>
      </c>
      <c r="O102" t="s">
        <v>74</v>
      </c>
      <c r="P102" t="s">
        <v>74</v>
      </c>
      <c r="Q102" t="s">
        <v>74</v>
      </c>
      <c r="R102" t="s">
        <v>74</v>
      </c>
      <c r="S102" t="s">
        <v>74</v>
      </c>
      <c r="T102" t="s">
        <v>2088</v>
      </c>
      <c r="U102" t="s">
        <v>2089</v>
      </c>
      <c r="V102" t="s">
        <v>2090</v>
      </c>
      <c r="W102" t="s">
        <v>2091</v>
      </c>
      <c r="X102" t="s">
        <v>2092</v>
      </c>
      <c r="Y102" t="s">
        <v>2093</v>
      </c>
      <c r="Z102" t="s">
        <v>2094</v>
      </c>
      <c r="AA102" t="s">
        <v>2095</v>
      </c>
      <c r="AB102" t="s">
        <v>2096</v>
      </c>
      <c r="AC102" t="s">
        <v>2097</v>
      </c>
      <c r="AD102" t="s">
        <v>2098</v>
      </c>
      <c r="AE102" t="s">
        <v>2099</v>
      </c>
      <c r="AF102" t="s">
        <v>74</v>
      </c>
      <c r="AG102">
        <v>41</v>
      </c>
      <c r="AH102">
        <v>9</v>
      </c>
      <c r="AI102">
        <v>9</v>
      </c>
      <c r="AJ102">
        <v>0</v>
      </c>
      <c r="AK102">
        <v>27</v>
      </c>
      <c r="AL102" t="s">
        <v>803</v>
      </c>
      <c r="AM102" t="s">
        <v>430</v>
      </c>
      <c r="AN102" t="s">
        <v>804</v>
      </c>
      <c r="AO102" t="s">
        <v>805</v>
      </c>
      <c r="AP102" t="s">
        <v>806</v>
      </c>
      <c r="AQ102" t="s">
        <v>74</v>
      </c>
      <c r="AR102" t="s">
        <v>807</v>
      </c>
      <c r="AS102" t="s">
        <v>808</v>
      </c>
      <c r="AT102" t="s">
        <v>128</v>
      </c>
      <c r="AU102">
        <v>2017</v>
      </c>
      <c r="AV102">
        <v>29</v>
      </c>
      <c r="AW102">
        <v>3</v>
      </c>
      <c r="AX102" t="s">
        <v>74</v>
      </c>
      <c r="AY102" t="s">
        <v>74</v>
      </c>
      <c r="AZ102" t="s">
        <v>74</v>
      </c>
      <c r="BA102" t="s">
        <v>74</v>
      </c>
      <c r="BB102">
        <v>217</v>
      </c>
      <c r="BC102">
        <v>228</v>
      </c>
      <c r="BD102" t="s">
        <v>74</v>
      </c>
      <c r="BE102" t="s">
        <v>2100</v>
      </c>
      <c r="BF102" t="str">
        <f>HYPERLINK("http://dx.doi.org/10.1017/S0954102016000699","http://dx.doi.org/10.1017/S0954102016000699")</f>
        <v>http://dx.doi.org/10.1017/S0954102016000699</v>
      </c>
      <c r="BG102" t="s">
        <v>74</v>
      </c>
      <c r="BH102" t="s">
        <v>74</v>
      </c>
      <c r="BI102">
        <v>12</v>
      </c>
      <c r="BJ102" t="s">
        <v>810</v>
      </c>
      <c r="BK102" t="s">
        <v>103</v>
      </c>
      <c r="BL102" t="s">
        <v>811</v>
      </c>
      <c r="BM102" t="s">
        <v>812</v>
      </c>
      <c r="BN102" t="s">
        <v>74</v>
      </c>
      <c r="BO102" t="s">
        <v>74</v>
      </c>
      <c r="BP102" t="s">
        <v>74</v>
      </c>
      <c r="BQ102" t="s">
        <v>74</v>
      </c>
      <c r="BR102" t="s">
        <v>106</v>
      </c>
      <c r="BS102" t="s">
        <v>2101</v>
      </c>
      <c r="BT102" t="str">
        <f>HYPERLINK("https%3A%2F%2Fwww.webofscience.com%2Fwos%2Fwoscc%2Ffull-record%2FWOS:000404282500004","View Full Record in Web of Science")</f>
        <v>View Full Record in Web of Science</v>
      </c>
    </row>
    <row r="103" spans="1:72" x14ac:dyDescent="0.15">
      <c r="A103" t="s">
        <v>72</v>
      </c>
      <c r="B103" t="s">
        <v>2102</v>
      </c>
      <c r="C103" t="s">
        <v>74</v>
      </c>
      <c r="D103" t="s">
        <v>74</v>
      </c>
      <c r="E103" t="s">
        <v>74</v>
      </c>
      <c r="F103" t="s">
        <v>2103</v>
      </c>
      <c r="G103" t="s">
        <v>74</v>
      </c>
      <c r="H103" t="s">
        <v>74</v>
      </c>
      <c r="I103" t="s">
        <v>2104</v>
      </c>
      <c r="J103" t="s">
        <v>791</v>
      </c>
      <c r="K103" t="s">
        <v>74</v>
      </c>
      <c r="L103" t="s">
        <v>74</v>
      </c>
      <c r="M103" t="s">
        <v>78</v>
      </c>
      <c r="N103" t="s">
        <v>79</v>
      </c>
      <c r="O103" t="s">
        <v>74</v>
      </c>
      <c r="P103" t="s">
        <v>74</v>
      </c>
      <c r="Q103" t="s">
        <v>74</v>
      </c>
      <c r="R103" t="s">
        <v>74</v>
      </c>
      <c r="S103" t="s">
        <v>74</v>
      </c>
      <c r="T103" t="s">
        <v>2105</v>
      </c>
      <c r="U103" t="s">
        <v>2106</v>
      </c>
      <c r="V103" t="s">
        <v>2107</v>
      </c>
      <c r="W103" t="s">
        <v>2108</v>
      </c>
      <c r="X103" t="s">
        <v>2109</v>
      </c>
      <c r="Y103" t="s">
        <v>2110</v>
      </c>
      <c r="Z103" t="s">
        <v>2111</v>
      </c>
      <c r="AA103" t="s">
        <v>2112</v>
      </c>
      <c r="AB103" t="s">
        <v>2113</v>
      </c>
      <c r="AC103" t="s">
        <v>2114</v>
      </c>
      <c r="AD103" t="s">
        <v>2115</v>
      </c>
      <c r="AE103" t="s">
        <v>2116</v>
      </c>
      <c r="AF103" t="s">
        <v>74</v>
      </c>
      <c r="AG103">
        <v>42</v>
      </c>
      <c r="AH103">
        <v>28</v>
      </c>
      <c r="AI103">
        <v>30</v>
      </c>
      <c r="AJ103">
        <v>2</v>
      </c>
      <c r="AK103">
        <v>62</v>
      </c>
      <c r="AL103" t="s">
        <v>803</v>
      </c>
      <c r="AM103" t="s">
        <v>430</v>
      </c>
      <c r="AN103" t="s">
        <v>804</v>
      </c>
      <c r="AO103" t="s">
        <v>805</v>
      </c>
      <c r="AP103" t="s">
        <v>806</v>
      </c>
      <c r="AQ103" t="s">
        <v>74</v>
      </c>
      <c r="AR103" t="s">
        <v>807</v>
      </c>
      <c r="AS103" t="s">
        <v>808</v>
      </c>
      <c r="AT103" t="s">
        <v>128</v>
      </c>
      <c r="AU103">
        <v>2017</v>
      </c>
      <c r="AV103">
        <v>29</v>
      </c>
      <c r="AW103">
        <v>3</v>
      </c>
      <c r="AX103" t="s">
        <v>74</v>
      </c>
      <c r="AY103" t="s">
        <v>74</v>
      </c>
      <c r="AZ103" t="s">
        <v>74</v>
      </c>
      <c r="BA103" t="s">
        <v>74</v>
      </c>
      <c r="BB103">
        <v>229</v>
      </c>
      <c r="BC103">
        <v>237</v>
      </c>
      <c r="BD103" t="s">
        <v>74</v>
      </c>
      <c r="BE103" t="s">
        <v>2117</v>
      </c>
      <c r="BF103" t="str">
        <f>HYPERLINK("http://dx.doi.org/10.1017/S0954102016000638","http://dx.doi.org/10.1017/S0954102016000638")</f>
        <v>http://dx.doi.org/10.1017/S0954102016000638</v>
      </c>
      <c r="BG103" t="s">
        <v>74</v>
      </c>
      <c r="BH103" t="s">
        <v>74</v>
      </c>
      <c r="BI103">
        <v>9</v>
      </c>
      <c r="BJ103" t="s">
        <v>810</v>
      </c>
      <c r="BK103" t="s">
        <v>103</v>
      </c>
      <c r="BL103" t="s">
        <v>811</v>
      </c>
      <c r="BM103" t="s">
        <v>812</v>
      </c>
      <c r="BN103" t="s">
        <v>74</v>
      </c>
      <c r="BO103" t="s">
        <v>231</v>
      </c>
      <c r="BP103" t="s">
        <v>74</v>
      </c>
      <c r="BQ103" t="s">
        <v>74</v>
      </c>
      <c r="BR103" t="s">
        <v>106</v>
      </c>
      <c r="BS103" t="s">
        <v>2118</v>
      </c>
      <c r="BT103" t="str">
        <f>HYPERLINK("https%3A%2F%2Fwww.webofscience.com%2Fwos%2Fwoscc%2Ffull-record%2FWOS:000404282500005","View Full Record in Web of Science")</f>
        <v>View Full Record in Web of Science</v>
      </c>
    </row>
    <row r="104" spans="1:72" x14ac:dyDescent="0.15">
      <c r="A104" t="s">
        <v>72</v>
      </c>
      <c r="B104" t="s">
        <v>2119</v>
      </c>
      <c r="C104" t="s">
        <v>74</v>
      </c>
      <c r="D104" t="s">
        <v>74</v>
      </c>
      <c r="E104" t="s">
        <v>74</v>
      </c>
      <c r="F104" t="s">
        <v>2120</v>
      </c>
      <c r="G104" t="s">
        <v>74</v>
      </c>
      <c r="H104" t="s">
        <v>74</v>
      </c>
      <c r="I104" t="s">
        <v>2121</v>
      </c>
      <c r="J104" t="s">
        <v>791</v>
      </c>
      <c r="K104" t="s">
        <v>74</v>
      </c>
      <c r="L104" t="s">
        <v>74</v>
      </c>
      <c r="M104" t="s">
        <v>78</v>
      </c>
      <c r="N104" t="s">
        <v>79</v>
      </c>
      <c r="O104" t="s">
        <v>74</v>
      </c>
      <c r="P104" t="s">
        <v>74</v>
      </c>
      <c r="Q104" t="s">
        <v>74</v>
      </c>
      <c r="R104" t="s">
        <v>74</v>
      </c>
      <c r="S104" t="s">
        <v>74</v>
      </c>
      <c r="T104" t="s">
        <v>2122</v>
      </c>
      <c r="U104" t="s">
        <v>2123</v>
      </c>
      <c r="V104" t="s">
        <v>2124</v>
      </c>
      <c r="W104" t="s">
        <v>2125</v>
      </c>
      <c r="X104" t="s">
        <v>2126</v>
      </c>
      <c r="Y104" t="s">
        <v>2127</v>
      </c>
      <c r="Z104" t="s">
        <v>2128</v>
      </c>
      <c r="AA104" t="s">
        <v>74</v>
      </c>
      <c r="AB104" t="s">
        <v>2129</v>
      </c>
      <c r="AC104" t="s">
        <v>2130</v>
      </c>
      <c r="AD104" t="s">
        <v>2131</v>
      </c>
      <c r="AE104" t="s">
        <v>2132</v>
      </c>
      <c r="AF104" t="s">
        <v>74</v>
      </c>
      <c r="AG104">
        <v>40</v>
      </c>
      <c r="AH104">
        <v>13</v>
      </c>
      <c r="AI104">
        <v>18</v>
      </c>
      <c r="AJ104">
        <v>5</v>
      </c>
      <c r="AK104">
        <v>23</v>
      </c>
      <c r="AL104" t="s">
        <v>803</v>
      </c>
      <c r="AM104" t="s">
        <v>430</v>
      </c>
      <c r="AN104" t="s">
        <v>804</v>
      </c>
      <c r="AO104" t="s">
        <v>805</v>
      </c>
      <c r="AP104" t="s">
        <v>806</v>
      </c>
      <c r="AQ104" t="s">
        <v>74</v>
      </c>
      <c r="AR104" t="s">
        <v>807</v>
      </c>
      <c r="AS104" t="s">
        <v>808</v>
      </c>
      <c r="AT104" t="s">
        <v>128</v>
      </c>
      <c r="AU104">
        <v>2017</v>
      </c>
      <c r="AV104">
        <v>29</v>
      </c>
      <c r="AW104">
        <v>3</v>
      </c>
      <c r="AX104" t="s">
        <v>74</v>
      </c>
      <c r="AY104" t="s">
        <v>74</v>
      </c>
      <c r="AZ104" t="s">
        <v>74</v>
      </c>
      <c r="BA104" t="s">
        <v>74</v>
      </c>
      <c r="BB104">
        <v>252</v>
      </c>
      <c r="BC104">
        <v>263</v>
      </c>
      <c r="BD104" t="s">
        <v>74</v>
      </c>
      <c r="BE104" t="s">
        <v>2133</v>
      </c>
      <c r="BF104" t="str">
        <f>HYPERLINK("http://dx.doi.org/10.1017/S0954102016000742","http://dx.doi.org/10.1017/S0954102016000742")</f>
        <v>http://dx.doi.org/10.1017/S0954102016000742</v>
      </c>
      <c r="BG104" t="s">
        <v>74</v>
      </c>
      <c r="BH104" t="s">
        <v>74</v>
      </c>
      <c r="BI104">
        <v>12</v>
      </c>
      <c r="BJ104" t="s">
        <v>810</v>
      </c>
      <c r="BK104" t="s">
        <v>103</v>
      </c>
      <c r="BL104" t="s">
        <v>811</v>
      </c>
      <c r="BM104" t="s">
        <v>812</v>
      </c>
      <c r="BN104" t="s">
        <v>74</v>
      </c>
      <c r="BO104" t="s">
        <v>74</v>
      </c>
      <c r="BP104" t="s">
        <v>74</v>
      </c>
      <c r="BQ104" t="s">
        <v>74</v>
      </c>
      <c r="BR104" t="s">
        <v>106</v>
      </c>
      <c r="BS104" t="s">
        <v>2134</v>
      </c>
      <c r="BT104" t="str">
        <f>HYPERLINK("https%3A%2F%2Fwww.webofscience.com%2Fwos%2Fwoscc%2Ffull-record%2FWOS:000404282500007","View Full Record in Web of Science")</f>
        <v>View Full Record in Web of Science</v>
      </c>
    </row>
    <row r="105" spans="1:72" x14ac:dyDescent="0.15">
      <c r="A105" t="s">
        <v>72</v>
      </c>
      <c r="B105" t="s">
        <v>2135</v>
      </c>
      <c r="C105" t="s">
        <v>74</v>
      </c>
      <c r="D105" t="s">
        <v>74</v>
      </c>
      <c r="E105" t="s">
        <v>74</v>
      </c>
      <c r="F105" t="s">
        <v>2136</v>
      </c>
      <c r="G105" t="s">
        <v>74</v>
      </c>
      <c r="H105" t="s">
        <v>74</v>
      </c>
      <c r="I105" t="s">
        <v>2137</v>
      </c>
      <c r="J105" t="s">
        <v>2138</v>
      </c>
      <c r="K105" t="s">
        <v>74</v>
      </c>
      <c r="L105" t="s">
        <v>74</v>
      </c>
      <c r="M105" t="s">
        <v>78</v>
      </c>
      <c r="N105" t="s">
        <v>79</v>
      </c>
      <c r="O105" t="s">
        <v>74</v>
      </c>
      <c r="P105" t="s">
        <v>74</v>
      </c>
      <c r="Q105" t="s">
        <v>74</v>
      </c>
      <c r="R105" t="s">
        <v>74</v>
      </c>
      <c r="S105" t="s">
        <v>74</v>
      </c>
      <c r="T105" t="s">
        <v>74</v>
      </c>
      <c r="U105" t="s">
        <v>2139</v>
      </c>
      <c r="V105" t="s">
        <v>2140</v>
      </c>
      <c r="W105" t="s">
        <v>2141</v>
      </c>
      <c r="X105" t="s">
        <v>2142</v>
      </c>
      <c r="Y105" t="s">
        <v>2143</v>
      </c>
      <c r="Z105" t="s">
        <v>2144</v>
      </c>
      <c r="AA105" t="s">
        <v>2145</v>
      </c>
      <c r="AB105" t="s">
        <v>2146</v>
      </c>
      <c r="AC105" t="s">
        <v>2147</v>
      </c>
      <c r="AD105" t="s">
        <v>2148</v>
      </c>
      <c r="AE105" t="s">
        <v>2149</v>
      </c>
      <c r="AF105" t="s">
        <v>74</v>
      </c>
      <c r="AG105">
        <v>63</v>
      </c>
      <c r="AH105">
        <v>23</v>
      </c>
      <c r="AI105">
        <v>24</v>
      </c>
      <c r="AJ105">
        <v>1</v>
      </c>
      <c r="AK105">
        <v>4</v>
      </c>
      <c r="AL105" t="s">
        <v>1479</v>
      </c>
      <c r="AM105" t="s">
        <v>1480</v>
      </c>
      <c r="AN105" t="s">
        <v>1481</v>
      </c>
      <c r="AO105" t="s">
        <v>2150</v>
      </c>
      <c r="AP105" t="s">
        <v>2151</v>
      </c>
      <c r="AQ105" t="s">
        <v>74</v>
      </c>
      <c r="AR105" t="s">
        <v>2152</v>
      </c>
      <c r="AS105" t="s">
        <v>2153</v>
      </c>
      <c r="AT105" t="s">
        <v>128</v>
      </c>
      <c r="AU105">
        <v>2017</v>
      </c>
      <c r="AV105">
        <v>232</v>
      </c>
      <c r="AW105">
        <v>3</v>
      </c>
      <c r="AX105" t="s">
        <v>74</v>
      </c>
      <c r="AY105" t="s">
        <v>74</v>
      </c>
      <c r="AZ105" t="s">
        <v>74</v>
      </c>
      <c r="BA105" t="s">
        <v>74</v>
      </c>
      <c r="BB105">
        <v>198</v>
      </c>
      <c r="BC105">
        <v>211</v>
      </c>
      <c r="BD105" t="s">
        <v>74</v>
      </c>
      <c r="BE105" t="s">
        <v>2154</v>
      </c>
      <c r="BF105" t="str">
        <f>HYPERLINK("http://dx.doi.org/10.1086/693460","http://dx.doi.org/10.1086/693460")</f>
        <v>http://dx.doi.org/10.1086/693460</v>
      </c>
      <c r="BG105" t="s">
        <v>74</v>
      </c>
      <c r="BH105" t="s">
        <v>74</v>
      </c>
      <c r="BI105">
        <v>14</v>
      </c>
      <c r="BJ105" t="s">
        <v>2155</v>
      </c>
      <c r="BK105" t="s">
        <v>103</v>
      </c>
      <c r="BL105" t="s">
        <v>2156</v>
      </c>
      <c r="BM105" t="s">
        <v>2157</v>
      </c>
      <c r="BN105">
        <v>28898598</v>
      </c>
      <c r="BO105" t="s">
        <v>74</v>
      </c>
      <c r="BP105" t="s">
        <v>74</v>
      </c>
      <c r="BQ105" t="s">
        <v>74</v>
      </c>
      <c r="BR105" t="s">
        <v>106</v>
      </c>
      <c r="BS105" t="s">
        <v>2158</v>
      </c>
      <c r="BT105" t="str">
        <f>HYPERLINK("https%3A%2F%2Fwww.webofscience.com%2Fwos%2Fwoscc%2Ffull-record%2FWOS:000410562000005","View Full Record in Web of Science")</f>
        <v>View Full Record in Web of Science</v>
      </c>
    </row>
    <row r="106" spans="1:72" x14ac:dyDescent="0.15">
      <c r="A106" t="s">
        <v>72</v>
      </c>
      <c r="B106" t="s">
        <v>2159</v>
      </c>
      <c r="C106" t="s">
        <v>74</v>
      </c>
      <c r="D106" t="s">
        <v>74</v>
      </c>
      <c r="E106" t="s">
        <v>74</v>
      </c>
      <c r="F106" t="s">
        <v>2159</v>
      </c>
      <c r="G106" t="s">
        <v>74</v>
      </c>
      <c r="H106" t="s">
        <v>74</v>
      </c>
      <c r="I106" t="s">
        <v>2160</v>
      </c>
      <c r="J106" t="s">
        <v>2161</v>
      </c>
      <c r="K106" t="s">
        <v>74</v>
      </c>
      <c r="L106" t="s">
        <v>74</v>
      </c>
      <c r="M106" t="s">
        <v>78</v>
      </c>
      <c r="N106" t="s">
        <v>2162</v>
      </c>
      <c r="O106" t="s">
        <v>74</v>
      </c>
      <c r="P106" t="s">
        <v>74</v>
      </c>
      <c r="Q106" t="s">
        <v>74</v>
      </c>
      <c r="R106" t="s">
        <v>74</v>
      </c>
      <c r="S106" t="s">
        <v>74</v>
      </c>
      <c r="T106" t="s">
        <v>74</v>
      </c>
      <c r="U106" t="s">
        <v>74</v>
      </c>
      <c r="V106" t="s">
        <v>74</v>
      </c>
      <c r="W106" t="s">
        <v>74</v>
      </c>
      <c r="X106" t="s">
        <v>74</v>
      </c>
      <c r="Y106" t="s">
        <v>74</v>
      </c>
      <c r="Z106" t="s">
        <v>74</v>
      </c>
      <c r="AA106" t="s">
        <v>74</v>
      </c>
      <c r="AB106" t="s">
        <v>74</v>
      </c>
      <c r="AC106" t="s">
        <v>74</v>
      </c>
      <c r="AD106" t="s">
        <v>74</v>
      </c>
      <c r="AE106" t="s">
        <v>74</v>
      </c>
      <c r="AF106" t="s">
        <v>74</v>
      </c>
      <c r="AG106">
        <v>0</v>
      </c>
      <c r="AH106">
        <v>0</v>
      </c>
      <c r="AI106">
        <v>0</v>
      </c>
      <c r="AJ106">
        <v>0</v>
      </c>
      <c r="AK106">
        <v>0</v>
      </c>
      <c r="AL106" t="s">
        <v>1115</v>
      </c>
      <c r="AM106" t="s">
        <v>1116</v>
      </c>
      <c r="AN106" t="s">
        <v>1117</v>
      </c>
      <c r="AO106" t="s">
        <v>2163</v>
      </c>
      <c r="AP106" t="s">
        <v>2164</v>
      </c>
      <c r="AQ106" t="s">
        <v>74</v>
      </c>
      <c r="AR106" t="s">
        <v>2165</v>
      </c>
      <c r="AS106" t="s">
        <v>2166</v>
      </c>
      <c r="AT106" t="s">
        <v>128</v>
      </c>
      <c r="AU106">
        <v>2017</v>
      </c>
      <c r="AV106">
        <v>98</v>
      </c>
      <c r="AW106">
        <v>6</v>
      </c>
      <c r="AX106" t="s">
        <v>74</v>
      </c>
      <c r="AY106" t="s">
        <v>74</v>
      </c>
      <c r="AZ106" t="s">
        <v>74</v>
      </c>
      <c r="BA106" t="s">
        <v>74</v>
      </c>
      <c r="BB106">
        <v>1087</v>
      </c>
      <c r="BC106">
        <v>1087</v>
      </c>
      <c r="BD106" t="s">
        <v>74</v>
      </c>
      <c r="BE106" t="s">
        <v>2167</v>
      </c>
      <c r="BF106" t="str">
        <f>HYPERLINK("http://dx.doi.org/10.1175/BAMS_986_1087-1102_Nowcast","http://dx.doi.org/10.1175/BAMS_986_1087-1102_Nowcast")</f>
        <v>http://dx.doi.org/10.1175/BAMS_986_1087-1102_Nowcast</v>
      </c>
      <c r="BG106" t="s">
        <v>74</v>
      </c>
      <c r="BH106" t="s">
        <v>74</v>
      </c>
      <c r="BI106">
        <v>1</v>
      </c>
      <c r="BJ106" t="s">
        <v>1261</v>
      </c>
      <c r="BK106" t="s">
        <v>103</v>
      </c>
      <c r="BL106" t="s">
        <v>1261</v>
      </c>
      <c r="BM106" t="s">
        <v>2168</v>
      </c>
      <c r="BN106" t="s">
        <v>74</v>
      </c>
      <c r="BO106" t="s">
        <v>384</v>
      </c>
      <c r="BP106" t="s">
        <v>74</v>
      </c>
      <c r="BQ106" t="s">
        <v>74</v>
      </c>
      <c r="BR106" t="s">
        <v>106</v>
      </c>
      <c r="BS106" t="s">
        <v>2169</v>
      </c>
      <c r="BT106" t="str">
        <f>HYPERLINK("https%3A%2F%2Fwww.webofscience.com%2Fwos%2Fwoscc%2Ffull-record%2FWOS:000437828000001","View Full Record in Web of Science")</f>
        <v>View Full Record in Web of Science</v>
      </c>
    </row>
    <row r="107" spans="1:72" x14ac:dyDescent="0.15">
      <c r="A107" t="s">
        <v>72</v>
      </c>
      <c r="B107" t="s">
        <v>2170</v>
      </c>
      <c r="C107" t="s">
        <v>74</v>
      </c>
      <c r="D107" t="s">
        <v>74</v>
      </c>
      <c r="E107" t="s">
        <v>74</v>
      </c>
      <c r="F107" t="s">
        <v>2171</v>
      </c>
      <c r="G107" t="s">
        <v>74</v>
      </c>
      <c r="H107" t="s">
        <v>74</v>
      </c>
      <c r="I107" t="s">
        <v>2172</v>
      </c>
      <c r="J107" t="s">
        <v>2173</v>
      </c>
      <c r="K107" t="s">
        <v>74</v>
      </c>
      <c r="L107" t="s">
        <v>74</v>
      </c>
      <c r="M107" t="s">
        <v>78</v>
      </c>
      <c r="N107" t="s">
        <v>79</v>
      </c>
      <c r="O107" t="s">
        <v>74</v>
      </c>
      <c r="P107" t="s">
        <v>74</v>
      </c>
      <c r="Q107" t="s">
        <v>74</v>
      </c>
      <c r="R107" t="s">
        <v>74</v>
      </c>
      <c r="S107" t="s">
        <v>74</v>
      </c>
      <c r="T107" t="s">
        <v>2174</v>
      </c>
      <c r="U107" t="s">
        <v>2175</v>
      </c>
      <c r="V107" t="s">
        <v>2176</v>
      </c>
      <c r="W107" t="s">
        <v>2177</v>
      </c>
      <c r="X107" t="s">
        <v>2178</v>
      </c>
      <c r="Y107" t="s">
        <v>2179</v>
      </c>
      <c r="Z107" t="s">
        <v>2180</v>
      </c>
      <c r="AA107" t="s">
        <v>74</v>
      </c>
      <c r="AB107" t="s">
        <v>2181</v>
      </c>
      <c r="AC107" t="s">
        <v>2182</v>
      </c>
      <c r="AD107" t="s">
        <v>2183</v>
      </c>
      <c r="AE107" t="s">
        <v>2184</v>
      </c>
      <c r="AF107" t="s">
        <v>74</v>
      </c>
      <c r="AG107">
        <v>49</v>
      </c>
      <c r="AH107">
        <v>42</v>
      </c>
      <c r="AI107">
        <v>43</v>
      </c>
      <c r="AJ107">
        <v>1</v>
      </c>
      <c r="AK107">
        <v>40</v>
      </c>
      <c r="AL107" t="s">
        <v>656</v>
      </c>
      <c r="AM107" t="s">
        <v>93</v>
      </c>
      <c r="AN107" t="s">
        <v>657</v>
      </c>
      <c r="AO107" t="s">
        <v>2185</v>
      </c>
      <c r="AP107" t="s">
        <v>2186</v>
      </c>
      <c r="AQ107" t="s">
        <v>74</v>
      </c>
      <c r="AR107" t="s">
        <v>2173</v>
      </c>
      <c r="AS107" t="s">
        <v>2187</v>
      </c>
      <c r="AT107" t="s">
        <v>128</v>
      </c>
      <c r="AU107">
        <v>2017</v>
      </c>
      <c r="AV107">
        <v>177</v>
      </c>
      <c r="AW107" t="s">
        <v>74</v>
      </c>
      <c r="AX107" t="s">
        <v>74</v>
      </c>
      <c r="AY107" t="s">
        <v>74</v>
      </c>
      <c r="AZ107" t="s">
        <v>74</v>
      </c>
      <c r="BA107" t="s">
        <v>74</v>
      </c>
      <c r="BB107">
        <v>239</v>
      </c>
      <c r="BC107">
        <v>249</v>
      </c>
      <c r="BD107" t="s">
        <v>74</v>
      </c>
      <c r="BE107" t="s">
        <v>2188</v>
      </c>
      <c r="BF107" t="str">
        <f>HYPERLINK("http://dx.doi.org/10.1016/j.chemosphere.2017.02.155","http://dx.doi.org/10.1016/j.chemosphere.2017.02.155")</f>
        <v>http://dx.doi.org/10.1016/j.chemosphere.2017.02.155</v>
      </c>
      <c r="BG107" t="s">
        <v>74</v>
      </c>
      <c r="BH107" t="s">
        <v>74</v>
      </c>
      <c r="BI107">
        <v>11</v>
      </c>
      <c r="BJ107" t="s">
        <v>2189</v>
      </c>
      <c r="BK107" t="s">
        <v>103</v>
      </c>
      <c r="BL107" t="s">
        <v>993</v>
      </c>
      <c r="BM107" t="s">
        <v>2190</v>
      </c>
      <c r="BN107">
        <v>28292724</v>
      </c>
      <c r="BO107" t="s">
        <v>74</v>
      </c>
      <c r="BP107" t="s">
        <v>74</v>
      </c>
      <c r="BQ107" t="s">
        <v>74</v>
      </c>
      <c r="BR107" t="s">
        <v>106</v>
      </c>
      <c r="BS107" t="s">
        <v>2191</v>
      </c>
      <c r="BT107" t="str">
        <f>HYPERLINK("https%3A%2F%2Fwww.webofscience.com%2Fwos%2Fwoscc%2Ffull-record%2FWOS:000399266600029","View Full Record in Web of Science")</f>
        <v>View Full Record in Web of Science</v>
      </c>
    </row>
    <row r="108" spans="1:72" x14ac:dyDescent="0.15">
      <c r="A108" t="s">
        <v>72</v>
      </c>
      <c r="B108" t="s">
        <v>2192</v>
      </c>
      <c r="C108" t="s">
        <v>74</v>
      </c>
      <c r="D108" t="s">
        <v>74</v>
      </c>
      <c r="E108" t="s">
        <v>74</v>
      </c>
      <c r="F108" t="s">
        <v>2193</v>
      </c>
      <c r="G108" t="s">
        <v>74</v>
      </c>
      <c r="H108" t="s">
        <v>74</v>
      </c>
      <c r="I108" t="s">
        <v>2194</v>
      </c>
      <c r="J108" t="s">
        <v>2173</v>
      </c>
      <c r="K108" t="s">
        <v>74</v>
      </c>
      <c r="L108" t="s">
        <v>74</v>
      </c>
      <c r="M108" t="s">
        <v>78</v>
      </c>
      <c r="N108" t="s">
        <v>79</v>
      </c>
      <c r="O108" t="s">
        <v>74</v>
      </c>
      <c r="P108" t="s">
        <v>74</v>
      </c>
      <c r="Q108" t="s">
        <v>74</v>
      </c>
      <c r="R108" t="s">
        <v>74</v>
      </c>
      <c r="S108" t="s">
        <v>74</v>
      </c>
      <c r="T108" t="s">
        <v>2195</v>
      </c>
      <c r="U108" t="s">
        <v>2196</v>
      </c>
      <c r="V108" t="s">
        <v>2197</v>
      </c>
      <c r="W108" t="s">
        <v>2198</v>
      </c>
      <c r="X108" t="s">
        <v>2199</v>
      </c>
      <c r="Y108" t="s">
        <v>2200</v>
      </c>
      <c r="Z108" t="s">
        <v>2201</v>
      </c>
      <c r="AA108" t="s">
        <v>2202</v>
      </c>
      <c r="AB108" t="s">
        <v>2203</v>
      </c>
      <c r="AC108" t="s">
        <v>2204</v>
      </c>
      <c r="AD108" t="s">
        <v>2205</v>
      </c>
      <c r="AE108" t="s">
        <v>2206</v>
      </c>
      <c r="AF108" t="s">
        <v>74</v>
      </c>
      <c r="AG108">
        <v>63</v>
      </c>
      <c r="AH108">
        <v>12</v>
      </c>
      <c r="AI108">
        <v>14</v>
      </c>
      <c r="AJ108">
        <v>0</v>
      </c>
      <c r="AK108">
        <v>38</v>
      </c>
      <c r="AL108" t="s">
        <v>656</v>
      </c>
      <c r="AM108" t="s">
        <v>93</v>
      </c>
      <c r="AN108" t="s">
        <v>657</v>
      </c>
      <c r="AO108" t="s">
        <v>2185</v>
      </c>
      <c r="AP108" t="s">
        <v>2186</v>
      </c>
      <c r="AQ108" t="s">
        <v>74</v>
      </c>
      <c r="AR108" t="s">
        <v>2173</v>
      </c>
      <c r="AS108" t="s">
        <v>2187</v>
      </c>
      <c r="AT108" t="s">
        <v>128</v>
      </c>
      <c r="AU108">
        <v>2017</v>
      </c>
      <c r="AV108">
        <v>177</v>
      </c>
      <c r="AW108" t="s">
        <v>74</v>
      </c>
      <c r="AX108" t="s">
        <v>74</v>
      </c>
      <c r="AY108" t="s">
        <v>74</v>
      </c>
      <c r="AZ108" t="s">
        <v>74</v>
      </c>
      <c r="BA108" t="s">
        <v>74</v>
      </c>
      <c r="BB108">
        <v>266</v>
      </c>
      <c r="BC108">
        <v>274</v>
      </c>
      <c r="BD108" t="s">
        <v>74</v>
      </c>
      <c r="BE108" t="s">
        <v>2207</v>
      </c>
      <c r="BF108" t="str">
        <f>HYPERLINK("http://dx.doi.org/10.1016/j.chemosphere.2017.03.025","http://dx.doi.org/10.1016/j.chemosphere.2017.03.025")</f>
        <v>http://dx.doi.org/10.1016/j.chemosphere.2017.03.025</v>
      </c>
      <c r="BG108" t="s">
        <v>74</v>
      </c>
      <c r="BH108" t="s">
        <v>74</v>
      </c>
      <c r="BI108">
        <v>9</v>
      </c>
      <c r="BJ108" t="s">
        <v>2189</v>
      </c>
      <c r="BK108" t="s">
        <v>103</v>
      </c>
      <c r="BL108" t="s">
        <v>993</v>
      </c>
      <c r="BM108" t="s">
        <v>2190</v>
      </c>
      <c r="BN108">
        <v>28314231</v>
      </c>
      <c r="BO108" t="s">
        <v>1100</v>
      </c>
      <c r="BP108" t="s">
        <v>74</v>
      </c>
      <c r="BQ108" t="s">
        <v>74</v>
      </c>
      <c r="BR108" t="s">
        <v>106</v>
      </c>
      <c r="BS108" t="s">
        <v>2208</v>
      </c>
      <c r="BT108" t="str">
        <f>HYPERLINK("https%3A%2F%2Fwww.webofscience.com%2Fwos%2Fwoscc%2Ffull-record%2FWOS:000399266600032","View Full Record in Web of Science")</f>
        <v>View Full Record in Web of Science</v>
      </c>
    </row>
    <row r="109" spans="1:72" x14ac:dyDescent="0.15">
      <c r="A109" t="s">
        <v>72</v>
      </c>
      <c r="B109" t="s">
        <v>2209</v>
      </c>
      <c r="C109" t="s">
        <v>74</v>
      </c>
      <c r="D109" t="s">
        <v>74</v>
      </c>
      <c r="E109" t="s">
        <v>74</v>
      </c>
      <c r="F109" t="s">
        <v>2210</v>
      </c>
      <c r="G109" t="s">
        <v>74</v>
      </c>
      <c r="H109" t="s">
        <v>74</v>
      </c>
      <c r="I109" t="s">
        <v>2211</v>
      </c>
      <c r="J109" t="s">
        <v>2173</v>
      </c>
      <c r="K109" t="s">
        <v>74</v>
      </c>
      <c r="L109" t="s">
        <v>74</v>
      </c>
      <c r="M109" t="s">
        <v>78</v>
      </c>
      <c r="N109" t="s">
        <v>79</v>
      </c>
      <c r="O109" t="s">
        <v>74</v>
      </c>
      <c r="P109" t="s">
        <v>74</v>
      </c>
      <c r="Q109" t="s">
        <v>74</v>
      </c>
      <c r="R109" t="s">
        <v>74</v>
      </c>
      <c r="S109" t="s">
        <v>74</v>
      </c>
      <c r="T109" t="s">
        <v>2212</v>
      </c>
      <c r="U109" t="s">
        <v>2213</v>
      </c>
      <c r="V109" t="s">
        <v>2214</v>
      </c>
      <c r="W109" t="s">
        <v>2215</v>
      </c>
      <c r="X109" t="s">
        <v>2216</v>
      </c>
      <c r="Y109" t="s">
        <v>2217</v>
      </c>
      <c r="Z109" t="s">
        <v>2218</v>
      </c>
      <c r="AA109" t="s">
        <v>2219</v>
      </c>
      <c r="AB109" t="s">
        <v>2220</v>
      </c>
      <c r="AC109" t="s">
        <v>2221</v>
      </c>
      <c r="AD109" t="s">
        <v>2222</v>
      </c>
      <c r="AE109" t="s">
        <v>2223</v>
      </c>
      <c r="AF109" t="s">
        <v>74</v>
      </c>
      <c r="AG109">
        <v>72</v>
      </c>
      <c r="AH109">
        <v>15</v>
      </c>
      <c r="AI109">
        <v>16</v>
      </c>
      <c r="AJ109">
        <v>0</v>
      </c>
      <c r="AK109">
        <v>33</v>
      </c>
      <c r="AL109" t="s">
        <v>656</v>
      </c>
      <c r="AM109" t="s">
        <v>93</v>
      </c>
      <c r="AN109" t="s">
        <v>657</v>
      </c>
      <c r="AO109" t="s">
        <v>2185</v>
      </c>
      <c r="AP109" t="s">
        <v>2186</v>
      </c>
      <c r="AQ109" t="s">
        <v>74</v>
      </c>
      <c r="AR109" t="s">
        <v>2173</v>
      </c>
      <c r="AS109" t="s">
        <v>2187</v>
      </c>
      <c r="AT109" t="s">
        <v>128</v>
      </c>
      <c r="AU109">
        <v>2017</v>
      </c>
      <c r="AV109">
        <v>176</v>
      </c>
      <c r="AW109" t="s">
        <v>74</v>
      </c>
      <c r="AX109" t="s">
        <v>74</v>
      </c>
      <c r="AY109" t="s">
        <v>74</v>
      </c>
      <c r="AZ109" t="s">
        <v>74</v>
      </c>
      <c r="BA109" t="s">
        <v>74</v>
      </c>
      <c r="BB109">
        <v>273</v>
      </c>
      <c r="BC109">
        <v>287</v>
      </c>
      <c r="BD109" t="s">
        <v>74</v>
      </c>
      <c r="BE109" t="s">
        <v>2224</v>
      </c>
      <c r="BF109" t="str">
        <f>HYPERLINK("http://dx.doi.org/10.1016/j.chemosphere.2017.02.115","http://dx.doi.org/10.1016/j.chemosphere.2017.02.115")</f>
        <v>http://dx.doi.org/10.1016/j.chemosphere.2017.02.115</v>
      </c>
      <c r="BG109" t="s">
        <v>74</v>
      </c>
      <c r="BH109" t="s">
        <v>74</v>
      </c>
      <c r="BI109">
        <v>15</v>
      </c>
      <c r="BJ109" t="s">
        <v>2189</v>
      </c>
      <c r="BK109" t="s">
        <v>103</v>
      </c>
      <c r="BL109" t="s">
        <v>993</v>
      </c>
      <c r="BM109" t="s">
        <v>2225</v>
      </c>
      <c r="BN109">
        <v>28273535</v>
      </c>
      <c r="BO109" t="s">
        <v>74</v>
      </c>
      <c r="BP109" t="s">
        <v>74</v>
      </c>
      <c r="BQ109" t="s">
        <v>74</v>
      </c>
      <c r="BR109" t="s">
        <v>106</v>
      </c>
      <c r="BS109" t="s">
        <v>2226</v>
      </c>
      <c r="BT109" t="str">
        <f>HYPERLINK("https%3A%2F%2Fwww.webofscience.com%2Fwos%2Fwoscc%2Ffull-record%2FWOS:000399849300032","View Full Record in Web of Science")</f>
        <v>View Full Record in Web of Science</v>
      </c>
    </row>
    <row r="110" spans="1:72" x14ac:dyDescent="0.15">
      <c r="A110" t="s">
        <v>72</v>
      </c>
      <c r="B110" t="s">
        <v>2227</v>
      </c>
      <c r="C110" t="s">
        <v>74</v>
      </c>
      <c r="D110" t="s">
        <v>74</v>
      </c>
      <c r="E110" t="s">
        <v>74</v>
      </c>
      <c r="F110" t="s">
        <v>2228</v>
      </c>
      <c r="G110" t="s">
        <v>74</v>
      </c>
      <c r="H110" t="s">
        <v>74</v>
      </c>
      <c r="I110" t="s">
        <v>2229</v>
      </c>
      <c r="J110" t="s">
        <v>1453</v>
      </c>
      <c r="K110" t="s">
        <v>74</v>
      </c>
      <c r="L110" t="s">
        <v>74</v>
      </c>
      <c r="M110" t="s">
        <v>78</v>
      </c>
      <c r="N110" t="s">
        <v>79</v>
      </c>
      <c r="O110" t="s">
        <v>74</v>
      </c>
      <c r="P110" t="s">
        <v>74</v>
      </c>
      <c r="Q110" t="s">
        <v>74</v>
      </c>
      <c r="R110" t="s">
        <v>74</v>
      </c>
      <c r="S110" t="s">
        <v>74</v>
      </c>
      <c r="T110" t="s">
        <v>2230</v>
      </c>
      <c r="U110" t="s">
        <v>2231</v>
      </c>
      <c r="V110" t="s">
        <v>2232</v>
      </c>
      <c r="W110" t="s">
        <v>2233</v>
      </c>
      <c r="X110" t="s">
        <v>2234</v>
      </c>
      <c r="Y110" t="s">
        <v>2235</v>
      </c>
      <c r="Z110" t="s">
        <v>2236</v>
      </c>
      <c r="AA110" t="s">
        <v>2237</v>
      </c>
      <c r="AB110" t="s">
        <v>2238</v>
      </c>
      <c r="AC110" t="s">
        <v>2239</v>
      </c>
      <c r="AD110" t="s">
        <v>2240</v>
      </c>
      <c r="AE110" t="s">
        <v>2241</v>
      </c>
      <c r="AF110" t="s">
        <v>74</v>
      </c>
      <c r="AG110">
        <v>76</v>
      </c>
      <c r="AH110">
        <v>192</v>
      </c>
      <c r="AI110">
        <v>227</v>
      </c>
      <c r="AJ110">
        <v>43</v>
      </c>
      <c r="AK110">
        <v>321</v>
      </c>
      <c r="AL110" t="s">
        <v>986</v>
      </c>
      <c r="AM110" t="s">
        <v>430</v>
      </c>
      <c r="AN110" t="s">
        <v>1663</v>
      </c>
      <c r="AO110" t="s">
        <v>1465</v>
      </c>
      <c r="AP110" t="s">
        <v>1466</v>
      </c>
      <c r="AQ110" t="s">
        <v>74</v>
      </c>
      <c r="AR110" t="s">
        <v>1453</v>
      </c>
      <c r="AS110" t="s">
        <v>1467</v>
      </c>
      <c r="AT110" t="s">
        <v>128</v>
      </c>
      <c r="AU110">
        <v>2017</v>
      </c>
      <c r="AV110">
        <v>36</v>
      </c>
      <c r="AW110">
        <v>2</v>
      </c>
      <c r="AX110" t="s">
        <v>74</v>
      </c>
      <c r="AY110" t="s">
        <v>74</v>
      </c>
      <c r="AZ110" t="s">
        <v>74</v>
      </c>
      <c r="BA110" t="s">
        <v>74</v>
      </c>
      <c r="BB110">
        <v>561</v>
      </c>
      <c r="BC110">
        <v>575</v>
      </c>
      <c r="BD110" t="s">
        <v>74</v>
      </c>
      <c r="BE110" t="s">
        <v>2242</v>
      </c>
      <c r="BF110" t="str">
        <f>HYPERLINK("http://dx.doi.org/10.1007/s00338-017-1539-z","http://dx.doi.org/10.1007/s00338-017-1539-z")</f>
        <v>http://dx.doi.org/10.1007/s00338-017-1539-z</v>
      </c>
      <c r="BG110" t="s">
        <v>74</v>
      </c>
      <c r="BH110" t="s">
        <v>74</v>
      </c>
      <c r="BI110">
        <v>15</v>
      </c>
      <c r="BJ110" t="s">
        <v>737</v>
      </c>
      <c r="BK110" t="s">
        <v>103</v>
      </c>
      <c r="BL110" t="s">
        <v>737</v>
      </c>
      <c r="BM110" t="s">
        <v>1469</v>
      </c>
      <c r="BN110" t="s">
        <v>74</v>
      </c>
      <c r="BO110" t="s">
        <v>664</v>
      </c>
      <c r="BP110" t="s">
        <v>2243</v>
      </c>
      <c r="BQ110" t="s">
        <v>2244</v>
      </c>
      <c r="BR110" t="s">
        <v>106</v>
      </c>
      <c r="BS110" t="s">
        <v>2245</v>
      </c>
      <c r="BT110" t="str">
        <f>HYPERLINK("https%3A%2F%2Fwww.webofscience.com%2Fwos%2Fwoscc%2Ffull-record%2FWOS:000401627400020","View Full Record in Web of Science")</f>
        <v>View Full Record in Web of Science</v>
      </c>
    </row>
    <row r="111" spans="1:72" x14ac:dyDescent="0.15">
      <c r="A111" t="s">
        <v>72</v>
      </c>
      <c r="B111" t="s">
        <v>2246</v>
      </c>
      <c r="C111" t="s">
        <v>74</v>
      </c>
      <c r="D111" t="s">
        <v>74</v>
      </c>
      <c r="E111" t="s">
        <v>74</v>
      </c>
      <c r="F111" t="s">
        <v>2247</v>
      </c>
      <c r="G111" t="s">
        <v>74</v>
      </c>
      <c r="H111" t="s">
        <v>74</v>
      </c>
      <c r="I111" t="s">
        <v>2248</v>
      </c>
      <c r="J111" t="s">
        <v>643</v>
      </c>
      <c r="K111" t="s">
        <v>74</v>
      </c>
      <c r="L111" t="s">
        <v>74</v>
      </c>
      <c r="M111" t="s">
        <v>78</v>
      </c>
      <c r="N111" t="s">
        <v>79</v>
      </c>
      <c r="O111" t="s">
        <v>74</v>
      </c>
      <c r="P111" t="s">
        <v>74</v>
      </c>
      <c r="Q111" t="s">
        <v>74</v>
      </c>
      <c r="R111" t="s">
        <v>74</v>
      </c>
      <c r="S111" t="s">
        <v>74</v>
      </c>
      <c r="T111" t="s">
        <v>74</v>
      </c>
      <c r="U111" t="s">
        <v>2249</v>
      </c>
      <c r="V111" t="s">
        <v>2250</v>
      </c>
      <c r="W111" t="s">
        <v>2251</v>
      </c>
      <c r="X111" t="s">
        <v>2252</v>
      </c>
      <c r="Y111" t="s">
        <v>2253</v>
      </c>
      <c r="Z111" t="s">
        <v>2254</v>
      </c>
      <c r="AA111" t="s">
        <v>2255</v>
      </c>
      <c r="AB111" t="s">
        <v>2256</v>
      </c>
      <c r="AC111" t="s">
        <v>2257</v>
      </c>
      <c r="AD111" t="s">
        <v>2258</v>
      </c>
      <c r="AE111" t="s">
        <v>2259</v>
      </c>
      <c r="AF111" t="s">
        <v>74</v>
      </c>
      <c r="AG111">
        <v>83</v>
      </c>
      <c r="AH111">
        <v>110</v>
      </c>
      <c r="AI111">
        <v>131</v>
      </c>
      <c r="AJ111">
        <v>5</v>
      </c>
      <c r="AK111">
        <v>65</v>
      </c>
      <c r="AL111" t="s">
        <v>656</v>
      </c>
      <c r="AM111" t="s">
        <v>93</v>
      </c>
      <c r="AN111" t="s">
        <v>657</v>
      </c>
      <c r="AO111" t="s">
        <v>658</v>
      </c>
      <c r="AP111" t="s">
        <v>659</v>
      </c>
      <c r="AQ111" t="s">
        <v>74</v>
      </c>
      <c r="AR111" t="s">
        <v>660</v>
      </c>
      <c r="AS111" t="s">
        <v>661</v>
      </c>
      <c r="AT111" t="s">
        <v>128</v>
      </c>
      <c r="AU111">
        <v>2017</v>
      </c>
      <c r="AV111">
        <v>124</v>
      </c>
      <c r="AW111" t="s">
        <v>74</v>
      </c>
      <c r="AX111" t="s">
        <v>74</v>
      </c>
      <c r="AY111" t="s">
        <v>74</v>
      </c>
      <c r="AZ111" t="s">
        <v>74</v>
      </c>
      <c r="BA111" t="s">
        <v>74</v>
      </c>
      <c r="BB111">
        <v>42</v>
      </c>
      <c r="BC111">
        <v>54</v>
      </c>
      <c r="BD111" t="s">
        <v>74</v>
      </c>
      <c r="BE111" t="s">
        <v>2260</v>
      </c>
      <c r="BF111" t="str">
        <f>HYPERLINK("http://dx.doi.org/10.1016/j.dsr.2017.04.014","http://dx.doi.org/10.1016/j.dsr.2017.04.014")</f>
        <v>http://dx.doi.org/10.1016/j.dsr.2017.04.014</v>
      </c>
      <c r="BG111" t="s">
        <v>74</v>
      </c>
      <c r="BH111" t="s">
        <v>74</v>
      </c>
      <c r="BI111">
        <v>13</v>
      </c>
      <c r="BJ111" t="s">
        <v>127</v>
      </c>
      <c r="BK111" t="s">
        <v>103</v>
      </c>
      <c r="BL111" t="s">
        <v>127</v>
      </c>
      <c r="BM111" t="s">
        <v>663</v>
      </c>
      <c r="BN111" t="s">
        <v>74</v>
      </c>
      <c r="BO111" t="s">
        <v>384</v>
      </c>
      <c r="BP111" t="s">
        <v>74</v>
      </c>
      <c r="BQ111" t="s">
        <v>74</v>
      </c>
      <c r="BR111" t="s">
        <v>106</v>
      </c>
      <c r="BS111" t="s">
        <v>2261</v>
      </c>
      <c r="BT111" t="str">
        <f>HYPERLINK("https%3A%2F%2Fwww.webofscience.com%2Fwos%2Fwoscc%2Ffull-record%2FWOS:000404700200004","View Full Record in Web of Science")</f>
        <v>View Full Record in Web of Science</v>
      </c>
    </row>
    <row r="112" spans="1:72" x14ac:dyDescent="0.15">
      <c r="A112" t="s">
        <v>72</v>
      </c>
      <c r="B112" t="s">
        <v>2262</v>
      </c>
      <c r="C112" t="s">
        <v>74</v>
      </c>
      <c r="D112" t="s">
        <v>74</v>
      </c>
      <c r="E112" t="s">
        <v>74</v>
      </c>
      <c r="F112" t="s">
        <v>2263</v>
      </c>
      <c r="G112" t="s">
        <v>74</v>
      </c>
      <c r="H112" t="s">
        <v>74</v>
      </c>
      <c r="I112" t="s">
        <v>2264</v>
      </c>
      <c r="J112" t="s">
        <v>895</v>
      </c>
      <c r="K112" t="s">
        <v>74</v>
      </c>
      <c r="L112" t="s">
        <v>74</v>
      </c>
      <c r="M112" t="s">
        <v>78</v>
      </c>
      <c r="N112" t="s">
        <v>333</v>
      </c>
      <c r="O112" t="s">
        <v>896</v>
      </c>
      <c r="P112" t="s">
        <v>897</v>
      </c>
      <c r="Q112" t="s">
        <v>898</v>
      </c>
      <c r="R112" t="s">
        <v>74</v>
      </c>
      <c r="S112" t="s">
        <v>74</v>
      </c>
      <c r="T112" t="s">
        <v>2265</v>
      </c>
      <c r="U112" t="s">
        <v>2266</v>
      </c>
      <c r="V112" t="s">
        <v>2267</v>
      </c>
      <c r="W112" t="s">
        <v>2268</v>
      </c>
      <c r="X112" t="s">
        <v>2269</v>
      </c>
      <c r="Y112" t="s">
        <v>2270</v>
      </c>
      <c r="Z112" t="s">
        <v>2271</v>
      </c>
      <c r="AA112" t="s">
        <v>2272</v>
      </c>
      <c r="AB112" t="s">
        <v>2273</v>
      </c>
      <c r="AC112" t="s">
        <v>2274</v>
      </c>
      <c r="AD112" t="s">
        <v>2275</v>
      </c>
      <c r="AE112" t="s">
        <v>2276</v>
      </c>
      <c r="AF112" t="s">
        <v>74</v>
      </c>
      <c r="AG112">
        <v>73</v>
      </c>
      <c r="AH112">
        <v>23</v>
      </c>
      <c r="AI112">
        <v>26</v>
      </c>
      <c r="AJ112">
        <v>2</v>
      </c>
      <c r="AK112">
        <v>24</v>
      </c>
      <c r="AL112" t="s">
        <v>656</v>
      </c>
      <c r="AM112" t="s">
        <v>93</v>
      </c>
      <c r="AN112" t="s">
        <v>657</v>
      </c>
      <c r="AO112" t="s">
        <v>911</v>
      </c>
      <c r="AP112" t="s">
        <v>912</v>
      </c>
      <c r="AQ112" t="s">
        <v>74</v>
      </c>
      <c r="AR112" t="s">
        <v>913</v>
      </c>
      <c r="AS112" t="s">
        <v>914</v>
      </c>
      <c r="AT112" t="s">
        <v>128</v>
      </c>
      <c r="AU112">
        <v>2017</v>
      </c>
      <c r="AV112">
        <v>140</v>
      </c>
      <c r="AW112" t="s">
        <v>74</v>
      </c>
      <c r="AX112" t="s">
        <v>74</v>
      </c>
      <c r="AY112" t="s">
        <v>74</v>
      </c>
      <c r="AZ112" t="s">
        <v>100</v>
      </c>
      <c r="BA112" t="s">
        <v>74</v>
      </c>
      <c r="BB112">
        <v>94</v>
      </c>
      <c r="BC112">
        <v>104</v>
      </c>
      <c r="BD112" t="s">
        <v>74</v>
      </c>
      <c r="BE112" t="s">
        <v>2277</v>
      </c>
      <c r="BF112" t="str">
        <f>HYPERLINK("http://dx.doi.org/10.1016/j.dsr2.2016.05.015","http://dx.doi.org/10.1016/j.dsr2.2016.05.015")</f>
        <v>http://dx.doi.org/10.1016/j.dsr2.2016.05.015</v>
      </c>
      <c r="BG112" t="s">
        <v>74</v>
      </c>
      <c r="BH112" t="s">
        <v>74</v>
      </c>
      <c r="BI112">
        <v>11</v>
      </c>
      <c r="BJ112" t="s">
        <v>127</v>
      </c>
      <c r="BK112" t="s">
        <v>354</v>
      </c>
      <c r="BL112" t="s">
        <v>127</v>
      </c>
      <c r="BM112" t="s">
        <v>916</v>
      </c>
      <c r="BN112" t="s">
        <v>74</v>
      </c>
      <c r="BO112" t="s">
        <v>74</v>
      </c>
      <c r="BP112" t="s">
        <v>74</v>
      </c>
      <c r="BQ112" t="s">
        <v>74</v>
      </c>
      <c r="BR112" t="s">
        <v>106</v>
      </c>
      <c r="BS112" t="s">
        <v>2278</v>
      </c>
      <c r="BT112" t="str">
        <f>HYPERLINK("https%3A%2F%2Fwww.webofscience.com%2Fwos%2Fwoscc%2Ffull-record%2FWOS:000403513400010","View Full Record in Web of Science")</f>
        <v>View Full Record in Web of Science</v>
      </c>
    </row>
    <row r="113" spans="1:72" x14ac:dyDescent="0.15">
      <c r="A113" t="s">
        <v>72</v>
      </c>
      <c r="B113" t="s">
        <v>2279</v>
      </c>
      <c r="C113" t="s">
        <v>74</v>
      </c>
      <c r="D113" t="s">
        <v>74</v>
      </c>
      <c r="E113" t="s">
        <v>74</v>
      </c>
      <c r="F113" t="s">
        <v>2280</v>
      </c>
      <c r="G113" t="s">
        <v>74</v>
      </c>
      <c r="H113" t="s">
        <v>74</v>
      </c>
      <c r="I113" t="s">
        <v>2281</v>
      </c>
      <c r="J113" t="s">
        <v>895</v>
      </c>
      <c r="K113" t="s">
        <v>74</v>
      </c>
      <c r="L113" t="s">
        <v>74</v>
      </c>
      <c r="M113" t="s">
        <v>78</v>
      </c>
      <c r="N113" t="s">
        <v>333</v>
      </c>
      <c r="O113" t="s">
        <v>896</v>
      </c>
      <c r="P113" t="s">
        <v>897</v>
      </c>
      <c r="Q113" t="s">
        <v>898</v>
      </c>
      <c r="R113" t="s">
        <v>74</v>
      </c>
      <c r="S113" t="s">
        <v>74</v>
      </c>
      <c r="T113" t="s">
        <v>2282</v>
      </c>
      <c r="U113" t="s">
        <v>2283</v>
      </c>
      <c r="V113" t="s">
        <v>2284</v>
      </c>
      <c r="W113" t="s">
        <v>2285</v>
      </c>
      <c r="X113" t="s">
        <v>2286</v>
      </c>
      <c r="Y113" t="s">
        <v>2287</v>
      </c>
      <c r="Z113" t="s">
        <v>2288</v>
      </c>
      <c r="AA113" t="s">
        <v>2289</v>
      </c>
      <c r="AB113" t="s">
        <v>2290</v>
      </c>
      <c r="AC113" t="s">
        <v>2291</v>
      </c>
      <c r="AD113" t="s">
        <v>2292</v>
      </c>
      <c r="AE113" t="s">
        <v>2293</v>
      </c>
      <c r="AF113" t="s">
        <v>74</v>
      </c>
      <c r="AG113">
        <v>73</v>
      </c>
      <c r="AH113">
        <v>28</v>
      </c>
      <c r="AI113">
        <v>30</v>
      </c>
      <c r="AJ113">
        <v>0</v>
      </c>
      <c r="AK113">
        <v>26</v>
      </c>
      <c r="AL113" t="s">
        <v>656</v>
      </c>
      <c r="AM113" t="s">
        <v>93</v>
      </c>
      <c r="AN113" t="s">
        <v>657</v>
      </c>
      <c r="AO113" t="s">
        <v>911</v>
      </c>
      <c r="AP113" t="s">
        <v>912</v>
      </c>
      <c r="AQ113" t="s">
        <v>74</v>
      </c>
      <c r="AR113" t="s">
        <v>913</v>
      </c>
      <c r="AS113" t="s">
        <v>914</v>
      </c>
      <c r="AT113" t="s">
        <v>128</v>
      </c>
      <c r="AU113">
        <v>2017</v>
      </c>
      <c r="AV113">
        <v>140</v>
      </c>
      <c r="AW113" t="s">
        <v>74</v>
      </c>
      <c r="AX113" t="s">
        <v>74</v>
      </c>
      <c r="AY113" t="s">
        <v>74</v>
      </c>
      <c r="AZ113" t="s">
        <v>100</v>
      </c>
      <c r="BA113" t="s">
        <v>74</v>
      </c>
      <c r="BB113">
        <v>171</v>
      </c>
      <c r="BC113">
        <v>181</v>
      </c>
      <c r="BD113" t="s">
        <v>74</v>
      </c>
      <c r="BE113" t="s">
        <v>2294</v>
      </c>
      <c r="BF113" t="str">
        <f>HYPERLINK("http://dx.doi.org/10.1016/j.dsr2.2016.10.009","http://dx.doi.org/10.1016/j.dsr2.2016.10.009")</f>
        <v>http://dx.doi.org/10.1016/j.dsr2.2016.10.009</v>
      </c>
      <c r="BG113" t="s">
        <v>74</v>
      </c>
      <c r="BH113" t="s">
        <v>74</v>
      </c>
      <c r="BI113">
        <v>11</v>
      </c>
      <c r="BJ113" t="s">
        <v>127</v>
      </c>
      <c r="BK113" t="s">
        <v>354</v>
      </c>
      <c r="BL113" t="s">
        <v>127</v>
      </c>
      <c r="BM113" t="s">
        <v>916</v>
      </c>
      <c r="BN113" t="s">
        <v>74</v>
      </c>
      <c r="BO113" t="s">
        <v>513</v>
      </c>
      <c r="BP113" t="s">
        <v>74</v>
      </c>
      <c r="BQ113" t="s">
        <v>74</v>
      </c>
      <c r="BR113" t="s">
        <v>106</v>
      </c>
      <c r="BS113" t="s">
        <v>2295</v>
      </c>
      <c r="BT113" t="str">
        <f>HYPERLINK("https%3A%2F%2Fwww.webofscience.com%2Fwos%2Fwoscc%2Ffull-record%2FWOS:000403513400017","View Full Record in Web of Science")</f>
        <v>View Full Record in Web of Science</v>
      </c>
    </row>
    <row r="114" spans="1:72" x14ac:dyDescent="0.15">
      <c r="A114" t="s">
        <v>72</v>
      </c>
      <c r="B114" t="s">
        <v>2296</v>
      </c>
      <c r="C114" t="s">
        <v>74</v>
      </c>
      <c r="D114" t="s">
        <v>74</v>
      </c>
      <c r="E114" t="s">
        <v>74</v>
      </c>
      <c r="F114" t="s">
        <v>2297</v>
      </c>
      <c r="G114" t="s">
        <v>74</v>
      </c>
      <c r="H114" t="s">
        <v>74</v>
      </c>
      <c r="I114" t="s">
        <v>2298</v>
      </c>
      <c r="J114" t="s">
        <v>2299</v>
      </c>
      <c r="K114" t="s">
        <v>74</v>
      </c>
      <c r="L114" t="s">
        <v>74</v>
      </c>
      <c r="M114" t="s">
        <v>78</v>
      </c>
      <c r="N114" t="s">
        <v>79</v>
      </c>
      <c r="O114" t="s">
        <v>74</v>
      </c>
      <c r="P114" t="s">
        <v>74</v>
      </c>
      <c r="Q114" t="s">
        <v>74</v>
      </c>
      <c r="R114" t="s">
        <v>74</v>
      </c>
      <c r="S114" t="s">
        <v>74</v>
      </c>
      <c r="T114" t="s">
        <v>2300</v>
      </c>
      <c r="U114" t="s">
        <v>2301</v>
      </c>
      <c r="V114" t="s">
        <v>2302</v>
      </c>
      <c r="W114" t="s">
        <v>2303</v>
      </c>
      <c r="X114" t="s">
        <v>2304</v>
      </c>
      <c r="Y114" t="s">
        <v>2305</v>
      </c>
      <c r="Z114" t="s">
        <v>2306</v>
      </c>
      <c r="AA114" t="s">
        <v>2307</v>
      </c>
      <c r="AB114" t="s">
        <v>2308</v>
      </c>
      <c r="AC114" t="s">
        <v>2309</v>
      </c>
      <c r="AD114" t="s">
        <v>2310</v>
      </c>
      <c r="AE114" t="s">
        <v>2311</v>
      </c>
      <c r="AF114" t="s">
        <v>74</v>
      </c>
      <c r="AG114">
        <v>139</v>
      </c>
      <c r="AH114">
        <v>67</v>
      </c>
      <c r="AI114">
        <v>73</v>
      </c>
      <c r="AJ114">
        <v>4</v>
      </c>
      <c r="AK114">
        <v>59</v>
      </c>
      <c r="AL114" t="s">
        <v>317</v>
      </c>
      <c r="AM114" t="s">
        <v>318</v>
      </c>
      <c r="AN114" t="s">
        <v>319</v>
      </c>
      <c r="AO114" t="s">
        <v>2312</v>
      </c>
      <c r="AP114" t="s">
        <v>2313</v>
      </c>
      <c r="AQ114" t="s">
        <v>74</v>
      </c>
      <c r="AR114" t="s">
        <v>2314</v>
      </c>
      <c r="AS114" t="s">
        <v>2315</v>
      </c>
      <c r="AT114" t="s">
        <v>128</v>
      </c>
      <c r="AU114">
        <v>2017</v>
      </c>
      <c r="AV114">
        <v>169</v>
      </c>
      <c r="AW114" t="s">
        <v>74</v>
      </c>
      <c r="AX114" t="s">
        <v>74</v>
      </c>
      <c r="AY114" t="s">
        <v>74</v>
      </c>
      <c r="AZ114" t="s">
        <v>74</v>
      </c>
      <c r="BA114" t="s">
        <v>74</v>
      </c>
      <c r="BB114">
        <v>132</v>
      </c>
      <c r="BC114">
        <v>145</v>
      </c>
      <c r="BD114" t="s">
        <v>74</v>
      </c>
      <c r="BE114" t="s">
        <v>2316</v>
      </c>
      <c r="BF114" t="str">
        <f>HYPERLINK("http://dx.doi.org/10.1016/j.earscirev.2017.04.005","http://dx.doi.org/10.1016/j.earscirev.2017.04.005")</f>
        <v>http://dx.doi.org/10.1016/j.earscirev.2017.04.005</v>
      </c>
      <c r="BG114" t="s">
        <v>74</v>
      </c>
      <c r="BH114" t="s">
        <v>74</v>
      </c>
      <c r="BI114">
        <v>14</v>
      </c>
      <c r="BJ114" t="s">
        <v>437</v>
      </c>
      <c r="BK114" t="s">
        <v>103</v>
      </c>
      <c r="BL114" t="s">
        <v>438</v>
      </c>
      <c r="BM114" t="s">
        <v>2317</v>
      </c>
      <c r="BN114" t="s">
        <v>74</v>
      </c>
      <c r="BO114" t="s">
        <v>272</v>
      </c>
      <c r="BP114" t="s">
        <v>74</v>
      </c>
      <c r="BQ114" t="s">
        <v>74</v>
      </c>
      <c r="BR114" t="s">
        <v>106</v>
      </c>
      <c r="BS114" t="s">
        <v>2318</v>
      </c>
      <c r="BT114" t="str">
        <f>HYPERLINK("https%3A%2F%2Fwww.webofscience.com%2Fwos%2Fwoscc%2Ffull-record%2FWOS:000403427800006","View Full Record in Web of Science")</f>
        <v>View Full Record in Web of Science</v>
      </c>
    </row>
    <row r="115" spans="1:72" x14ac:dyDescent="0.15">
      <c r="A115" t="s">
        <v>72</v>
      </c>
      <c r="B115" t="s">
        <v>2319</v>
      </c>
      <c r="C115" t="s">
        <v>74</v>
      </c>
      <c r="D115" t="s">
        <v>74</v>
      </c>
      <c r="E115" t="s">
        <v>74</v>
      </c>
      <c r="F115" t="s">
        <v>2320</v>
      </c>
      <c r="G115" t="s">
        <v>74</v>
      </c>
      <c r="H115" t="s">
        <v>74</v>
      </c>
      <c r="I115" t="s">
        <v>2321</v>
      </c>
      <c r="J115" t="s">
        <v>2322</v>
      </c>
      <c r="K115" t="s">
        <v>74</v>
      </c>
      <c r="L115" t="s">
        <v>74</v>
      </c>
      <c r="M115" t="s">
        <v>78</v>
      </c>
      <c r="N115" t="s">
        <v>79</v>
      </c>
      <c r="O115" t="s">
        <v>74</v>
      </c>
      <c r="P115" t="s">
        <v>74</v>
      </c>
      <c r="Q115" t="s">
        <v>74</v>
      </c>
      <c r="R115" t="s">
        <v>74</v>
      </c>
      <c r="S115" t="s">
        <v>74</v>
      </c>
      <c r="T115" t="s">
        <v>2323</v>
      </c>
      <c r="U115" t="s">
        <v>2324</v>
      </c>
      <c r="V115" t="s">
        <v>2325</v>
      </c>
      <c r="W115" t="s">
        <v>2326</v>
      </c>
      <c r="X115" t="s">
        <v>2327</v>
      </c>
      <c r="Y115" t="s">
        <v>2328</v>
      </c>
      <c r="Z115" t="s">
        <v>2329</v>
      </c>
      <c r="AA115" t="s">
        <v>2330</v>
      </c>
      <c r="AB115" t="s">
        <v>2331</v>
      </c>
      <c r="AC115" t="s">
        <v>2332</v>
      </c>
      <c r="AD115" t="s">
        <v>2332</v>
      </c>
      <c r="AE115" t="s">
        <v>2333</v>
      </c>
      <c r="AF115" t="s">
        <v>74</v>
      </c>
      <c r="AG115">
        <v>29</v>
      </c>
      <c r="AH115">
        <v>83</v>
      </c>
      <c r="AI115">
        <v>97</v>
      </c>
      <c r="AJ115">
        <v>1</v>
      </c>
      <c r="AK115">
        <v>76</v>
      </c>
      <c r="AL115" t="s">
        <v>681</v>
      </c>
      <c r="AM115" t="s">
        <v>682</v>
      </c>
      <c r="AN115" t="s">
        <v>683</v>
      </c>
      <c r="AO115" t="s">
        <v>2334</v>
      </c>
      <c r="AP115" t="s">
        <v>2335</v>
      </c>
      <c r="AQ115" t="s">
        <v>74</v>
      </c>
      <c r="AR115" t="s">
        <v>2336</v>
      </c>
      <c r="AS115" t="s">
        <v>2337</v>
      </c>
      <c r="AT115" t="s">
        <v>128</v>
      </c>
      <c r="AU115">
        <v>2017</v>
      </c>
      <c r="AV115">
        <v>27</v>
      </c>
      <c r="AW115">
        <v>4</v>
      </c>
      <c r="AX115" t="s">
        <v>74</v>
      </c>
      <c r="AY115" t="s">
        <v>74</v>
      </c>
      <c r="AZ115" t="s">
        <v>74</v>
      </c>
      <c r="BA115" t="s">
        <v>74</v>
      </c>
      <c r="BB115">
        <v>1253</v>
      </c>
      <c r="BC115">
        <v>1267</v>
      </c>
      <c r="BD115" t="s">
        <v>74</v>
      </c>
      <c r="BE115" t="s">
        <v>2338</v>
      </c>
      <c r="BF115" t="str">
        <f>HYPERLINK("http://dx.doi.org/10.1002/eap.1519","http://dx.doi.org/10.1002/eap.1519")</f>
        <v>http://dx.doi.org/10.1002/eap.1519</v>
      </c>
      <c r="BG115" t="s">
        <v>74</v>
      </c>
      <c r="BH115" t="s">
        <v>74</v>
      </c>
      <c r="BI115">
        <v>15</v>
      </c>
      <c r="BJ115" t="s">
        <v>2339</v>
      </c>
      <c r="BK115" t="s">
        <v>103</v>
      </c>
      <c r="BL115" t="s">
        <v>993</v>
      </c>
      <c r="BM115" t="s">
        <v>2340</v>
      </c>
      <c r="BN115">
        <v>28178755</v>
      </c>
      <c r="BO115" t="s">
        <v>412</v>
      </c>
      <c r="BP115" t="s">
        <v>74</v>
      </c>
      <c r="BQ115" t="s">
        <v>74</v>
      </c>
      <c r="BR115" t="s">
        <v>106</v>
      </c>
      <c r="BS115" t="s">
        <v>2341</v>
      </c>
      <c r="BT115" t="str">
        <f>HYPERLINK("https%3A%2F%2Fwww.webofscience.com%2Fwos%2Fwoscc%2Ffull-record%2FWOS:000402566600018","View Full Record in Web of Science")</f>
        <v>View Full Record in Web of Science</v>
      </c>
    </row>
    <row r="116" spans="1:72" x14ac:dyDescent="0.15">
      <c r="A116" t="s">
        <v>72</v>
      </c>
      <c r="B116" t="s">
        <v>2342</v>
      </c>
      <c r="C116" t="s">
        <v>74</v>
      </c>
      <c r="D116" t="s">
        <v>74</v>
      </c>
      <c r="E116" t="s">
        <v>74</v>
      </c>
      <c r="F116" t="s">
        <v>2343</v>
      </c>
      <c r="G116" t="s">
        <v>74</v>
      </c>
      <c r="H116" t="s">
        <v>74</v>
      </c>
      <c r="I116" t="s">
        <v>2344</v>
      </c>
      <c r="J116" t="s">
        <v>1204</v>
      </c>
      <c r="K116" t="s">
        <v>74</v>
      </c>
      <c r="L116" t="s">
        <v>74</v>
      </c>
      <c r="M116" t="s">
        <v>78</v>
      </c>
      <c r="N116" t="s">
        <v>79</v>
      </c>
      <c r="O116" t="s">
        <v>74</v>
      </c>
      <c r="P116" t="s">
        <v>74</v>
      </c>
      <c r="Q116" t="s">
        <v>74</v>
      </c>
      <c r="R116" t="s">
        <v>74</v>
      </c>
      <c r="S116" t="s">
        <v>74</v>
      </c>
      <c r="T116" t="s">
        <v>2345</v>
      </c>
      <c r="U116" t="s">
        <v>2346</v>
      </c>
      <c r="V116" t="s">
        <v>2347</v>
      </c>
      <c r="W116" t="s">
        <v>2348</v>
      </c>
      <c r="X116" t="s">
        <v>2349</v>
      </c>
      <c r="Y116" t="s">
        <v>2350</v>
      </c>
      <c r="Z116" t="s">
        <v>2351</v>
      </c>
      <c r="AA116" t="s">
        <v>2352</v>
      </c>
      <c r="AB116" t="s">
        <v>2353</v>
      </c>
      <c r="AC116" t="s">
        <v>2354</v>
      </c>
      <c r="AD116" t="s">
        <v>2355</v>
      </c>
      <c r="AE116" t="s">
        <v>2356</v>
      </c>
      <c r="AF116" t="s">
        <v>74</v>
      </c>
      <c r="AG116">
        <v>53</v>
      </c>
      <c r="AH116">
        <v>20</v>
      </c>
      <c r="AI116">
        <v>20</v>
      </c>
      <c r="AJ116">
        <v>0</v>
      </c>
      <c r="AK116">
        <v>40</v>
      </c>
      <c r="AL116" t="s">
        <v>681</v>
      </c>
      <c r="AM116" t="s">
        <v>682</v>
      </c>
      <c r="AN116" t="s">
        <v>683</v>
      </c>
      <c r="AO116" t="s">
        <v>1217</v>
      </c>
      <c r="AP116" t="s">
        <v>74</v>
      </c>
      <c r="AQ116" t="s">
        <v>74</v>
      </c>
      <c r="AR116" t="s">
        <v>1218</v>
      </c>
      <c r="AS116" t="s">
        <v>1219</v>
      </c>
      <c r="AT116" t="s">
        <v>128</v>
      </c>
      <c r="AU116">
        <v>2017</v>
      </c>
      <c r="AV116">
        <v>7</v>
      </c>
      <c r="AW116">
        <v>11</v>
      </c>
      <c r="AX116" t="s">
        <v>74</v>
      </c>
      <c r="AY116" t="s">
        <v>74</v>
      </c>
      <c r="AZ116" t="s">
        <v>74</v>
      </c>
      <c r="BA116" t="s">
        <v>74</v>
      </c>
      <c r="BB116">
        <v>3894</v>
      </c>
      <c r="BC116">
        <v>3903</v>
      </c>
      <c r="BD116" t="s">
        <v>74</v>
      </c>
      <c r="BE116" t="s">
        <v>2357</v>
      </c>
      <c r="BF116" t="str">
        <f>HYPERLINK("http://dx.doi.org/10.1002/ece3.2833","http://dx.doi.org/10.1002/ece3.2833")</f>
        <v>http://dx.doi.org/10.1002/ece3.2833</v>
      </c>
      <c r="BG116" t="s">
        <v>74</v>
      </c>
      <c r="BH116" t="s">
        <v>74</v>
      </c>
      <c r="BI116">
        <v>10</v>
      </c>
      <c r="BJ116" t="s">
        <v>1221</v>
      </c>
      <c r="BK116" t="s">
        <v>103</v>
      </c>
      <c r="BL116" t="s">
        <v>1222</v>
      </c>
      <c r="BM116" t="s">
        <v>1223</v>
      </c>
      <c r="BN116">
        <v>28616186</v>
      </c>
      <c r="BO116" t="s">
        <v>1620</v>
      </c>
      <c r="BP116" t="s">
        <v>74</v>
      </c>
      <c r="BQ116" t="s">
        <v>74</v>
      </c>
      <c r="BR116" t="s">
        <v>106</v>
      </c>
      <c r="BS116" t="s">
        <v>2358</v>
      </c>
      <c r="BT116" t="str">
        <f>HYPERLINK("https%3A%2F%2Fwww.webofscience.com%2Fwos%2Fwoscc%2Ffull-record%2FWOS:000403273000026","View Full Record in Web of Science")</f>
        <v>View Full Record in Web of Science</v>
      </c>
    </row>
    <row r="117" spans="1:72" x14ac:dyDescent="0.15">
      <c r="A117" t="s">
        <v>72</v>
      </c>
      <c r="B117" t="s">
        <v>2359</v>
      </c>
      <c r="C117" t="s">
        <v>74</v>
      </c>
      <c r="D117" t="s">
        <v>74</v>
      </c>
      <c r="E117" t="s">
        <v>74</v>
      </c>
      <c r="F117" t="s">
        <v>2360</v>
      </c>
      <c r="G117" t="s">
        <v>74</v>
      </c>
      <c r="H117" t="s">
        <v>74</v>
      </c>
      <c r="I117" t="s">
        <v>2361</v>
      </c>
      <c r="J117" t="s">
        <v>951</v>
      </c>
      <c r="K117" t="s">
        <v>74</v>
      </c>
      <c r="L117" t="s">
        <v>74</v>
      </c>
      <c r="M117" t="s">
        <v>78</v>
      </c>
      <c r="N117" t="s">
        <v>79</v>
      </c>
      <c r="O117" t="s">
        <v>74</v>
      </c>
      <c r="P117" t="s">
        <v>74</v>
      </c>
      <c r="Q117" t="s">
        <v>74</v>
      </c>
      <c r="R117" t="s">
        <v>74</v>
      </c>
      <c r="S117" t="s">
        <v>74</v>
      </c>
      <c r="T117" t="s">
        <v>74</v>
      </c>
      <c r="U117" t="s">
        <v>2362</v>
      </c>
      <c r="V117" t="s">
        <v>2363</v>
      </c>
      <c r="W117" t="s">
        <v>2364</v>
      </c>
      <c r="X117" t="s">
        <v>2365</v>
      </c>
      <c r="Y117" t="s">
        <v>2366</v>
      </c>
      <c r="Z117" t="s">
        <v>2367</v>
      </c>
      <c r="AA117" t="s">
        <v>2368</v>
      </c>
      <c r="AB117" t="s">
        <v>2369</v>
      </c>
      <c r="AC117" t="s">
        <v>2370</v>
      </c>
      <c r="AD117" t="s">
        <v>2371</v>
      </c>
      <c r="AE117" t="s">
        <v>2372</v>
      </c>
      <c r="AF117" t="s">
        <v>74</v>
      </c>
      <c r="AG117">
        <v>84</v>
      </c>
      <c r="AH117">
        <v>23</v>
      </c>
      <c r="AI117">
        <v>28</v>
      </c>
      <c r="AJ117">
        <v>2</v>
      </c>
      <c r="AK117">
        <v>43</v>
      </c>
      <c r="AL117" t="s">
        <v>681</v>
      </c>
      <c r="AM117" t="s">
        <v>682</v>
      </c>
      <c r="AN117" t="s">
        <v>683</v>
      </c>
      <c r="AO117" t="s">
        <v>963</v>
      </c>
      <c r="AP117" t="s">
        <v>964</v>
      </c>
      <c r="AQ117" t="s">
        <v>74</v>
      </c>
      <c r="AR117" t="s">
        <v>965</v>
      </c>
      <c r="AS117" t="s">
        <v>966</v>
      </c>
      <c r="AT117" t="s">
        <v>128</v>
      </c>
      <c r="AU117">
        <v>2017</v>
      </c>
      <c r="AV117">
        <v>19</v>
      </c>
      <c r="AW117">
        <v>6</v>
      </c>
      <c r="AX117" t="s">
        <v>74</v>
      </c>
      <c r="AY117" t="s">
        <v>74</v>
      </c>
      <c r="AZ117" t="s">
        <v>100</v>
      </c>
      <c r="BA117" t="s">
        <v>74</v>
      </c>
      <c r="BB117">
        <v>2258</v>
      </c>
      <c r="BC117">
        <v>2271</v>
      </c>
      <c r="BD117" t="s">
        <v>74</v>
      </c>
      <c r="BE117" t="s">
        <v>2373</v>
      </c>
      <c r="BF117" t="str">
        <f>HYPERLINK("http://dx.doi.org/10.1111/1462-2920.13721","http://dx.doi.org/10.1111/1462-2920.13721")</f>
        <v>http://dx.doi.org/10.1111/1462-2920.13721</v>
      </c>
      <c r="BG117" t="s">
        <v>74</v>
      </c>
      <c r="BH117" t="s">
        <v>74</v>
      </c>
      <c r="BI117">
        <v>14</v>
      </c>
      <c r="BJ117" t="s">
        <v>410</v>
      </c>
      <c r="BK117" t="s">
        <v>103</v>
      </c>
      <c r="BL117" t="s">
        <v>410</v>
      </c>
      <c r="BM117" t="s">
        <v>968</v>
      </c>
      <c r="BN117">
        <v>28276129</v>
      </c>
      <c r="BO117" t="s">
        <v>1100</v>
      </c>
      <c r="BP117" t="s">
        <v>74</v>
      </c>
      <c r="BQ117" t="s">
        <v>74</v>
      </c>
      <c r="BR117" t="s">
        <v>106</v>
      </c>
      <c r="BS117" t="s">
        <v>2374</v>
      </c>
      <c r="BT117" t="str">
        <f>HYPERLINK("https%3A%2F%2Fwww.webofscience.com%2Fwos%2Fwoscc%2Ffull-record%2FWOS:000404007700015","View Full Record in Web of Science")</f>
        <v>View Full Record in Web of Science</v>
      </c>
    </row>
    <row r="118" spans="1:72" x14ac:dyDescent="0.15">
      <c r="A118" t="s">
        <v>72</v>
      </c>
      <c r="B118" t="s">
        <v>2375</v>
      </c>
      <c r="C118" t="s">
        <v>74</v>
      </c>
      <c r="D118" t="s">
        <v>74</v>
      </c>
      <c r="E118" t="s">
        <v>74</v>
      </c>
      <c r="F118" t="s">
        <v>2376</v>
      </c>
      <c r="G118" t="s">
        <v>74</v>
      </c>
      <c r="H118" t="s">
        <v>74</v>
      </c>
      <c r="I118" t="s">
        <v>2377</v>
      </c>
      <c r="J118" t="s">
        <v>951</v>
      </c>
      <c r="K118" t="s">
        <v>74</v>
      </c>
      <c r="L118" t="s">
        <v>74</v>
      </c>
      <c r="M118" t="s">
        <v>78</v>
      </c>
      <c r="N118" t="s">
        <v>79</v>
      </c>
      <c r="O118" t="s">
        <v>74</v>
      </c>
      <c r="P118" t="s">
        <v>74</v>
      </c>
      <c r="Q118" t="s">
        <v>74</v>
      </c>
      <c r="R118" t="s">
        <v>74</v>
      </c>
      <c r="S118" t="s">
        <v>74</v>
      </c>
      <c r="T118" t="s">
        <v>74</v>
      </c>
      <c r="U118" t="s">
        <v>2378</v>
      </c>
      <c r="V118" t="s">
        <v>2379</v>
      </c>
      <c r="W118" t="s">
        <v>2380</v>
      </c>
      <c r="X118" t="s">
        <v>2381</v>
      </c>
      <c r="Y118" t="s">
        <v>2382</v>
      </c>
      <c r="Z118" t="s">
        <v>2383</v>
      </c>
      <c r="AA118" t="s">
        <v>2384</v>
      </c>
      <c r="AB118" t="s">
        <v>2385</v>
      </c>
      <c r="AC118" t="s">
        <v>2386</v>
      </c>
      <c r="AD118" t="s">
        <v>2387</v>
      </c>
      <c r="AE118" t="s">
        <v>2388</v>
      </c>
      <c r="AF118" t="s">
        <v>74</v>
      </c>
      <c r="AG118">
        <v>63</v>
      </c>
      <c r="AH118">
        <v>33</v>
      </c>
      <c r="AI118">
        <v>35</v>
      </c>
      <c r="AJ118">
        <v>2</v>
      </c>
      <c r="AK118">
        <v>21</v>
      </c>
      <c r="AL118" t="s">
        <v>681</v>
      </c>
      <c r="AM118" t="s">
        <v>682</v>
      </c>
      <c r="AN118" t="s">
        <v>683</v>
      </c>
      <c r="AO118" t="s">
        <v>963</v>
      </c>
      <c r="AP118" t="s">
        <v>964</v>
      </c>
      <c r="AQ118" t="s">
        <v>74</v>
      </c>
      <c r="AR118" t="s">
        <v>965</v>
      </c>
      <c r="AS118" t="s">
        <v>966</v>
      </c>
      <c r="AT118" t="s">
        <v>128</v>
      </c>
      <c r="AU118">
        <v>2017</v>
      </c>
      <c r="AV118">
        <v>19</v>
      </c>
      <c r="AW118">
        <v>6</v>
      </c>
      <c r="AX118" t="s">
        <v>74</v>
      </c>
      <c r="AY118" t="s">
        <v>74</v>
      </c>
      <c r="AZ118" t="s">
        <v>100</v>
      </c>
      <c r="BA118" t="s">
        <v>74</v>
      </c>
      <c r="BB118">
        <v>2320</v>
      </c>
      <c r="BC118">
        <v>2333</v>
      </c>
      <c r="BD118" t="s">
        <v>74</v>
      </c>
      <c r="BE118" t="s">
        <v>2389</v>
      </c>
      <c r="BF118" t="str">
        <f>HYPERLINK("http://dx.doi.org/10.1111/1462-2920.13726","http://dx.doi.org/10.1111/1462-2920.13726")</f>
        <v>http://dx.doi.org/10.1111/1462-2920.13726</v>
      </c>
      <c r="BG118" t="s">
        <v>74</v>
      </c>
      <c r="BH118" t="s">
        <v>74</v>
      </c>
      <c r="BI118">
        <v>14</v>
      </c>
      <c r="BJ118" t="s">
        <v>410</v>
      </c>
      <c r="BK118" t="s">
        <v>103</v>
      </c>
      <c r="BL118" t="s">
        <v>410</v>
      </c>
      <c r="BM118" t="s">
        <v>968</v>
      </c>
      <c r="BN118">
        <v>28276126</v>
      </c>
      <c r="BO118" t="s">
        <v>2390</v>
      </c>
      <c r="BP118" t="s">
        <v>74</v>
      </c>
      <c r="BQ118" t="s">
        <v>74</v>
      </c>
      <c r="BR118" t="s">
        <v>106</v>
      </c>
      <c r="BS118" t="s">
        <v>2391</v>
      </c>
      <c r="BT118" t="str">
        <f>HYPERLINK("https%3A%2F%2Fwww.webofscience.com%2Fwos%2Fwoscc%2Ffull-record%2FWOS:000404007700019","View Full Record in Web of Science")</f>
        <v>View Full Record in Web of Science</v>
      </c>
    </row>
    <row r="119" spans="1:72" x14ac:dyDescent="0.15">
      <c r="A119" t="s">
        <v>72</v>
      </c>
      <c r="B119" t="s">
        <v>2392</v>
      </c>
      <c r="C119" t="s">
        <v>74</v>
      </c>
      <c r="D119" t="s">
        <v>74</v>
      </c>
      <c r="E119" t="s">
        <v>74</v>
      </c>
      <c r="F119" t="s">
        <v>2393</v>
      </c>
      <c r="G119" t="s">
        <v>74</v>
      </c>
      <c r="H119" t="s">
        <v>74</v>
      </c>
      <c r="I119" t="s">
        <v>2394</v>
      </c>
      <c r="J119" t="s">
        <v>2395</v>
      </c>
      <c r="K119" t="s">
        <v>74</v>
      </c>
      <c r="L119" t="s">
        <v>74</v>
      </c>
      <c r="M119" t="s">
        <v>78</v>
      </c>
      <c r="N119" t="s">
        <v>79</v>
      </c>
      <c r="O119" t="s">
        <v>74</v>
      </c>
      <c r="P119" t="s">
        <v>74</v>
      </c>
      <c r="Q119" t="s">
        <v>74</v>
      </c>
      <c r="R119" t="s">
        <v>74</v>
      </c>
      <c r="S119" t="s">
        <v>74</v>
      </c>
      <c r="T119" t="s">
        <v>2396</v>
      </c>
      <c r="U119" t="s">
        <v>74</v>
      </c>
      <c r="V119" t="s">
        <v>2397</v>
      </c>
      <c r="W119" t="s">
        <v>2398</v>
      </c>
      <c r="X119" t="s">
        <v>2399</v>
      </c>
      <c r="Y119" t="s">
        <v>2400</v>
      </c>
      <c r="Z119" t="s">
        <v>2401</v>
      </c>
      <c r="AA119" t="s">
        <v>2402</v>
      </c>
      <c r="AB119" t="s">
        <v>74</v>
      </c>
      <c r="AC119" t="s">
        <v>2403</v>
      </c>
      <c r="AD119" t="s">
        <v>2404</v>
      </c>
      <c r="AE119" t="s">
        <v>2405</v>
      </c>
      <c r="AF119" t="s">
        <v>74</v>
      </c>
      <c r="AG119">
        <v>51</v>
      </c>
      <c r="AH119">
        <v>29</v>
      </c>
      <c r="AI119">
        <v>37</v>
      </c>
      <c r="AJ119">
        <v>4</v>
      </c>
      <c r="AK119">
        <v>58</v>
      </c>
      <c r="AL119" t="s">
        <v>374</v>
      </c>
      <c r="AM119" t="s">
        <v>93</v>
      </c>
      <c r="AN119" t="s">
        <v>375</v>
      </c>
      <c r="AO119" t="s">
        <v>2406</v>
      </c>
      <c r="AP119" t="s">
        <v>2407</v>
      </c>
      <c r="AQ119" t="s">
        <v>74</v>
      </c>
      <c r="AR119" t="s">
        <v>2408</v>
      </c>
      <c r="AS119" t="s">
        <v>2409</v>
      </c>
      <c r="AT119" t="s">
        <v>128</v>
      </c>
      <c r="AU119">
        <v>2017</v>
      </c>
      <c r="AV119">
        <v>72</v>
      </c>
      <c r="AW119" t="s">
        <v>74</v>
      </c>
      <c r="AX119" t="s">
        <v>74</v>
      </c>
      <c r="AY119" t="s">
        <v>74</v>
      </c>
      <c r="AZ119" t="s">
        <v>74</v>
      </c>
      <c r="BA119" t="s">
        <v>74</v>
      </c>
      <c r="BB119">
        <v>41</v>
      </c>
      <c r="BC119">
        <v>51</v>
      </c>
      <c r="BD119" t="s">
        <v>74</v>
      </c>
      <c r="BE119" t="s">
        <v>2410</v>
      </c>
      <c r="BF119" t="str">
        <f>HYPERLINK("http://dx.doi.org/10.1016/j.envsci.2017.02.009","http://dx.doi.org/10.1016/j.envsci.2017.02.009")</f>
        <v>http://dx.doi.org/10.1016/j.envsci.2017.02.009</v>
      </c>
      <c r="BG119" t="s">
        <v>74</v>
      </c>
      <c r="BH119" t="s">
        <v>74</v>
      </c>
      <c r="BI119">
        <v>11</v>
      </c>
      <c r="BJ119" t="s">
        <v>2189</v>
      </c>
      <c r="BK119" t="s">
        <v>103</v>
      </c>
      <c r="BL119" t="s">
        <v>993</v>
      </c>
      <c r="BM119" t="s">
        <v>2411</v>
      </c>
      <c r="BN119" t="s">
        <v>74</v>
      </c>
      <c r="BO119" t="s">
        <v>1100</v>
      </c>
      <c r="BP119" t="s">
        <v>74</v>
      </c>
      <c r="BQ119" t="s">
        <v>74</v>
      </c>
      <c r="BR119" t="s">
        <v>106</v>
      </c>
      <c r="BS119" t="s">
        <v>2412</v>
      </c>
      <c r="BT119" t="str">
        <f>HYPERLINK("https%3A%2F%2Fwww.webofscience.com%2Fwos%2Fwoscc%2Ffull-record%2FWOS:000401679700006","View Full Record in Web of Science")</f>
        <v>View Full Record in Web of Science</v>
      </c>
    </row>
    <row r="120" spans="1:72" x14ac:dyDescent="0.15">
      <c r="A120" t="s">
        <v>72</v>
      </c>
      <c r="B120" t="s">
        <v>2413</v>
      </c>
      <c r="C120" t="s">
        <v>74</v>
      </c>
      <c r="D120" t="s">
        <v>74</v>
      </c>
      <c r="E120" t="s">
        <v>74</v>
      </c>
      <c r="F120" t="s">
        <v>2414</v>
      </c>
      <c r="G120" t="s">
        <v>74</v>
      </c>
      <c r="H120" t="s">
        <v>74</v>
      </c>
      <c r="I120" t="s">
        <v>2415</v>
      </c>
      <c r="J120" t="s">
        <v>2416</v>
      </c>
      <c r="K120" t="s">
        <v>74</v>
      </c>
      <c r="L120" t="s">
        <v>74</v>
      </c>
      <c r="M120" t="s">
        <v>78</v>
      </c>
      <c r="N120" t="s">
        <v>79</v>
      </c>
      <c r="O120" t="s">
        <v>74</v>
      </c>
      <c r="P120" t="s">
        <v>74</v>
      </c>
      <c r="Q120" t="s">
        <v>74</v>
      </c>
      <c r="R120" t="s">
        <v>74</v>
      </c>
      <c r="S120" t="s">
        <v>74</v>
      </c>
      <c r="T120" t="s">
        <v>74</v>
      </c>
      <c r="U120" t="s">
        <v>2417</v>
      </c>
      <c r="V120" t="s">
        <v>2418</v>
      </c>
      <c r="W120" t="s">
        <v>2419</v>
      </c>
      <c r="X120" t="s">
        <v>2420</v>
      </c>
      <c r="Y120" t="s">
        <v>2421</v>
      </c>
      <c r="Z120" t="s">
        <v>2422</v>
      </c>
      <c r="AA120" t="s">
        <v>2423</v>
      </c>
      <c r="AB120" t="s">
        <v>2424</v>
      </c>
      <c r="AC120" t="s">
        <v>2425</v>
      </c>
      <c r="AD120" t="s">
        <v>2426</v>
      </c>
      <c r="AE120" t="s">
        <v>2427</v>
      </c>
      <c r="AF120" t="s">
        <v>74</v>
      </c>
      <c r="AG120">
        <v>47</v>
      </c>
      <c r="AH120">
        <v>3</v>
      </c>
      <c r="AI120">
        <v>4</v>
      </c>
      <c r="AJ120">
        <v>1</v>
      </c>
      <c r="AK120">
        <v>23</v>
      </c>
      <c r="AL120" t="s">
        <v>986</v>
      </c>
      <c r="AM120" t="s">
        <v>430</v>
      </c>
      <c r="AN120" t="s">
        <v>987</v>
      </c>
      <c r="AO120" t="s">
        <v>2428</v>
      </c>
      <c r="AP120" t="s">
        <v>2429</v>
      </c>
      <c r="AQ120" t="s">
        <v>74</v>
      </c>
      <c r="AR120" t="s">
        <v>2430</v>
      </c>
      <c r="AS120" t="s">
        <v>2431</v>
      </c>
      <c r="AT120" t="s">
        <v>128</v>
      </c>
      <c r="AU120">
        <v>2017</v>
      </c>
      <c r="AV120">
        <v>37</v>
      </c>
      <c r="AW120">
        <v>3</v>
      </c>
      <c r="AX120" t="s">
        <v>74</v>
      </c>
      <c r="AY120" t="s">
        <v>74</v>
      </c>
      <c r="AZ120" t="s">
        <v>74</v>
      </c>
      <c r="BA120" t="s">
        <v>74</v>
      </c>
      <c r="BB120">
        <v>207</v>
      </c>
      <c r="BC120">
        <v>213</v>
      </c>
      <c r="BD120" t="s">
        <v>74</v>
      </c>
      <c r="BE120" t="s">
        <v>2432</v>
      </c>
      <c r="BF120" t="str">
        <f>HYPERLINK("http://dx.doi.org/10.1007/s00367-016-0489-8","http://dx.doi.org/10.1007/s00367-016-0489-8")</f>
        <v>http://dx.doi.org/10.1007/s00367-016-0489-8</v>
      </c>
      <c r="BG120" t="s">
        <v>74</v>
      </c>
      <c r="BH120" t="s">
        <v>74</v>
      </c>
      <c r="BI120">
        <v>7</v>
      </c>
      <c r="BJ120" t="s">
        <v>2433</v>
      </c>
      <c r="BK120" t="s">
        <v>103</v>
      </c>
      <c r="BL120" t="s">
        <v>2434</v>
      </c>
      <c r="BM120" t="s">
        <v>2435</v>
      </c>
      <c r="BN120" t="s">
        <v>74</v>
      </c>
      <c r="BO120" t="s">
        <v>74</v>
      </c>
      <c r="BP120" t="s">
        <v>74</v>
      </c>
      <c r="BQ120" t="s">
        <v>74</v>
      </c>
      <c r="BR120" t="s">
        <v>106</v>
      </c>
      <c r="BS120" t="s">
        <v>2436</v>
      </c>
      <c r="BT120" t="str">
        <f>HYPERLINK("https%3A%2F%2Fwww.webofscience.com%2Fwos%2Fwoscc%2Ffull-record%2FWOS:000401411000001","View Full Record in Web of Science")</f>
        <v>View Full Record in Web of Science</v>
      </c>
    </row>
    <row r="121" spans="1:72" x14ac:dyDescent="0.15">
      <c r="A121" t="s">
        <v>72</v>
      </c>
      <c r="B121" t="s">
        <v>2437</v>
      </c>
      <c r="C121" t="s">
        <v>74</v>
      </c>
      <c r="D121" t="s">
        <v>74</v>
      </c>
      <c r="E121" t="s">
        <v>74</v>
      </c>
      <c r="F121" t="s">
        <v>2438</v>
      </c>
      <c r="G121" t="s">
        <v>74</v>
      </c>
      <c r="H121" t="s">
        <v>74</v>
      </c>
      <c r="I121" t="s">
        <v>2439</v>
      </c>
      <c r="J121" t="s">
        <v>2440</v>
      </c>
      <c r="K121" t="s">
        <v>74</v>
      </c>
      <c r="L121" t="s">
        <v>74</v>
      </c>
      <c r="M121" t="s">
        <v>78</v>
      </c>
      <c r="N121" t="s">
        <v>79</v>
      </c>
      <c r="O121" t="s">
        <v>74</v>
      </c>
      <c r="P121" t="s">
        <v>74</v>
      </c>
      <c r="Q121" t="s">
        <v>74</v>
      </c>
      <c r="R121" t="s">
        <v>74</v>
      </c>
      <c r="S121" t="s">
        <v>74</v>
      </c>
      <c r="T121" t="s">
        <v>2441</v>
      </c>
      <c r="U121" t="s">
        <v>2442</v>
      </c>
      <c r="V121" t="s">
        <v>2443</v>
      </c>
      <c r="W121" t="s">
        <v>2444</v>
      </c>
      <c r="X121" t="s">
        <v>2445</v>
      </c>
      <c r="Y121" t="s">
        <v>2446</v>
      </c>
      <c r="Z121" t="s">
        <v>2447</v>
      </c>
      <c r="AA121" t="s">
        <v>2448</v>
      </c>
      <c r="AB121" t="s">
        <v>2449</v>
      </c>
      <c r="AC121" t="s">
        <v>2450</v>
      </c>
      <c r="AD121" t="s">
        <v>2451</v>
      </c>
      <c r="AE121" t="s">
        <v>2452</v>
      </c>
      <c r="AF121" t="s">
        <v>74</v>
      </c>
      <c r="AG121">
        <v>96</v>
      </c>
      <c r="AH121">
        <v>10</v>
      </c>
      <c r="AI121">
        <v>10</v>
      </c>
      <c r="AJ121">
        <v>0</v>
      </c>
      <c r="AK121">
        <v>3</v>
      </c>
      <c r="AL121" t="s">
        <v>2453</v>
      </c>
      <c r="AM121" t="s">
        <v>2454</v>
      </c>
      <c r="AN121" t="s">
        <v>2455</v>
      </c>
      <c r="AO121" t="s">
        <v>2456</v>
      </c>
      <c r="AP121" t="s">
        <v>2457</v>
      </c>
      <c r="AQ121" t="s">
        <v>74</v>
      </c>
      <c r="AR121" t="s">
        <v>2458</v>
      </c>
      <c r="AS121" t="s">
        <v>2459</v>
      </c>
      <c r="AT121" t="s">
        <v>128</v>
      </c>
      <c r="AU121">
        <v>2017</v>
      </c>
      <c r="AV121">
        <v>50</v>
      </c>
      <c r="AW121">
        <v>3</v>
      </c>
      <c r="AX121" t="s">
        <v>74</v>
      </c>
      <c r="AY121" t="s">
        <v>74</v>
      </c>
      <c r="AZ121" t="s">
        <v>74</v>
      </c>
      <c r="BA121" t="s">
        <v>74</v>
      </c>
      <c r="BB121">
        <v>259</v>
      </c>
      <c r="BC121">
        <v>265</v>
      </c>
      <c r="BD121" t="s">
        <v>74</v>
      </c>
      <c r="BE121" t="s">
        <v>2460</v>
      </c>
      <c r="BF121" t="str">
        <f>HYPERLINK("http://dx.doi.org/10.1016/j.geobios.2017.04.001","http://dx.doi.org/10.1016/j.geobios.2017.04.001")</f>
        <v>http://dx.doi.org/10.1016/j.geobios.2017.04.001</v>
      </c>
      <c r="BG121" t="s">
        <v>74</v>
      </c>
      <c r="BH121" t="s">
        <v>74</v>
      </c>
      <c r="BI121">
        <v>7</v>
      </c>
      <c r="BJ121" t="s">
        <v>2461</v>
      </c>
      <c r="BK121" t="s">
        <v>103</v>
      </c>
      <c r="BL121" t="s">
        <v>2461</v>
      </c>
      <c r="BM121" t="s">
        <v>2462</v>
      </c>
      <c r="BN121" t="s">
        <v>74</v>
      </c>
      <c r="BO121" t="s">
        <v>105</v>
      </c>
      <c r="BP121" t="s">
        <v>74</v>
      </c>
      <c r="BQ121" t="s">
        <v>74</v>
      </c>
      <c r="BR121" t="s">
        <v>106</v>
      </c>
      <c r="BS121" t="s">
        <v>2463</v>
      </c>
      <c r="BT121" t="str">
        <f>HYPERLINK("https%3A%2F%2Fwww.webofscience.com%2Fwos%2Fwoscc%2Ffull-record%2FWOS:000405057400005","View Full Record in Web of Science")</f>
        <v>View Full Record in Web of Science</v>
      </c>
    </row>
    <row r="122" spans="1:72" x14ac:dyDescent="0.15">
      <c r="A122" t="s">
        <v>72</v>
      </c>
      <c r="B122" t="s">
        <v>2464</v>
      </c>
      <c r="C122" t="s">
        <v>74</v>
      </c>
      <c r="D122" t="s">
        <v>74</v>
      </c>
      <c r="E122" t="s">
        <v>74</v>
      </c>
      <c r="F122" t="s">
        <v>2465</v>
      </c>
      <c r="G122" t="s">
        <v>74</v>
      </c>
      <c r="H122" t="s">
        <v>74</v>
      </c>
      <c r="I122" t="s">
        <v>2466</v>
      </c>
      <c r="J122" t="s">
        <v>2467</v>
      </c>
      <c r="K122" t="s">
        <v>74</v>
      </c>
      <c r="L122" t="s">
        <v>74</v>
      </c>
      <c r="M122" t="s">
        <v>78</v>
      </c>
      <c r="N122" t="s">
        <v>518</v>
      </c>
      <c r="O122" t="s">
        <v>74</v>
      </c>
      <c r="P122" t="s">
        <v>74</v>
      </c>
      <c r="Q122" t="s">
        <v>74</v>
      </c>
      <c r="R122" t="s">
        <v>74</v>
      </c>
      <c r="S122" t="s">
        <v>74</v>
      </c>
      <c r="T122" t="s">
        <v>2468</v>
      </c>
      <c r="U122" t="s">
        <v>2469</v>
      </c>
      <c r="V122" t="s">
        <v>2470</v>
      </c>
      <c r="W122" t="s">
        <v>74</v>
      </c>
      <c r="X122" t="s">
        <v>74</v>
      </c>
      <c r="Y122" t="s">
        <v>74</v>
      </c>
      <c r="Z122" t="s">
        <v>2471</v>
      </c>
      <c r="AA122" t="s">
        <v>2472</v>
      </c>
      <c r="AB122" t="s">
        <v>2473</v>
      </c>
      <c r="AC122" t="s">
        <v>2474</v>
      </c>
      <c r="AD122" t="s">
        <v>2475</v>
      </c>
      <c r="AE122" t="s">
        <v>2476</v>
      </c>
      <c r="AF122" t="s">
        <v>74</v>
      </c>
      <c r="AG122">
        <v>245</v>
      </c>
      <c r="AH122">
        <v>117</v>
      </c>
      <c r="AI122">
        <v>133</v>
      </c>
      <c r="AJ122">
        <v>4</v>
      </c>
      <c r="AK122">
        <v>101</v>
      </c>
      <c r="AL122" t="s">
        <v>317</v>
      </c>
      <c r="AM122" t="s">
        <v>318</v>
      </c>
      <c r="AN122" t="s">
        <v>319</v>
      </c>
      <c r="AO122" t="s">
        <v>2477</v>
      </c>
      <c r="AP122" t="s">
        <v>2478</v>
      </c>
      <c r="AQ122" t="s">
        <v>74</v>
      </c>
      <c r="AR122" t="s">
        <v>2479</v>
      </c>
      <c r="AS122" t="s">
        <v>2480</v>
      </c>
      <c r="AT122" t="s">
        <v>128</v>
      </c>
      <c r="AU122">
        <v>2017</v>
      </c>
      <c r="AV122">
        <v>153</v>
      </c>
      <c r="AW122" t="s">
        <v>74</v>
      </c>
      <c r="AX122" t="s">
        <v>74</v>
      </c>
      <c r="AY122" t="s">
        <v>74</v>
      </c>
      <c r="AZ122" t="s">
        <v>74</v>
      </c>
      <c r="BA122" t="s">
        <v>74</v>
      </c>
      <c r="BB122">
        <v>16</v>
      </c>
      <c r="BC122">
        <v>34</v>
      </c>
      <c r="BD122" t="s">
        <v>74</v>
      </c>
      <c r="BE122" t="s">
        <v>2481</v>
      </c>
      <c r="BF122" t="str">
        <f>HYPERLINK("http://dx.doi.org/10.1016/j.gloplacha.2017.04.008","http://dx.doi.org/10.1016/j.gloplacha.2017.04.008")</f>
        <v>http://dx.doi.org/10.1016/j.gloplacha.2017.04.008</v>
      </c>
      <c r="BG122" t="s">
        <v>74</v>
      </c>
      <c r="BH122" t="s">
        <v>74</v>
      </c>
      <c r="BI122">
        <v>19</v>
      </c>
      <c r="BJ122" t="s">
        <v>1338</v>
      </c>
      <c r="BK122" t="s">
        <v>103</v>
      </c>
      <c r="BL122" t="s">
        <v>1339</v>
      </c>
      <c r="BM122" t="s">
        <v>2482</v>
      </c>
      <c r="BN122" t="s">
        <v>74</v>
      </c>
      <c r="BO122" t="s">
        <v>2483</v>
      </c>
      <c r="BP122" t="s">
        <v>74</v>
      </c>
      <c r="BQ122" t="s">
        <v>74</v>
      </c>
      <c r="BR122" t="s">
        <v>106</v>
      </c>
      <c r="BS122" t="s">
        <v>2484</v>
      </c>
      <c r="BT122" t="str">
        <f>HYPERLINK("https%3A%2F%2Fwww.webofscience.com%2Fwos%2Fwoscc%2Ffull-record%2FWOS:000403527800002","View Full Record in Web of Science")</f>
        <v>View Full Record in Web of Science</v>
      </c>
    </row>
    <row r="123" spans="1:72" x14ac:dyDescent="0.15">
      <c r="A123" t="s">
        <v>72</v>
      </c>
      <c r="B123" t="s">
        <v>2485</v>
      </c>
      <c r="C123" t="s">
        <v>74</v>
      </c>
      <c r="D123" t="s">
        <v>74</v>
      </c>
      <c r="E123" t="s">
        <v>74</v>
      </c>
      <c r="F123" t="s">
        <v>2486</v>
      </c>
      <c r="G123" t="s">
        <v>74</v>
      </c>
      <c r="H123" t="s">
        <v>74</v>
      </c>
      <c r="I123" t="s">
        <v>2487</v>
      </c>
      <c r="J123" t="s">
        <v>2488</v>
      </c>
      <c r="K123" t="s">
        <v>74</v>
      </c>
      <c r="L123" t="s">
        <v>74</v>
      </c>
      <c r="M123" t="s">
        <v>78</v>
      </c>
      <c r="N123" t="s">
        <v>79</v>
      </c>
      <c r="O123" t="s">
        <v>74</v>
      </c>
      <c r="P123" t="s">
        <v>74</v>
      </c>
      <c r="Q123" t="s">
        <v>74</v>
      </c>
      <c r="R123" t="s">
        <v>74</v>
      </c>
      <c r="S123" t="s">
        <v>74</v>
      </c>
      <c r="T123" t="s">
        <v>74</v>
      </c>
      <c r="U123" t="s">
        <v>2489</v>
      </c>
      <c r="V123" t="s">
        <v>2490</v>
      </c>
      <c r="W123" t="s">
        <v>2491</v>
      </c>
      <c r="X123" t="s">
        <v>2492</v>
      </c>
      <c r="Y123" t="s">
        <v>2493</v>
      </c>
      <c r="Z123" t="s">
        <v>2494</v>
      </c>
      <c r="AA123" t="s">
        <v>2495</v>
      </c>
      <c r="AB123" t="s">
        <v>2496</v>
      </c>
      <c r="AC123" t="s">
        <v>2497</v>
      </c>
      <c r="AD123" t="s">
        <v>2498</v>
      </c>
      <c r="AE123" t="s">
        <v>2499</v>
      </c>
      <c r="AF123" t="s">
        <v>74</v>
      </c>
      <c r="AG123">
        <v>44</v>
      </c>
      <c r="AH123">
        <v>39</v>
      </c>
      <c r="AI123">
        <v>41</v>
      </c>
      <c r="AJ123">
        <v>2</v>
      </c>
      <c r="AK123">
        <v>33</v>
      </c>
      <c r="AL123" t="s">
        <v>2500</v>
      </c>
      <c r="AM123" t="s">
        <v>403</v>
      </c>
      <c r="AN123" t="s">
        <v>2501</v>
      </c>
      <c r="AO123" t="s">
        <v>2502</v>
      </c>
      <c r="AP123" t="s">
        <v>2503</v>
      </c>
      <c r="AQ123" t="s">
        <v>74</v>
      </c>
      <c r="AR123" t="s">
        <v>2504</v>
      </c>
      <c r="AS123" t="s">
        <v>2505</v>
      </c>
      <c r="AT123" t="s">
        <v>128</v>
      </c>
      <c r="AU123">
        <v>2017</v>
      </c>
      <c r="AV123">
        <v>11</v>
      </c>
      <c r="AW123">
        <v>6</v>
      </c>
      <c r="AX123" t="s">
        <v>74</v>
      </c>
      <c r="AY123" t="s">
        <v>74</v>
      </c>
      <c r="AZ123" t="s">
        <v>74</v>
      </c>
      <c r="BA123" t="s">
        <v>74</v>
      </c>
      <c r="BB123">
        <v>1460</v>
      </c>
      <c r="BC123">
        <v>1471</v>
      </c>
      <c r="BD123" t="s">
        <v>74</v>
      </c>
      <c r="BE123" t="s">
        <v>2506</v>
      </c>
      <c r="BF123" t="str">
        <f>HYPERLINK("http://dx.doi.org/10.1038/ismej.2016.204","http://dx.doi.org/10.1038/ismej.2016.204")</f>
        <v>http://dx.doi.org/10.1038/ismej.2016.204</v>
      </c>
      <c r="BG123" t="s">
        <v>74</v>
      </c>
      <c r="BH123" t="s">
        <v>74</v>
      </c>
      <c r="BI123">
        <v>12</v>
      </c>
      <c r="BJ123" t="s">
        <v>2507</v>
      </c>
      <c r="BK123" t="s">
        <v>103</v>
      </c>
      <c r="BL123" t="s">
        <v>2508</v>
      </c>
      <c r="BM123" t="s">
        <v>2509</v>
      </c>
      <c r="BN123">
        <v>28106879</v>
      </c>
      <c r="BO123" t="s">
        <v>2510</v>
      </c>
      <c r="BP123" t="s">
        <v>74</v>
      </c>
      <c r="BQ123" t="s">
        <v>74</v>
      </c>
      <c r="BR123" t="s">
        <v>106</v>
      </c>
      <c r="BS123" t="s">
        <v>2511</v>
      </c>
      <c r="BT123" t="str">
        <f>HYPERLINK("https%3A%2F%2Fwww.webofscience.com%2Fwos%2Fwoscc%2Ffull-record%2FWOS:000401323100014","View Full Record in Web of Science")</f>
        <v>View Full Record in Web of Science</v>
      </c>
    </row>
    <row r="124" spans="1:72" x14ac:dyDescent="0.15">
      <c r="A124" t="s">
        <v>72</v>
      </c>
      <c r="B124" t="s">
        <v>2512</v>
      </c>
      <c r="C124" t="s">
        <v>74</v>
      </c>
      <c r="D124" t="s">
        <v>74</v>
      </c>
      <c r="E124" t="s">
        <v>74</v>
      </c>
      <c r="F124" t="s">
        <v>2513</v>
      </c>
      <c r="G124" t="s">
        <v>74</v>
      </c>
      <c r="H124" t="s">
        <v>74</v>
      </c>
      <c r="I124" t="s">
        <v>2514</v>
      </c>
      <c r="J124" t="s">
        <v>2515</v>
      </c>
      <c r="K124" t="s">
        <v>74</v>
      </c>
      <c r="L124" t="s">
        <v>74</v>
      </c>
      <c r="M124" t="s">
        <v>78</v>
      </c>
      <c r="N124" t="s">
        <v>79</v>
      </c>
      <c r="O124" t="s">
        <v>74</v>
      </c>
      <c r="P124" t="s">
        <v>74</v>
      </c>
      <c r="Q124" t="s">
        <v>74</v>
      </c>
      <c r="R124" t="s">
        <v>74</v>
      </c>
      <c r="S124" t="s">
        <v>74</v>
      </c>
      <c r="T124" t="s">
        <v>2516</v>
      </c>
      <c r="U124" t="s">
        <v>2517</v>
      </c>
      <c r="V124" t="s">
        <v>2518</v>
      </c>
      <c r="W124" t="s">
        <v>2519</v>
      </c>
      <c r="X124" t="s">
        <v>2520</v>
      </c>
      <c r="Y124" t="s">
        <v>2521</v>
      </c>
      <c r="Z124" t="s">
        <v>2522</v>
      </c>
      <c r="AA124" t="s">
        <v>2523</v>
      </c>
      <c r="AB124" t="s">
        <v>2524</v>
      </c>
      <c r="AC124" t="s">
        <v>2525</v>
      </c>
      <c r="AD124" t="s">
        <v>2526</v>
      </c>
      <c r="AE124" t="s">
        <v>2527</v>
      </c>
      <c r="AF124" t="s">
        <v>74</v>
      </c>
      <c r="AG124">
        <v>63</v>
      </c>
      <c r="AH124">
        <v>17</v>
      </c>
      <c r="AI124">
        <v>20</v>
      </c>
      <c r="AJ124">
        <v>0</v>
      </c>
      <c r="AK124">
        <v>6</v>
      </c>
      <c r="AL124" t="s">
        <v>656</v>
      </c>
      <c r="AM124" t="s">
        <v>93</v>
      </c>
      <c r="AN124" t="s">
        <v>657</v>
      </c>
      <c r="AO124" t="s">
        <v>2528</v>
      </c>
      <c r="AP124" t="s">
        <v>2529</v>
      </c>
      <c r="AQ124" t="s">
        <v>74</v>
      </c>
      <c r="AR124" t="s">
        <v>2530</v>
      </c>
      <c r="AS124" t="s">
        <v>2531</v>
      </c>
      <c r="AT124" t="s">
        <v>128</v>
      </c>
      <c r="AU124">
        <v>2017</v>
      </c>
      <c r="AV124">
        <v>130</v>
      </c>
      <c r="AW124" t="s">
        <v>74</v>
      </c>
      <c r="AX124" t="s">
        <v>74</v>
      </c>
      <c r="AY124" t="s">
        <v>74</v>
      </c>
      <c r="AZ124" t="s">
        <v>74</v>
      </c>
      <c r="BA124" t="s">
        <v>74</v>
      </c>
      <c r="BB124">
        <v>8</v>
      </c>
      <c r="BC124">
        <v>27</v>
      </c>
      <c r="BD124" t="s">
        <v>74</v>
      </c>
      <c r="BE124" t="s">
        <v>2532</v>
      </c>
      <c r="BF124" t="str">
        <f>HYPERLINK("http://dx.doi.org/10.1016/j.jafrearsci.2017.03.003","http://dx.doi.org/10.1016/j.jafrearsci.2017.03.003")</f>
        <v>http://dx.doi.org/10.1016/j.jafrearsci.2017.03.003</v>
      </c>
      <c r="BG124" t="s">
        <v>74</v>
      </c>
      <c r="BH124" t="s">
        <v>74</v>
      </c>
      <c r="BI124">
        <v>20</v>
      </c>
      <c r="BJ124" t="s">
        <v>437</v>
      </c>
      <c r="BK124" t="s">
        <v>103</v>
      </c>
      <c r="BL124" t="s">
        <v>438</v>
      </c>
      <c r="BM124" t="s">
        <v>2533</v>
      </c>
      <c r="BN124" t="s">
        <v>74</v>
      </c>
      <c r="BO124" t="s">
        <v>74</v>
      </c>
      <c r="BP124" t="s">
        <v>74</v>
      </c>
      <c r="BQ124" t="s">
        <v>74</v>
      </c>
      <c r="BR124" t="s">
        <v>106</v>
      </c>
      <c r="BS124" t="s">
        <v>2534</v>
      </c>
      <c r="BT124" t="str">
        <f>HYPERLINK("https%3A%2F%2Fwww.webofscience.com%2Fwos%2Fwoscc%2Ffull-record%2FWOS:000403515500002","View Full Record in Web of Science")</f>
        <v>View Full Record in Web of Science</v>
      </c>
    </row>
    <row r="125" spans="1:72" x14ac:dyDescent="0.15">
      <c r="A125" t="s">
        <v>72</v>
      </c>
      <c r="B125" t="s">
        <v>2535</v>
      </c>
      <c r="C125" t="s">
        <v>74</v>
      </c>
      <c r="D125" t="s">
        <v>74</v>
      </c>
      <c r="E125" t="s">
        <v>74</v>
      </c>
      <c r="F125" t="s">
        <v>2536</v>
      </c>
      <c r="G125" t="s">
        <v>74</v>
      </c>
      <c r="H125" t="s">
        <v>74</v>
      </c>
      <c r="I125" t="s">
        <v>2537</v>
      </c>
      <c r="J125" t="s">
        <v>2538</v>
      </c>
      <c r="K125" t="s">
        <v>74</v>
      </c>
      <c r="L125" t="s">
        <v>74</v>
      </c>
      <c r="M125" t="s">
        <v>78</v>
      </c>
      <c r="N125" t="s">
        <v>79</v>
      </c>
      <c r="O125" t="s">
        <v>74</v>
      </c>
      <c r="P125" t="s">
        <v>74</v>
      </c>
      <c r="Q125" t="s">
        <v>74</v>
      </c>
      <c r="R125" t="s">
        <v>74</v>
      </c>
      <c r="S125" t="s">
        <v>74</v>
      </c>
      <c r="T125" t="s">
        <v>2539</v>
      </c>
      <c r="U125" t="s">
        <v>2540</v>
      </c>
      <c r="V125" t="s">
        <v>2541</v>
      </c>
      <c r="W125" t="s">
        <v>2542</v>
      </c>
      <c r="X125" t="s">
        <v>2543</v>
      </c>
      <c r="Y125" t="s">
        <v>2544</v>
      </c>
      <c r="Z125" t="s">
        <v>2545</v>
      </c>
      <c r="AA125" t="s">
        <v>2546</v>
      </c>
      <c r="AB125" t="s">
        <v>2547</v>
      </c>
      <c r="AC125" t="s">
        <v>2548</v>
      </c>
      <c r="AD125" t="s">
        <v>2549</v>
      </c>
      <c r="AE125" t="s">
        <v>2550</v>
      </c>
      <c r="AF125" t="s">
        <v>74</v>
      </c>
      <c r="AG125">
        <v>8</v>
      </c>
      <c r="AH125">
        <v>0</v>
      </c>
      <c r="AI125">
        <v>0</v>
      </c>
      <c r="AJ125">
        <v>2</v>
      </c>
      <c r="AK125">
        <v>7</v>
      </c>
      <c r="AL125" t="s">
        <v>2551</v>
      </c>
      <c r="AM125" t="s">
        <v>2552</v>
      </c>
      <c r="AN125" t="s">
        <v>2553</v>
      </c>
      <c r="AO125" t="s">
        <v>2554</v>
      </c>
      <c r="AP125" t="s">
        <v>2555</v>
      </c>
      <c r="AQ125" t="s">
        <v>74</v>
      </c>
      <c r="AR125" t="s">
        <v>2556</v>
      </c>
      <c r="AS125" t="s">
        <v>2557</v>
      </c>
      <c r="AT125" t="s">
        <v>128</v>
      </c>
      <c r="AU125">
        <v>2017</v>
      </c>
      <c r="AV125">
        <v>6</v>
      </c>
      <c r="AW125">
        <v>2</v>
      </c>
      <c r="AX125" t="s">
        <v>74</v>
      </c>
      <c r="AY125" t="s">
        <v>74</v>
      </c>
      <c r="AZ125" t="s">
        <v>100</v>
      </c>
      <c r="BA125" t="s">
        <v>74</v>
      </c>
      <c r="BB125" t="s">
        <v>74</v>
      </c>
      <c r="BC125" t="s">
        <v>74</v>
      </c>
      <c r="BD125" t="s">
        <v>2558</v>
      </c>
      <c r="BE125" t="s">
        <v>2559</v>
      </c>
      <c r="BF125" t="str">
        <f>HYPERLINK("http://dx.doi.org/10.1142/S2251171717400049","http://dx.doi.org/10.1142/S2251171717400049")</f>
        <v>http://dx.doi.org/10.1142/S2251171717400049</v>
      </c>
      <c r="BG125" t="s">
        <v>74</v>
      </c>
      <c r="BH125" t="s">
        <v>74</v>
      </c>
      <c r="BI125">
        <v>10</v>
      </c>
      <c r="BJ125" t="s">
        <v>494</v>
      </c>
      <c r="BK125" t="s">
        <v>1794</v>
      </c>
      <c r="BL125" t="s">
        <v>494</v>
      </c>
      <c r="BM125" t="s">
        <v>2560</v>
      </c>
      <c r="BN125" t="s">
        <v>74</v>
      </c>
      <c r="BO125" t="s">
        <v>74</v>
      </c>
      <c r="BP125" t="s">
        <v>74</v>
      </c>
      <c r="BQ125" t="s">
        <v>74</v>
      </c>
      <c r="BR125" t="s">
        <v>106</v>
      </c>
      <c r="BS125" t="s">
        <v>2561</v>
      </c>
      <c r="BT125" t="str">
        <f>HYPERLINK("https%3A%2F%2Fwww.webofscience.com%2Fwos%2Fwoscc%2Ffull-record%2FWOS:000403433900005","View Full Record in Web of Science")</f>
        <v>View Full Record in Web of Science</v>
      </c>
    </row>
    <row r="126" spans="1:72" x14ac:dyDescent="0.15">
      <c r="A126" t="s">
        <v>72</v>
      </c>
      <c r="B126" t="s">
        <v>2562</v>
      </c>
      <c r="C126" t="s">
        <v>74</v>
      </c>
      <c r="D126" t="s">
        <v>74</v>
      </c>
      <c r="E126" t="s">
        <v>74</v>
      </c>
      <c r="F126" t="s">
        <v>2563</v>
      </c>
      <c r="G126" t="s">
        <v>74</v>
      </c>
      <c r="H126" t="s">
        <v>74</v>
      </c>
      <c r="I126" t="s">
        <v>2564</v>
      </c>
      <c r="J126" t="s">
        <v>2538</v>
      </c>
      <c r="K126" t="s">
        <v>74</v>
      </c>
      <c r="L126" t="s">
        <v>74</v>
      </c>
      <c r="M126" t="s">
        <v>78</v>
      </c>
      <c r="N126" t="s">
        <v>79</v>
      </c>
      <c r="O126" t="s">
        <v>74</v>
      </c>
      <c r="P126" t="s">
        <v>74</v>
      </c>
      <c r="Q126" t="s">
        <v>74</v>
      </c>
      <c r="R126" t="s">
        <v>74</v>
      </c>
      <c r="S126" t="s">
        <v>74</v>
      </c>
      <c r="T126" t="s">
        <v>2565</v>
      </c>
      <c r="U126" t="s">
        <v>2566</v>
      </c>
      <c r="V126" t="s">
        <v>2567</v>
      </c>
      <c r="W126" t="s">
        <v>2568</v>
      </c>
      <c r="X126" t="s">
        <v>2569</v>
      </c>
      <c r="Y126" t="s">
        <v>2570</v>
      </c>
      <c r="Z126" t="s">
        <v>2571</v>
      </c>
      <c r="AA126" t="s">
        <v>2572</v>
      </c>
      <c r="AB126" t="s">
        <v>2573</v>
      </c>
      <c r="AC126" t="s">
        <v>2574</v>
      </c>
      <c r="AD126" t="s">
        <v>2575</v>
      </c>
      <c r="AE126" t="s">
        <v>2576</v>
      </c>
      <c r="AF126" t="s">
        <v>74</v>
      </c>
      <c r="AG126">
        <v>20</v>
      </c>
      <c r="AH126">
        <v>12</v>
      </c>
      <c r="AI126">
        <v>16</v>
      </c>
      <c r="AJ126">
        <v>0</v>
      </c>
      <c r="AK126">
        <v>4</v>
      </c>
      <c r="AL126" t="s">
        <v>2551</v>
      </c>
      <c r="AM126" t="s">
        <v>2552</v>
      </c>
      <c r="AN126" t="s">
        <v>2553</v>
      </c>
      <c r="AO126" t="s">
        <v>2554</v>
      </c>
      <c r="AP126" t="s">
        <v>2555</v>
      </c>
      <c r="AQ126" t="s">
        <v>74</v>
      </c>
      <c r="AR126" t="s">
        <v>2556</v>
      </c>
      <c r="AS126" t="s">
        <v>2557</v>
      </c>
      <c r="AT126" t="s">
        <v>128</v>
      </c>
      <c r="AU126">
        <v>2017</v>
      </c>
      <c r="AV126">
        <v>6</v>
      </c>
      <c r="AW126">
        <v>2</v>
      </c>
      <c r="AX126" t="s">
        <v>74</v>
      </c>
      <c r="AY126" t="s">
        <v>74</v>
      </c>
      <c r="AZ126" t="s">
        <v>100</v>
      </c>
      <c r="BA126" t="s">
        <v>74</v>
      </c>
      <c r="BB126" t="s">
        <v>74</v>
      </c>
      <c r="BC126" t="s">
        <v>74</v>
      </c>
      <c r="BD126" t="s">
        <v>2577</v>
      </c>
      <c r="BE126" t="s">
        <v>2578</v>
      </c>
      <c r="BF126" t="str">
        <f>HYPERLINK("http://dx.doi.org/10.1142/S2251171717400025","http://dx.doi.org/10.1142/S2251171717400025")</f>
        <v>http://dx.doi.org/10.1142/S2251171717400025</v>
      </c>
      <c r="BG126" t="s">
        <v>74</v>
      </c>
      <c r="BH126" t="s">
        <v>74</v>
      </c>
      <c r="BI126">
        <v>15</v>
      </c>
      <c r="BJ126" t="s">
        <v>494</v>
      </c>
      <c r="BK126" t="s">
        <v>1794</v>
      </c>
      <c r="BL126" t="s">
        <v>494</v>
      </c>
      <c r="BM126" t="s">
        <v>2560</v>
      </c>
      <c r="BN126" t="s">
        <v>74</v>
      </c>
      <c r="BO126" t="s">
        <v>1538</v>
      </c>
      <c r="BP126" t="s">
        <v>74</v>
      </c>
      <c r="BQ126" t="s">
        <v>74</v>
      </c>
      <c r="BR126" t="s">
        <v>106</v>
      </c>
      <c r="BS126" t="s">
        <v>2579</v>
      </c>
      <c r="BT126" t="str">
        <f>HYPERLINK("https%3A%2F%2Fwww.webofscience.com%2Fwos%2Fwoscc%2Ffull-record%2FWOS:000403433900003","View Full Record in Web of Science")</f>
        <v>View Full Record in Web of Science</v>
      </c>
    </row>
    <row r="127" spans="1:72" x14ac:dyDescent="0.15">
      <c r="A127" t="s">
        <v>72</v>
      </c>
      <c r="B127" t="s">
        <v>2580</v>
      </c>
      <c r="C127" t="s">
        <v>74</v>
      </c>
      <c r="D127" t="s">
        <v>74</v>
      </c>
      <c r="E127" t="s">
        <v>74</v>
      </c>
      <c r="F127" t="s">
        <v>2581</v>
      </c>
      <c r="G127" t="s">
        <v>74</v>
      </c>
      <c r="H127" t="s">
        <v>74</v>
      </c>
      <c r="I127" t="s">
        <v>2582</v>
      </c>
      <c r="J127" t="s">
        <v>2583</v>
      </c>
      <c r="K127" t="s">
        <v>74</v>
      </c>
      <c r="L127" t="s">
        <v>74</v>
      </c>
      <c r="M127" t="s">
        <v>78</v>
      </c>
      <c r="N127" t="s">
        <v>79</v>
      </c>
      <c r="O127" t="s">
        <v>74</v>
      </c>
      <c r="P127" t="s">
        <v>74</v>
      </c>
      <c r="Q127" t="s">
        <v>74</v>
      </c>
      <c r="R127" t="s">
        <v>74</v>
      </c>
      <c r="S127" t="s">
        <v>74</v>
      </c>
      <c r="T127" t="s">
        <v>74</v>
      </c>
      <c r="U127" t="s">
        <v>2584</v>
      </c>
      <c r="V127" t="s">
        <v>2585</v>
      </c>
      <c r="W127" t="s">
        <v>2586</v>
      </c>
      <c r="X127" t="s">
        <v>2587</v>
      </c>
      <c r="Y127" t="s">
        <v>2588</v>
      </c>
      <c r="Z127" t="s">
        <v>2589</v>
      </c>
      <c r="AA127" t="s">
        <v>74</v>
      </c>
      <c r="AB127" t="s">
        <v>74</v>
      </c>
      <c r="AC127" t="s">
        <v>2590</v>
      </c>
      <c r="AD127" t="s">
        <v>2591</v>
      </c>
      <c r="AE127" t="s">
        <v>2592</v>
      </c>
      <c r="AF127" t="s">
        <v>74</v>
      </c>
      <c r="AG127">
        <v>31</v>
      </c>
      <c r="AH127">
        <v>2</v>
      </c>
      <c r="AI127">
        <v>3</v>
      </c>
      <c r="AJ127">
        <v>1</v>
      </c>
      <c r="AK127">
        <v>25</v>
      </c>
      <c r="AL127" t="s">
        <v>681</v>
      </c>
      <c r="AM127" t="s">
        <v>682</v>
      </c>
      <c r="AN127" t="s">
        <v>683</v>
      </c>
      <c r="AO127" t="s">
        <v>2593</v>
      </c>
      <c r="AP127" t="s">
        <v>2594</v>
      </c>
      <c r="AQ127" t="s">
        <v>74</v>
      </c>
      <c r="AR127" t="s">
        <v>2595</v>
      </c>
      <c r="AS127" t="s">
        <v>2596</v>
      </c>
      <c r="AT127" t="s">
        <v>128</v>
      </c>
      <c r="AU127">
        <v>2017</v>
      </c>
      <c r="AV127">
        <v>41</v>
      </c>
      <c r="AW127">
        <v>3</v>
      </c>
      <c r="AX127" t="s">
        <v>74</v>
      </c>
      <c r="AY127" t="s">
        <v>74</v>
      </c>
      <c r="AZ127" t="s">
        <v>74</v>
      </c>
      <c r="BA127" t="s">
        <v>74</v>
      </c>
      <c r="BB127" t="s">
        <v>74</v>
      </c>
      <c r="BC127" t="s">
        <v>74</v>
      </c>
      <c r="BD127" t="s">
        <v>2597</v>
      </c>
      <c r="BE127" t="s">
        <v>2598</v>
      </c>
      <c r="BF127" t="str">
        <f>HYPERLINK("http://dx.doi.org/10.1111/jfpp.12903","http://dx.doi.org/10.1111/jfpp.12903")</f>
        <v>http://dx.doi.org/10.1111/jfpp.12903</v>
      </c>
      <c r="BG127" t="s">
        <v>74</v>
      </c>
      <c r="BH127" t="s">
        <v>74</v>
      </c>
      <c r="BI127">
        <v>9</v>
      </c>
      <c r="BJ127" t="s">
        <v>2599</v>
      </c>
      <c r="BK127" t="s">
        <v>103</v>
      </c>
      <c r="BL127" t="s">
        <v>2599</v>
      </c>
      <c r="BM127" t="s">
        <v>2600</v>
      </c>
      <c r="BN127" t="s">
        <v>74</v>
      </c>
      <c r="BO127" t="s">
        <v>131</v>
      </c>
      <c r="BP127" t="s">
        <v>74</v>
      </c>
      <c r="BQ127" t="s">
        <v>74</v>
      </c>
      <c r="BR127" t="s">
        <v>106</v>
      </c>
      <c r="BS127" t="s">
        <v>2601</v>
      </c>
      <c r="BT127" t="str">
        <f>HYPERLINK("https%3A%2F%2Fwww.webofscience.com%2Fwos%2Fwoscc%2Ffull-record%2FWOS:000405783400018","View Full Record in Web of Science")</f>
        <v>View Full Record in Web of Science</v>
      </c>
    </row>
    <row r="128" spans="1:72" x14ac:dyDescent="0.15">
      <c r="A128" t="s">
        <v>72</v>
      </c>
      <c r="B128" t="s">
        <v>2602</v>
      </c>
      <c r="C128" t="s">
        <v>74</v>
      </c>
      <c r="D128" t="s">
        <v>74</v>
      </c>
      <c r="E128" t="s">
        <v>74</v>
      </c>
      <c r="F128" t="s">
        <v>2603</v>
      </c>
      <c r="G128" t="s">
        <v>74</v>
      </c>
      <c r="H128" t="s">
        <v>74</v>
      </c>
      <c r="I128" t="s">
        <v>2604</v>
      </c>
      <c r="J128" t="s">
        <v>210</v>
      </c>
      <c r="K128" t="s">
        <v>74</v>
      </c>
      <c r="L128" t="s">
        <v>74</v>
      </c>
      <c r="M128" t="s">
        <v>78</v>
      </c>
      <c r="N128" t="s">
        <v>79</v>
      </c>
      <c r="O128" t="s">
        <v>74</v>
      </c>
      <c r="P128" t="s">
        <v>74</v>
      </c>
      <c r="Q128" t="s">
        <v>74</v>
      </c>
      <c r="R128" t="s">
        <v>74</v>
      </c>
      <c r="S128" t="s">
        <v>74</v>
      </c>
      <c r="T128" t="s">
        <v>74</v>
      </c>
      <c r="U128" t="s">
        <v>2605</v>
      </c>
      <c r="V128" t="s">
        <v>2606</v>
      </c>
      <c r="W128" t="s">
        <v>2607</v>
      </c>
      <c r="X128" t="s">
        <v>2608</v>
      </c>
      <c r="Y128" t="s">
        <v>2609</v>
      </c>
      <c r="Z128" t="s">
        <v>2610</v>
      </c>
      <c r="AA128" t="s">
        <v>2611</v>
      </c>
      <c r="AB128" t="s">
        <v>2612</v>
      </c>
      <c r="AC128" t="s">
        <v>2613</v>
      </c>
      <c r="AD128" t="s">
        <v>2614</v>
      </c>
      <c r="AE128" t="s">
        <v>2615</v>
      </c>
      <c r="AF128" t="s">
        <v>74</v>
      </c>
      <c r="AG128">
        <v>32</v>
      </c>
      <c r="AH128">
        <v>81</v>
      </c>
      <c r="AI128">
        <v>87</v>
      </c>
      <c r="AJ128">
        <v>2</v>
      </c>
      <c r="AK128">
        <v>16</v>
      </c>
      <c r="AL128" t="s">
        <v>222</v>
      </c>
      <c r="AM128" t="s">
        <v>223</v>
      </c>
      <c r="AN128" t="s">
        <v>224</v>
      </c>
      <c r="AO128" t="s">
        <v>225</v>
      </c>
      <c r="AP128" t="s">
        <v>226</v>
      </c>
      <c r="AQ128" t="s">
        <v>74</v>
      </c>
      <c r="AR128" t="s">
        <v>227</v>
      </c>
      <c r="AS128" t="s">
        <v>228</v>
      </c>
      <c r="AT128" t="s">
        <v>128</v>
      </c>
      <c r="AU128">
        <v>2017</v>
      </c>
      <c r="AV128">
        <v>122</v>
      </c>
      <c r="AW128">
        <v>6</v>
      </c>
      <c r="AX128" t="s">
        <v>74</v>
      </c>
      <c r="AY128" t="s">
        <v>74</v>
      </c>
      <c r="AZ128" t="s">
        <v>74</v>
      </c>
      <c r="BA128" t="s">
        <v>74</v>
      </c>
      <c r="BB128">
        <v>4661</v>
      </c>
      <c r="BC128">
        <v>4674</v>
      </c>
      <c r="BD128" t="s">
        <v>74</v>
      </c>
      <c r="BE128" t="s">
        <v>2616</v>
      </c>
      <c r="BF128" t="str">
        <f>HYPERLINK("http://dx.doi.org/10.1002/2016JC012403","http://dx.doi.org/10.1002/2016JC012403")</f>
        <v>http://dx.doi.org/10.1002/2016JC012403</v>
      </c>
      <c r="BG128" t="s">
        <v>74</v>
      </c>
      <c r="BH128" t="s">
        <v>74</v>
      </c>
      <c r="BI128">
        <v>14</v>
      </c>
      <c r="BJ128" t="s">
        <v>127</v>
      </c>
      <c r="BK128" t="s">
        <v>103</v>
      </c>
      <c r="BL128" t="s">
        <v>127</v>
      </c>
      <c r="BM128" t="s">
        <v>230</v>
      </c>
      <c r="BN128" t="s">
        <v>74</v>
      </c>
      <c r="BO128" t="s">
        <v>2617</v>
      </c>
      <c r="BP128" t="s">
        <v>74</v>
      </c>
      <c r="BQ128" t="s">
        <v>74</v>
      </c>
      <c r="BR128" t="s">
        <v>106</v>
      </c>
      <c r="BS128" t="s">
        <v>2618</v>
      </c>
      <c r="BT128" t="str">
        <f>HYPERLINK("https%3A%2F%2Fwww.webofscience.com%2Fwos%2Fwoscc%2Ffull-record%2FWOS:000407088800010","View Full Record in Web of Science")</f>
        <v>View Full Record in Web of Science</v>
      </c>
    </row>
    <row r="129" spans="1:72" x14ac:dyDescent="0.15">
      <c r="A129" t="s">
        <v>72</v>
      </c>
      <c r="B129" t="s">
        <v>2619</v>
      </c>
      <c r="C129" t="s">
        <v>74</v>
      </c>
      <c r="D129" t="s">
        <v>74</v>
      </c>
      <c r="E129" t="s">
        <v>74</v>
      </c>
      <c r="F129" t="s">
        <v>2620</v>
      </c>
      <c r="G129" t="s">
        <v>74</v>
      </c>
      <c r="H129" t="s">
        <v>74</v>
      </c>
      <c r="I129" t="s">
        <v>2621</v>
      </c>
      <c r="J129" t="s">
        <v>477</v>
      </c>
      <c r="K129" t="s">
        <v>74</v>
      </c>
      <c r="L129" t="s">
        <v>74</v>
      </c>
      <c r="M129" t="s">
        <v>78</v>
      </c>
      <c r="N129" t="s">
        <v>79</v>
      </c>
      <c r="O129" t="s">
        <v>74</v>
      </c>
      <c r="P129" t="s">
        <v>74</v>
      </c>
      <c r="Q129" t="s">
        <v>74</v>
      </c>
      <c r="R129" t="s">
        <v>74</v>
      </c>
      <c r="S129" t="s">
        <v>74</v>
      </c>
      <c r="T129" t="s">
        <v>2622</v>
      </c>
      <c r="U129" t="s">
        <v>2623</v>
      </c>
      <c r="V129" t="s">
        <v>2624</v>
      </c>
      <c r="W129" t="s">
        <v>2625</v>
      </c>
      <c r="X129" t="s">
        <v>2626</v>
      </c>
      <c r="Y129" t="s">
        <v>2627</v>
      </c>
      <c r="Z129" t="s">
        <v>2628</v>
      </c>
      <c r="AA129" t="s">
        <v>2629</v>
      </c>
      <c r="AB129" t="s">
        <v>2630</v>
      </c>
      <c r="AC129" t="s">
        <v>2631</v>
      </c>
      <c r="AD129" t="s">
        <v>2632</v>
      </c>
      <c r="AE129" t="s">
        <v>74</v>
      </c>
      <c r="AF129" t="s">
        <v>74</v>
      </c>
      <c r="AG129">
        <v>64</v>
      </c>
      <c r="AH129">
        <v>19</v>
      </c>
      <c r="AI129">
        <v>19</v>
      </c>
      <c r="AJ129">
        <v>0</v>
      </c>
      <c r="AK129">
        <v>10</v>
      </c>
      <c r="AL129" t="s">
        <v>222</v>
      </c>
      <c r="AM129" t="s">
        <v>223</v>
      </c>
      <c r="AN129" t="s">
        <v>224</v>
      </c>
      <c r="AO129" t="s">
        <v>489</v>
      </c>
      <c r="AP129" t="s">
        <v>490</v>
      </c>
      <c r="AQ129" t="s">
        <v>74</v>
      </c>
      <c r="AR129" t="s">
        <v>491</v>
      </c>
      <c r="AS129" t="s">
        <v>492</v>
      </c>
      <c r="AT129" t="s">
        <v>128</v>
      </c>
      <c r="AU129">
        <v>2017</v>
      </c>
      <c r="AV129">
        <v>122</v>
      </c>
      <c r="AW129">
        <v>6</v>
      </c>
      <c r="AX129" t="s">
        <v>74</v>
      </c>
      <c r="AY129" t="s">
        <v>74</v>
      </c>
      <c r="AZ129" t="s">
        <v>74</v>
      </c>
      <c r="BA129" t="s">
        <v>74</v>
      </c>
      <c r="BB129">
        <v>6508</v>
      </c>
      <c r="BC129">
        <v>6527</v>
      </c>
      <c r="BD129" t="s">
        <v>74</v>
      </c>
      <c r="BE129" t="s">
        <v>2633</v>
      </c>
      <c r="BF129" t="str">
        <f>HYPERLINK("http://dx.doi.org/10.1002/2016JA023484","http://dx.doi.org/10.1002/2016JA023484")</f>
        <v>http://dx.doi.org/10.1002/2016JA023484</v>
      </c>
      <c r="BG129" t="s">
        <v>74</v>
      </c>
      <c r="BH129" t="s">
        <v>74</v>
      </c>
      <c r="BI129">
        <v>20</v>
      </c>
      <c r="BJ129" t="s">
        <v>494</v>
      </c>
      <c r="BK129" t="s">
        <v>103</v>
      </c>
      <c r="BL129" t="s">
        <v>494</v>
      </c>
      <c r="BM129" t="s">
        <v>495</v>
      </c>
      <c r="BN129" t="s">
        <v>74</v>
      </c>
      <c r="BO129" t="s">
        <v>2634</v>
      </c>
      <c r="BP129" t="s">
        <v>74</v>
      </c>
      <c r="BQ129" t="s">
        <v>74</v>
      </c>
      <c r="BR129" t="s">
        <v>106</v>
      </c>
      <c r="BS129" t="s">
        <v>2635</v>
      </c>
      <c r="BT129" t="str">
        <f>HYPERLINK("https%3A%2F%2Fwww.webofscience.com%2Fwos%2Fwoscc%2Ffull-record%2FWOS:000405534800042","View Full Record in Web of Science")</f>
        <v>View Full Record in Web of Science</v>
      </c>
    </row>
    <row r="130" spans="1:72" x14ac:dyDescent="0.15">
      <c r="A130" t="s">
        <v>72</v>
      </c>
      <c r="B130" t="s">
        <v>2636</v>
      </c>
      <c r="C130" t="s">
        <v>74</v>
      </c>
      <c r="D130" t="s">
        <v>74</v>
      </c>
      <c r="E130" t="s">
        <v>74</v>
      </c>
      <c r="F130" t="s">
        <v>2637</v>
      </c>
      <c r="G130" t="s">
        <v>74</v>
      </c>
      <c r="H130" t="s">
        <v>74</v>
      </c>
      <c r="I130" t="s">
        <v>2638</v>
      </c>
      <c r="J130" t="s">
        <v>2639</v>
      </c>
      <c r="K130" t="s">
        <v>74</v>
      </c>
      <c r="L130" t="s">
        <v>74</v>
      </c>
      <c r="M130" t="s">
        <v>78</v>
      </c>
      <c r="N130" t="s">
        <v>79</v>
      </c>
      <c r="O130" t="s">
        <v>74</v>
      </c>
      <c r="P130" t="s">
        <v>74</v>
      </c>
      <c r="Q130" t="s">
        <v>74</v>
      </c>
      <c r="R130" t="s">
        <v>74</v>
      </c>
      <c r="S130" t="s">
        <v>74</v>
      </c>
      <c r="T130" t="s">
        <v>2640</v>
      </c>
      <c r="U130" t="s">
        <v>2641</v>
      </c>
      <c r="V130" t="s">
        <v>2642</v>
      </c>
      <c r="W130" t="s">
        <v>2643</v>
      </c>
      <c r="X130" t="s">
        <v>2644</v>
      </c>
      <c r="Y130" t="s">
        <v>2645</v>
      </c>
      <c r="Z130" t="s">
        <v>2646</v>
      </c>
      <c r="AA130" t="s">
        <v>2647</v>
      </c>
      <c r="AB130" t="s">
        <v>2648</v>
      </c>
      <c r="AC130" t="s">
        <v>2649</v>
      </c>
      <c r="AD130" t="s">
        <v>2650</v>
      </c>
      <c r="AE130" t="s">
        <v>2651</v>
      </c>
      <c r="AF130" t="s">
        <v>74</v>
      </c>
      <c r="AG130">
        <v>62</v>
      </c>
      <c r="AH130">
        <v>15</v>
      </c>
      <c r="AI130">
        <v>16</v>
      </c>
      <c r="AJ130">
        <v>0</v>
      </c>
      <c r="AK130">
        <v>64</v>
      </c>
      <c r="AL130" t="s">
        <v>317</v>
      </c>
      <c r="AM130" t="s">
        <v>318</v>
      </c>
      <c r="AN130" t="s">
        <v>319</v>
      </c>
      <c r="AO130" t="s">
        <v>2652</v>
      </c>
      <c r="AP130" t="s">
        <v>2653</v>
      </c>
      <c r="AQ130" t="s">
        <v>74</v>
      </c>
      <c r="AR130" t="s">
        <v>2654</v>
      </c>
      <c r="AS130" t="s">
        <v>2655</v>
      </c>
      <c r="AT130" t="s">
        <v>128</v>
      </c>
      <c r="AU130">
        <v>2017</v>
      </c>
      <c r="AV130">
        <v>170</v>
      </c>
      <c r="AW130" t="s">
        <v>74</v>
      </c>
      <c r="AX130" t="s">
        <v>74</v>
      </c>
      <c r="AY130" t="s">
        <v>74</v>
      </c>
      <c r="AZ130" t="s">
        <v>74</v>
      </c>
      <c r="BA130" t="s">
        <v>74</v>
      </c>
      <c r="BB130">
        <v>103</v>
      </c>
      <c r="BC130">
        <v>114</v>
      </c>
      <c r="BD130" t="s">
        <v>74</v>
      </c>
      <c r="BE130" t="s">
        <v>2656</v>
      </c>
      <c r="BF130" t="str">
        <f>HYPERLINK("http://dx.doi.org/10.1016/j.jmarsys.2017.02.005","http://dx.doi.org/10.1016/j.jmarsys.2017.02.005")</f>
        <v>http://dx.doi.org/10.1016/j.jmarsys.2017.02.005</v>
      </c>
      <c r="BG130" t="s">
        <v>74</v>
      </c>
      <c r="BH130" t="s">
        <v>74</v>
      </c>
      <c r="BI130">
        <v>12</v>
      </c>
      <c r="BJ130" t="s">
        <v>2657</v>
      </c>
      <c r="BK130" t="s">
        <v>103</v>
      </c>
      <c r="BL130" t="s">
        <v>2658</v>
      </c>
      <c r="BM130" t="s">
        <v>2659</v>
      </c>
      <c r="BN130" t="s">
        <v>74</v>
      </c>
      <c r="BO130" t="s">
        <v>74</v>
      </c>
      <c r="BP130" t="s">
        <v>74</v>
      </c>
      <c r="BQ130" t="s">
        <v>74</v>
      </c>
      <c r="BR130" t="s">
        <v>106</v>
      </c>
      <c r="BS130" t="s">
        <v>2660</v>
      </c>
      <c r="BT130" t="str">
        <f>HYPERLINK("https%3A%2F%2Fwww.webofscience.com%2Fwos%2Fwoscc%2Ffull-record%2FWOS:000401211400009","View Full Record in Web of Science")</f>
        <v>View Full Record in Web of Science</v>
      </c>
    </row>
    <row r="131" spans="1:72" x14ac:dyDescent="0.15">
      <c r="A131" t="s">
        <v>72</v>
      </c>
      <c r="B131" t="s">
        <v>2661</v>
      </c>
      <c r="C131" t="s">
        <v>74</v>
      </c>
      <c r="D131" t="s">
        <v>74</v>
      </c>
      <c r="E131" t="s">
        <v>74</v>
      </c>
      <c r="F131" t="s">
        <v>2662</v>
      </c>
      <c r="G131" t="s">
        <v>74</v>
      </c>
      <c r="H131" t="s">
        <v>74</v>
      </c>
      <c r="I131" t="s">
        <v>2663</v>
      </c>
      <c r="J131" t="s">
        <v>2664</v>
      </c>
      <c r="K131" t="s">
        <v>74</v>
      </c>
      <c r="L131" t="s">
        <v>74</v>
      </c>
      <c r="M131" t="s">
        <v>78</v>
      </c>
      <c r="N131" t="s">
        <v>79</v>
      </c>
      <c r="O131" t="s">
        <v>74</v>
      </c>
      <c r="P131" t="s">
        <v>74</v>
      </c>
      <c r="Q131" t="s">
        <v>74</v>
      </c>
      <c r="R131" t="s">
        <v>74</v>
      </c>
      <c r="S131" t="s">
        <v>74</v>
      </c>
      <c r="T131" t="s">
        <v>74</v>
      </c>
      <c r="U131" t="s">
        <v>2665</v>
      </c>
      <c r="V131" t="s">
        <v>2666</v>
      </c>
      <c r="W131" t="s">
        <v>2667</v>
      </c>
      <c r="X131" t="s">
        <v>2668</v>
      </c>
      <c r="Y131" t="s">
        <v>2669</v>
      </c>
      <c r="Z131" t="s">
        <v>2670</v>
      </c>
      <c r="AA131" t="s">
        <v>2671</v>
      </c>
      <c r="AB131" t="s">
        <v>2672</v>
      </c>
      <c r="AC131" t="s">
        <v>2673</v>
      </c>
      <c r="AD131" t="s">
        <v>2674</v>
      </c>
      <c r="AE131" t="s">
        <v>2675</v>
      </c>
      <c r="AF131" t="s">
        <v>74</v>
      </c>
      <c r="AG131">
        <v>28</v>
      </c>
      <c r="AH131">
        <v>29</v>
      </c>
      <c r="AI131">
        <v>33</v>
      </c>
      <c r="AJ131">
        <v>2</v>
      </c>
      <c r="AK131">
        <v>45</v>
      </c>
      <c r="AL131" t="s">
        <v>2676</v>
      </c>
      <c r="AM131" t="s">
        <v>223</v>
      </c>
      <c r="AN131" t="s">
        <v>2677</v>
      </c>
      <c r="AO131" t="s">
        <v>2678</v>
      </c>
      <c r="AP131" t="s">
        <v>2679</v>
      </c>
      <c r="AQ131" t="s">
        <v>74</v>
      </c>
      <c r="AR131" t="s">
        <v>2680</v>
      </c>
      <c r="AS131" t="s">
        <v>2681</v>
      </c>
      <c r="AT131" t="s">
        <v>128</v>
      </c>
      <c r="AU131">
        <v>2017</v>
      </c>
      <c r="AV131">
        <v>80</v>
      </c>
      <c r="AW131">
        <v>6</v>
      </c>
      <c r="AX131" t="s">
        <v>74</v>
      </c>
      <c r="AY131" t="s">
        <v>74</v>
      </c>
      <c r="AZ131" t="s">
        <v>74</v>
      </c>
      <c r="BA131" t="s">
        <v>74</v>
      </c>
      <c r="BB131">
        <v>1725</v>
      </c>
      <c r="BC131">
        <v>1733</v>
      </c>
      <c r="BD131" t="s">
        <v>74</v>
      </c>
      <c r="BE131" t="s">
        <v>2682</v>
      </c>
      <c r="BF131" t="str">
        <f>HYPERLINK("http://dx.doi.org/10.1021/acs.jnatprod.6b00810","http://dx.doi.org/10.1021/acs.jnatprod.6b00810")</f>
        <v>http://dx.doi.org/10.1021/acs.jnatprod.6b00810</v>
      </c>
      <c r="BG131" t="s">
        <v>74</v>
      </c>
      <c r="BH131" t="s">
        <v>74</v>
      </c>
      <c r="BI131">
        <v>9</v>
      </c>
      <c r="BJ131" t="s">
        <v>2683</v>
      </c>
      <c r="BK131" t="s">
        <v>2684</v>
      </c>
      <c r="BL131" t="s">
        <v>355</v>
      </c>
      <c r="BM131" t="s">
        <v>2685</v>
      </c>
      <c r="BN131">
        <v>28598633</v>
      </c>
      <c r="BO131" t="s">
        <v>74</v>
      </c>
      <c r="BP131" t="s">
        <v>74</v>
      </c>
      <c r="BQ131" t="s">
        <v>74</v>
      </c>
      <c r="BR131" t="s">
        <v>106</v>
      </c>
      <c r="BS131" t="s">
        <v>2686</v>
      </c>
      <c r="BT131" t="str">
        <f>HYPERLINK("https%3A%2F%2Fwww.webofscience.com%2Fwos%2Fwoscc%2Ffull-record%2FWOS:000404322100003","View Full Record in Web of Science")</f>
        <v>View Full Record in Web of Science</v>
      </c>
    </row>
    <row r="132" spans="1:72" x14ac:dyDescent="0.15">
      <c r="A132" t="s">
        <v>72</v>
      </c>
      <c r="B132" t="s">
        <v>2687</v>
      </c>
      <c r="C132" t="s">
        <v>74</v>
      </c>
      <c r="D132" t="s">
        <v>74</v>
      </c>
      <c r="E132" t="s">
        <v>74</v>
      </c>
      <c r="F132" t="s">
        <v>2688</v>
      </c>
      <c r="G132" t="s">
        <v>74</v>
      </c>
      <c r="H132" t="s">
        <v>74</v>
      </c>
      <c r="I132" t="s">
        <v>2689</v>
      </c>
      <c r="J132" t="s">
        <v>1105</v>
      </c>
      <c r="K132" t="s">
        <v>74</v>
      </c>
      <c r="L132" t="s">
        <v>74</v>
      </c>
      <c r="M132" t="s">
        <v>78</v>
      </c>
      <c r="N132" t="s">
        <v>79</v>
      </c>
      <c r="O132" t="s">
        <v>74</v>
      </c>
      <c r="P132" t="s">
        <v>74</v>
      </c>
      <c r="Q132" t="s">
        <v>74</v>
      </c>
      <c r="R132" t="s">
        <v>74</v>
      </c>
      <c r="S132" t="s">
        <v>74</v>
      </c>
      <c r="T132" t="s">
        <v>74</v>
      </c>
      <c r="U132" t="s">
        <v>2690</v>
      </c>
      <c r="V132" t="s">
        <v>2691</v>
      </c>
      <c r="W132" t="s">
        <v>2692</v>
      </c>
      <c r="X132" t="s">
        <v>2693</v>
      </c>
      <c r="Y132" t="s">
        <v>2694</v>
      </c>
      <c r="Z132" t="s">
        <v>2695</v>
      </c>
      <c r="AA132" t="s">
        <v>74</v>
      </c>
      <c r="AB132" t="s">
        <v>74</v>
      </c>
      <c r="AC132" t="s">
        <v>2696</v>
      </c>
      <c r="AD132" t="s">
        <v>2697</v>
      </c>
      <c r="AE132" t="s">
        <v>2698</v>
      </c>
      <c r="AF132" t="s">
        <v>74</v>
      </c>
      <c r="AG132">
        <v>110</v>
      </c>
      <c r="AH132">
        <v>117</v>
      </c>
      <c r="AI132">
        <v>123</v>
      </c>
      <c r="AJ132">
        <v>1</v>
      </c>
      <c r="AK132">
        <v>53</v>
      </c>
      <c r="AL132" t="s">
        <v>1115</v>
      </c>
      <c r="AM132" t="s">
        <v>1116</v>
      </c>
      <c r="AN132" t="s">
        <v>1117</v>
      </c>
      <c r="AO132" t="s">
        <v>1118</v>
      </c>
      <c r="AP132" t="s">
        <v>1119</v>
      </c>
      <c r="AQ132" t="s">
        <v>74</v>
      </c>
      <c r="AR132" t="s">
        <v>1120</v>
      </c>
      <c r="AS132" t="s">
        <v>1121</v>
      </c>
      <c r="AT132" t="s">
        <v>128</v>
      </c>
      <c r="AU132">
        <v>2017</v>
      </c>
      <c r="AV132">
        <v>47</v>
      </c>
      <c r="AW132">
        <v>6</v>
      </c>
      <c r="AX132" t="s">
        <v>74</v>
      </c>
      <c r="AY132" t="s">
        <v>74</v>
      </c>
      <c r="AZ132" t="s">
        <v>74</v>
      </c>
      <c r="BA132" t="s">
        <v>74</v>
      </c>
      <c r="BB132">
        <v>1325</v>
      </c>
      <c r="BC132">
        <v>1345</v>
      </c>
      <c r="BD132" t="s">
        <v>74</v>
      </c>
      <c r="BE132" t="s">
        <v>2699</v>
      </c>
      <c r="BF132" t="str">
        <f>HYPERLINK("http://dx.doi.org/10.1175/JPO-D-16-0141.1","http://dx.doi.org/10.1175/JPO-D-16-0141.1")</f>
        <v>http://dx.doi.org/10.1175/JPO-D-16-0141.1</v>
      </c>
      <c r="BG132" t="s">
        <v>74</v>
      </c>
      <c r="BH132" t="s">
        <v>74</v>
      </c>
      <c r="BI132">
        <v>21</v>
      </c>
      <c r="BJ132" t="s">
        <v>127</v>
      </c>
      <c r="BK132" t="s">
        <v>103</v>
      </c>
      <c r="BL132" t="s">
        <v>127</v>
      </c>
      <c r="BM132" t="s">
        <v>1123</v>
      </c>
      <c r="BN132" t="s">
        <v>74</v>
      </c>
      <c r="BO132" t="s">
        <v>74</v>
      </c>
      <c r="BP132" t="s">
        <v>74</v>
      </c>
      <c r="BQ132" t="s">
        <v>74</v>
      </c>
      <c r="BR132" t="s">
        <v>106</v>
      </c>
      <c r="BS132" t="s">
        <v>2700</v>
      </c>
      <c r="BT132" t="str">
        <f>HYPERLINK("https%3A%2F%2Fwww.webofscience.com%2Fwos%2Fwoscc%2Ffull-record%2FWOS:000403208900007","View Full Record in Web of Science")</f>
        <v>View Full Record in Web of Science</v>
      </c>
    </row>
    <row r="133" spans="1:72" x14ac:dyDescent="0.15">
      <c r="A133" t="s">
        <v>72</v>
      </c>
      <c r="B133" t="s">
        <v>2701</v>
      </c>
      <c r="C133" t="s">
        <v>74</v>
      </c>
      <c r="D133" t="s">
        <v>74</v>
      </c>
      <c r="E133" t="s">
        <v>74</v>
      </c>
      <c r="F133" t="s">
        <v>2702</v>
      </c>
      <c r="G133" t="s">
        <v>74</v>
      </c>
      <c r="H133" t="s">
        <v>74</v>
      </c>
      <c r="I133" t="s">
        <v>2703</v>
      </c>
      <c r="J133" t="s">
        <v>2704</v>
      </c>
      <c r="K133" t="s">
        <v>74</v>
      </c>
      <c r="L133" t="s">
        <v>74</v>
      </c>
      <c r="M133" t="s">
        <v>78</v>
      </c>
      <c r="N133" t="s">
        <v>79</v>
      </c>
      <c r="O133" t="s">
        <v>74</v>
      </c>
      <c r="P133" t="s">
        <v>74</v>
      </c>
      <c r="Q133" t="s">
        <v>74</v>
      </c>
      <c r="R133" t="s">
        <v>74</v>
      </c>
      <c r="S133" t="s">
        <v>74</v>
      </c>
      <c r="T133" t="s">
        <v>2705</v>
      </c>
      <c r="U133" t="s">
        <v>2706</v>
      </c>
      <c r="V133" t="s">
        <v>2707</v>
      </c>
      <c r="W133" t="s">
        <v>2708</v>
      </c>
      <c r="X133" t="s">
        <v>2709</v>
      </c>
      <c r="Y133" t="s">
        <v>2710</v>
      </c>
      <c r="Z133" t="s">
        <v>2711</v>
      </c>
      <c r="AA133" t="s">
        <v>74</v>
      </c>
      <c r="AB133" t="s">
        <v>2712</v>
      </c>
      <c r="AC133" t="s">
        <v>2713</v>
      </c>
      <c r="AD133" t="s">
        <v>2714</v>
      </c>
      <c r="AE133" t="s">
        <v>2715</v>
      </c>
      <c r="AF133" t="s">
        <v>74</v>
      </c>
      <c r="AG133">
        <v>45</v>
      </c>
      <c r="AH133">
        <v>7</v>
      </c>
      <c r="AI133">
        <v>7</v>
      </c>
      <c r="AJ133">
        <v>0</v>
      </c>
      <c r="AK133">
        <v>12</v>
      </c>
      <c r="AL133" t="s">
        <v>803</v>
      </c>
      <c r="AM133" t="s">
        <v>430</v>
      </c>
      <c r="AN133" t="s">
        <v>804</v>
      </c>
      <c r="AO133" t="s">
        <v>2716</v>
      </c>
      <c r="AP133" t="s">
        <v>2717</v>
      </c>
      <c r="AQ133" t="s">
        <v>74</v>
      </c>
      <c r="AR133" t="s">
        <v>2718</v>
      </c>
      <c r="AS133" t="s">
        <v>2719</v>
      </c>
      <c r="AT133" t="s">
        <v>128</v>
      </c>
      <c r="AU133">
        <v>2017</v>
      </c>
      <c r="AV133">
        <v>97</v>
      </c>
      <c r="AW133">
        <v>4</v>
      </c>
      <c r="AX133" t="s">
        <v>74</v>
      </c>
      <c r="AY133" t="s">
        <v>74</v>
      </c>
      <c r="AZ133" t="s">
        <v>74</v>
      </c>
      <c r="BA133" t="s">
        <v>74</v>
      </c>
      <c r="BB133">
        <v>647</v>
      </c>
      <c r="BC133">
        <v>659</v>
      </c>
      <c r="BD133" t="s">
        <v>74</v>
      </c>
      <c r="BE133" t="s">
        <v>2720</v>
      </c>
      <c r="BF133" t="str">
        <f>HYPERLINK("http://dx.doi.org/10.1017/S0025315417000820","http://dx.doi.org/10.1017/S0025315417000820")</f>
        <v>http://dx.doi.org/10.1017/S0025315417000820</v>
      </c>
      <c r="BG133" t="s">
        <v>74</v>
      </c>
      <c r="BH133" t="s">
        <v>74</v>
      </c>
      <c r="BI133">
        <v>13</v>
      </c>
      <c r="BJ133" t="s">
        <v>737</v>
      </c>
      <c r="BK133" t="s">
        <v>103</v>
      </c>
      <c r="BL133" t="s">
        <v>737</v>
      </c>
      <c r="BM133" t="s">
        <v>2721</v>
      </c>
      <c r="BN133" t="s">
        <v>74</v>
      </c>
      <c r="BO133" t="s">
        <v>412</v>
      </c>
      <c r="BP133" t="s">
        <v>74</v>
      </c>
      <c r="BQ133" t="s">
        <v>74</v>
      </c>
      <c r="BR133" t="s">
        <v>106</v>
      </c>
      <c r="BS133" t="s">
        <v>2722</v>
      </c>
      <c r="BT133" t="str">
        <f>HYPERLINK("https%3A%2F%2Fwww.webofscience.com%2Fwos%2Fwoscc%2Ffull-record%2FWOS:000412323400002","View Full Record in Web of Science")</f>
        <v>View Full Record in Web of Science</v>
      </c>
    </row>
    <row r="134" spans="1:72" x14ac:dyDescent="0.15">
      <c r="A134" t="s">
        <v>72</v>
      </c>
      <c r="B134" t="s">
        <v>2723</v>
      </c>
      <c r="C134" t="s">
        <v>74</v>
      </c>
      <c r="D134" t="s">
        <v>74</v>
      </c>
      <c r="E134" t="s">
        <v>74</v>
      </c>
      <c r="F134" t="s">
        <v>2724</v>
      </c>
      <c r="G134" t="s">
        <v>74</v>
      </c>
      <c r="H134" t="s">
        <v>74</v>
      </c>
      <c r="I134" t="s">
        <v>2725</v>
      </c>
      <c r="J134" t="s">
        <v>2726</v>
      </c>
      <c r="K134" t="s">
        <v>74</v>
      </c>
      <c r="L134" t="s">
        <v>74</v>
      </c>
      <c r="M134" t="s">
        <v>78</v>
      </c>
      <c r="N134" t="s">
        <v>79</v>
      </c>
      <c r="O134" t="s">
        <v>74</v>
      </c>
      <c r="P134" t="s">
        <v>74</v>
      </c>
      <c r="Q134" t="s">
        <v>74</v>
      </c>
      <c r="R134" t="s">
        <v>74</v>
      </c>
      <c r="S134" t="s">
        <v>74</v>
      </c>
      <c r="T134" t="s">
        <v>2727</v>
      </c>
      <c r="U134" t="s">
        <v>2728</v>
      </c>
      <c r="V134" t="s">
        <v>2729</v>
      </c>
      <c r="W134" t="s">
        <v>2730</v>
      </c>
      <c r="X134" t="s">
        <v>2731</v>
      </c>
      <c r="Y134" t="s">
        <v>2732</v>
      </c>
      <c r="Z134" t="s">
        <v>2733</v>
      </c>
      <c r="AA134" t="s">
        <v>2734</v>
      </c>
      <c r="AB134" t="s">
        <v>2735</v>
      </c>
      <c r="AC134" t="s">
        <v>2736</v>
      </c>
      <c r="AD134" t="s">
        <v>2737</v>
      </c>
      <c r="AE134" t="s">
        <v>2738</v>
      </c>
      <c r="AF134" t="s">
        <v>74</v>
      </c>
      <c r="AG134">
        <v>50</v>
      </c>
      <c r="AH134">
        <v>2</v>
      </c>
      <c r="AI134">
        <v>3</v>
      </c>
      <c r="AJ134">
        <v>0</v>
      </c>
      <c r="AK134">
        <v>20</v>
      </c>
      <c r="AL134" t="s">
        <v>2739</v>
      </c>
      <c r="AM134" t="s">
        <v>403</v>
      </c>
      <c r="AN134" t="s">
        <v>2740</v>
      </c>
      <c r="AO134" t="s">
        <v>2741</v>
      </c>
      <c r="AP134" t="s">
        <v>74</v>
      </c>
      <c r="AQ134" t="s">
        <v>74</v>
      </c>
      <c r="AR134" t="s">
        <v>2742</v>
      </c>
      <c r="AS134" t="s">
        <v>2743</v>
      </c>
      <c r="AT134" t="s">
        <v>128</v>
      </c>
      <c r="AU134">
        <v>2017</v>
      </c>
      <c r="AV134">
        <v>15</v>
      </c>
      <c r="AW134">
        <v>3</v>
      </c>
      <c r="AX134" t="s">
        <v>74</v>
      </c>
      <c r="AY134" t="s">
        <v>74</v>
      </c>
      <c r="AZ134" t="s">
        <v>74</v>
      </c>
      <c r="BA134" t="s">
        <v>74</v>
      </c>
      <c r="BB134">
        <v>385</v>
      </c>
      <c r="BC134">
        <v>401</v>
      </c>
      <c r="BD134" t="s">
        <v>74</v>
      </c>
      <c r="BE134" t="s">
        <v>2744</v>
      </c>
      <c r="BF134" t="str">
        <f>HYPERLINK("http://dx.doi.org/10.2166/wh.2017.019","http://dx.doi.org/10.2166/wh.2017.019")</f>
        <v>http://dx.doi.org/10.2166/wh.2017.019</v>
      </c>
      <c r="BG134" t="s">
        <v>74</v>
      </c>
      <c r="BH134" t="s">
        <v>74</v>
      </c>
      <c r="BI134">
        <v>17</v>
      </c>
      <c r="BJ134" t="s">
        <v>2745</v>
      </c>
      <c r="BK134" t="s">
        <v>103</v>
      </c>
      <c r="BL134" t="s">
        <v>2746</v>
      </c>
      <c r="BM134" t="s">
        <v>2747</v>
      </c>
      <c r="BN134">
        <v>28598343</v>
      </c>
      <c r="BO134" t="s">
        <v>412</v>
      </c>
      <c r="BP134" t="s">
        <v>74</v>
      </c>
      <c r="BQ134" t="s">
        <v>74</v>
      </c>
      <c r="BR134" t="s">
        <v>106</v>
      </c>
      <c r="BS134" t="s">
        <v>2748</v>
      </c>
      <c r="BT134" t="str">
        <f>HYPERLINK("https%3A%2F%2Fwww.webofscience.com%2Fwos%2Fwoscc%2Ffull-record%2FWOS:000403110200007","View Full Record in Web of Science")</f>
        <v>View Full Record in Web of Science</v>
      </c>
    </row>
    <row r="135" spans="1:72" x14ac:dyDescent="0.15">
      <c r="A135" t="s">
        <v>72</v>
      </c>
      <c r="B135" t="s">
        <v>2749</v>
      </c>
      <c r="C135" t="s">
        <v>74</v>
      </c>
      <c r="D135" t="s">
        <v>74</v>
      </c>
      <c r="E135" t="s">
        <v>74</v>
      </c>
      <c r="F135" t="s">
        <v>2750</v>
      </c>
      <c r="G135" t="s">
        <v>74</v>
      </c>
      <c r="H135" t="s">
        <v>74</v>
      </c>
      <c r="I135" t="s">
        <v>2751</v>
      </c>
      <c r="J135" t="s">
        <v>1408</v>
      </c>
      <c r="K135" t="s">
        <v>74</v>
      </c>
      <c r="L135" t="s">
        <v>74</v>
      </c>
      <c r="M135" t="s">
        <v>78</v>
      </c>
      <c r="N135" t="s">
        <v>79</v>
      </c>
      <c r="O135" t="s">
        <v>74</v>
      </c>
      <c r="P135" t="s">
        <v>74</v>
      </c>
      <c r="Q135" t="s">
        <v>74</v>
      </c>
      <c r="R135" t="s">
        <v>74</v>
      </c>
      <c r="S135" t="s">
        <v>74</v>
      </c>
      <c r="T135" t="s">
        <v>74</v>
      </c>
      <c r="U135" t="s">
        <v>2752</v>
      </c>
      <c r="V135" t="s">
        <v>2753</v>
      </c>
      <c r="W135" t="s">
        <v>2754</v>
      </c>
      <c r="X135" t="s">
        <v>2755</v>
      </c>
      <c r="Y135" t="s">
        <v>2756</v>
      </c>
      <c r="Z135" t="s">
        <v>2757</v>
      </c>
      <c r="AA135" t="s">
        <v>2758</v>
      </c>
      <c r="AB135" t="s">
        <v>2759</v>
      </c>
      <c r="AC135" t="s">
        <v>2760</v>
      </c>
      <c r="AD135" t="s">
        <v>2761</v>
      </c>
      <c r="AE135" t="s">
        <v>2762</v>
      </c>
      <c r="AF135" t="s">
        <v>74</v>
      </c>
      <c r="AG135">
        <v>108</v>
      </c>
      <c r="AH135">
        <v>16</v>
      </c>
      <c r="AI135">
        <v>18</v>
      </c>
      <c r="AJ135">
        <v>0</v>
      </c>
      <c r="AK135">
        <v>14</v>
      </c>
      <c r="AL135" t="s">
        <v>681</v>
      </c>
      <c r="AM135" t="s">
        <v>682</v>
      </c>
      <c r="AN135" t="s">
        <v>683</v>
      </c>
      <c r="AO135" t="s">
        <v>1419</v>
      </c>
      <c r="AP135" t="s">
        <v>1420</v>
      </c>
      <c r="AQ135" t="s">
        <v>74</v>
      </c>
      <c r="AR135" t="s">
        <v>1421</v>
      </c>
      <c r="AS135" t="s">
        <v>1422</v>
      </c>
      <c r="AT135" t="s">
        <v>128</v>
      </c>
      <c r="AU135">
        <v>2017</v>
      </c>
      <c r="AV135">
        <v>52</v>
      </c>
      <c r="AW135">
        <v>6</v>
      </c>
      <c r="AX135" t="s">
        <v>74</v>
      </c>
      <c r="AY135" t="s">
        <v>74</v>
      </c>
      <c r="AZ135" t="s">
        <v>74</v>
      </c>
      <c r="BA135" t="s">
        <v>74</v>
      </c>
      <c r="BB135">
        <v>1103</v>
      </c>
      <c r="BC135">
        <v>1124</v>
      </c>
      <c r="BD135" t="s">
        <v>74</v>
      </c>
      <c r="BE135" t="s">
        <v>2763</v>
      </c>
      <c r="BF135" t="str">
        <f>HYPERLINK("http://dx.doi.org/10.1111/maps.12860","http://dx.doi.org/10.1111/maps.12860")</f>
        <v>http://dx.doi.org/10.1111/maps.12860</v>
      </c>
      <c r="BG135" t="s">
        <v>74</v>
      </c>
      <c r="BH135" t="s">
        <v>74</v>
      </c>
      <c r="BI135">
        <v>22</v>
      </c>
      <c r="BJ135" t="s">
        <v>176</v>
      </c>
      <c r="BK135" t="s">
        <v>103</v>
      </c>
      <c r="BL135" t="s">
        <v>176</v>
      </c>
      <c r="BM135" t="s">
        <v>1424</v>
      </c>
      <c r="BN135" t="s">
        <v>74</v>
      </c>
      <c r="BO135" t="s">
        <v>384</v>
      </c>
      <c r="BP135" t="s">
        <v>74</v>
      </c>
      <c r="BQ135" t="s">
        <v>74</v>
      </c>
      <c r="BR135" t="s">
        <v>106</v>
      </c>
      <c r="BS135" t="s">
        <v>2764</v>
      </c>
      <c r="BT135" t="str">
        <f>HYPERLINK("https%3A%2F%2Fwww.webofscience.com%2Fwos%2Fwoscc%2Ffull-record%2FWOS:000402807400006","View Full Record in Web of Science")</f>
        <v>View Full Record in Web of Science</v>
      </c>
    </row>
    <row r="136" spans="1:72" x14ac:dyDescent="0.15">
      <c r="A136" t="s">
        <v>72</v>
      </c>
      <c r="B136" t="s">
        <v>2765</v>
      </c>
      <c r="C136" t="s">
        <v>74</v>
      </c>
      <c r="D136" t="s">
        <v>74</v>
      </c>
      <c r="E136" t="s">
        <v>74</v>
      </c>
      <c r="F136" t="s">
        <v>2766</v>
      </c>
      <c r="G136" t="s">
        <v>74</v>
      </c>
      <c r="H136" t="s">
        <v>74</v>
      </c>
      <c r="I136" t="s">
        <v>2767</v>
      </c>
      <c r="J136" t="s">
        <v>2768</v>
      </c>
      <c r="K136" t="s">
        <v>74</v>
      </c>
      <c r="L136" t="s">
        <v>74</v>
      </c>
      <c r="M136" t="s">
        <v>78</v>
      </c>
      <c r="N136" t="s">
        <v>79</v>
      </c>
      <c r="O136" t="s">
        <v>74</v>
      </c>
      <c r="P136" t="s">
        <v>74</v>
      </c>
      <c r="Q136" t="s">
        <v>74</v>
      </c>
      <c r="R136" t="s">
        <v>74</v>
      </c>
      <c r="S136" t="s">
        <v>74</v>
      </c>
      <c r="T136" t="s">
        <v>2769</v>
      </c>
      <c r="U136" t="s">
        <v>2770</v>
      </c>
      <c r="V136" t="s">
        <v>2771</v>
      </c>
      <c r="W136" t="s">
        <v>2772</v>
      </c>
      <c r="X136" t="s">
        <v>2773</v>
      </c>
      <c r="Y136" t="s">
        <v>2774</v>
      </c>
      <c r="Z136" t="s">
        <v>2775</v>
      </c>
      <c r="AA136" t="s">
        <v>74</v>
      </c>
      <c r="AB136" t="s">
        <v>74</v>
      </c>
      <c r="AC136" t="s">
        <v>2776</v>
      </c>
      <c r="AD136" t="s">
        <v>2777</v>
      </c>
      <c r="AE136" t="s">
        <v>2778</v>
      </c>
      <c r="AF136" t="s">
        <v>74</v>
      </c>
      <c r="AG136">
        <v>36</v>
      </c>
      <c r="AH136">
        <v>17</v>
      </c>
      <c r="AI136">
        <v>20</v>
      </c>
      <c r="AJ136">
        <v>0</v>
      </c>
      <c r="AK136">
        <v>34</v>
      </c>
      <c r="AL136" t="s">
        <v>2779</v>
      </c>
      <c r="AM136" t="s">
        <v>403</v>
      </c>
      <c r="AN136" t="s">
        <v>2780</v>
      </c>
      <c r="AO136" t="s">
        <v>2781</v>
      </c>
      <c r="AP136" t="s">
        <v>2782</v>
      </c>
      <c r="AQ136" t="s">
        <v>74</v>
      </c>
      <c r="AR136" t="s">
        <v>2783</v>
      </c>
      <c r="AS136" t="s">
        <v>2784</v>
      </c>
      <c r="AT136" t="s">
        <v>128</v>
      </c>
      <c r="AU136">
        <v>2017</v>
      </c>
      <c r="AV136">
        <v>107</v>
      </c>
      <c r="AW136" t="s">
        <v>74</v>
      </c>
      <c r="AX136" t="s">
        <v>74</v>
      </c>
      <c r="AY136" t="s">
        <v>74</v>
      </c>
      <c r="AZ136" t="s">
        <v>74</v>
      </c>
      <c r="BA136" t="s">
        <v>74</v>
      </c>
      <c r="BB136">
        <v>62</v>
      </c>
      <c r="BC136">
        <v>68</v>
      </c>
      <c r="BD136" t="s">
        <v>74</v>
      </c>
      <c r="BE136" t="s">
        <v>2785</v>
      </c>
      <c r="BF136" t="str">
        <f>HYPERLINK("http://dx.doi.org/10.1016/j.micpath.2017.03.018","http://dx.doi.org/10.1016/j.micpath.2017.03.018")</f>
        <v>http://dx.doi.org/10.1016/j.micpath.2017.03.018</v>
      </c>
      <c r="BG136" t="s">
        <v>74</v>
      </c>
      <c r="BH136" t="s">
        <v>74</v>
      </c>
      <c r="BI136">
        <v>7</v>
      </c>
      <c r="BJ136" t="s">
        <v>2786</v>
      </c>
      <c r="BK136" t="s">
        <v>103</v>
      </c>
      <c r="BL136" t="s">
        <v>2786</v>
      </c>
      <c r="BM136" t="s">
        <v>2787</v>
      </c>
      <c r="BN136">
        <v>28330749</v>
      </c>
      <c r="BO136" t="s">
        <v>74</v>
      </c>
      <c r="BP136" t="s">
        <v>74</v>
      </c>
      <c r="BQ136" t="s">
        <v>74</v>
      </c>
      <c r="BR136" t="s">
        <v>106</v>
      </c>
      <c r="BS136" t="s">
        <v>2788</v>
      </c>
      <c r="BT136" t="str">
        <f>HYPERLINK("https%3A%2F%2Fwww.webofscience.com%2Fwos%2Fwoscc%2Ffull-record%2FWOS:000402496000010","View Full Record in Web of Science")</f>
        <v>View Full Record in Web of Science</v>
      </c>
    </row>
    <row r="137" spans="1:72" x14ac:dyDescent="0.15">
      <c r="A137" t="s">
        <v>72</v>
      </c>
      <c r="B137" t="s">
        <v>2789</v>
      </c>
      <c r="C137" t="s">
        <v>74</v>
      </c>
      <c r="D137" t="s">
        <v>74</v>
      </c>
      <c r="E137" t="s">
        <v>74</v>
      </c>
      <c r="F137" t="s">
        <v>2790</v>
      </c>
      <c r="G137" t="s">
        <v>74</v>
      </c>
      <c r="H137" t="s">
        <v>74</v>
      </c>
      <c r="I137" t="s">
        <v>2791</v>
      </c>
      <c r="J137" t="s">
        <v>111</v>
      </c>
      <c r="K137" t="s">
        <v>74</v>
      </c>
      <c r="L137" t="s">
        <v>74</v>
      </c>
      <c r="M137" t="s">
        <v>78</v>
      </c>
      <c r="N137" t="s">
        <v>79</v>
      </c>
      <c r="O137" t="s">
        <v>74</v>
      </c>
      <c r="P137" t="s">
        <v>74</v>
      </c>
      <c r="Q137" t="s">
        <v>74</v>
      </c>
      <c r="R137" t="s">
        <v>74</v>
      </c>
      <c r="S137" t="s">
        <v>74</v>
      </c>
      <c r="T137" t="s">
        <v>74</v>
      </c>
      <c r="U137" t="s">
        <v>2792</v>
      </c>
      <c r="V137" t="s">
        <v>2793</v>
      </c>
      <c r="W137" t="s">
        <v>2794</v>
      </c>
      <c r="X137" t="s">
        <v>2795</v>
      </c>
      <c r="Y137" t="s">
        <v>2796</v>
      </c>
      <c r="Z137" t="s">
        <v>2797</v>
      </c>
      <c r="AA137" t="s">
        <v>2798</v>
      </c>
      <c r="AB137" t="s">
        <v>2799</v>
      </c>
      <c r="AC137" t="s">
        <v>2800</v>
      </c>
      <c r="AD137" t="s">
        <v>2801</v>
      </c>
      <c r="AE137" t="s">
        <v>74</v>
      </c>
      <c r="AF137" t="s">
        <v>74</v>
      </c>
      <c r="AG137">
        <v>42</v>
      </c>
      <c r="AH137">
        <v>114</v>
      </c>
      <c r="AI137">
        <v>119</v>
      </c>
      <c r="AJ137">
        <v>2</v>
      </c>
      <c r="AK137">
        <v>27</v>
      </c>
      <c r="AL137" t="s">
        <v>123</v>
      </c>
      <c r="AM137" t="s">
        <v>124</v>
      </c>
      <c r="AN137" t="s">
        <v>125</v>
      </c>
      <c r="AO137" t="s">
        <v>126</v>
      </c>
      <c r="AP137" t="s">
        <v>74</v>
      </c>
      <c r="AQ137" t="s">
        <v>74</v>
      </c>
      <c r="AR137" t="s">
        <v>111</v>
      </c>
      <c r="AS137" t="s">
        <v>127</v>
      </c>
      <c r="AT137" t="s">
        <v>128</v>
      </c>
      <c r="AU137">
        <v>2017</v>
      </c>
      <c r="AV137">
        <v>30</v>
      </c>
      <c r="AW137">
        <v>2</v>
      </c>
      <c r="AX137" t="s">
        <v>74</v>
      </c>
      <c r="AY137" t="s">
        <v>74</v>
      </c>
      <c r="AZ137" t="s">
        <v>100</v>
      </c>
      <c r="BA137" t="s">
        <v>74</v>
      </c>
      <c r="BB137">
        <v>132</v>
      </c>
      <c r="BC137">
        <v>138</v>
      </c>
      <c r="BD137" t="s">
        <v>74</v>
      </c>
      <c r="BE137" t="s">
        <v>2802</v>
      </c>
      <c r="BF137" t="str">
        <f>HYPERLINK("http://dx.doi.org/10.5670/oceanog.2017.234","http://dx.doi.org/10.5670/oceanog.2017.234")</f>
        <v>http://dx.doi.org/10.5670/oceanog.2017.234</v>
      </c>
      <c r="BG137" t="s">
        <v>74</v>
      </c>
      <c r="BH137" t="s">
        <v>74</v>
      </c>
      <c r="BI137">
        <v>7</v>
      </c>
      <c r="BJ137" t="s">
        <v>127</v>
      </c>
      <c r="BK137" t="s">
        <v>103</v>
      </c>
      <c r="BL137" t="s">
        <v>127</v>
      </c>
      <c r="BM137" t="s">
        <v>130</v>
      </c>
      <c r="BN137" t="s">
        <v>74</v>
      </c>
      <c r="BO137" t="s">
        <v>2803</v>
      </c>
      <c r="BP137" t="s">
        <v>74</v>
      </c>
      <c r="BQ137" t="s">
        <v>74</v>
      </c>
      <c r="BR137" t="s">
        <v>106</v>
      </c>
      <c r="BS137" t="s">
        <v>2804</v>
      </c>
      <c r="BT137" t="str">
        <f>HYPERLINK("https%3A%2F%2Fwww.webofscience.com%2Fwos%2Fwoscc%2Ffull-record%2FWOS:000410333500027","View Full Record in Web of Science")</f>
        <v>View Full Record in Web of Science</v>
      </c>
    </row>
    <row r="138" spans="1:72" x14ac:dyDescent="0.15">
      <c r="A138" t="s">
        <v>72</v>
      </c>
      <c r="B138" t="s">
        <v>2805</v>
      </c>
      <c r="C138" t="s">
        <v>74</v>
      </c>
      <c r="D138" t="s">
        <v>74</v>
      </c>
      <c r="E138" t="s">
        <v>74</v>
      </c>
      <c r="F138" t="s">
        <v>2806</v>
      </c>
      <c r="G138" t="s">
        <v>74</v>
      </c>
      <c r="H138" t="s">
        <v>74</v>
      </c>
      <c r="I138" t="s">
        <v>2807</v>
      </c>
      <c r="J138" t="s">
        <v>2808</v>
      </c>
      <c r="K138" t="s">
        <v>74</v>
      </c>
      <c r="L138" t="s">
        <v>74</v>
      </c>
      <c r="M138" t="s">
        <v>78</v>
      </c>
      <c r="N138" t="s">
        <v>333</v>
      </c>
      <c r="O138" t="s">
        <v>2809</v>
      </c>
      <c r="P138" t="s">
        <v>2810</v>
      </c>
      <c r="Q138" t="s">
        <v>2811</v>
      </c>
      <c r="R138" t="s">
        <v>74</v>
      </c>
      <c r="S138" t="s">
        <v>74</v>
      </c>
      <c r="T138" t="s">
        <v>2812</v>
      </c>
      <c r="U138" t="s">
        <v>2813</v>
      </c>
      <c r="V138" t="s">
        <v>2814</v>
      </c>
      <c r="W138" t="s">
        <v>2815</v>
      </c>
      <c r="X138" t="s">
        <v>2816</v>
      </c>
      <c r="Y138" t="s">
        <v>2817</v>
      </c>
      <c r="Z138" t="s">
        <v>2818</v>
      </c>
      <c r="AA138" t="s">
        <v>2819</v>
      </c>
      <c r="AB138" t="s">
        <v>2820</v>
      </c>
      <c r="AC138" t="s">
        <v>2821</v>
      </c>
      <c r="AD138" t="s">
        <v>2821</v>
      </c>
      <c r="AE138" t="s">
        <v>2822</v>
      </c>
      <c r="AF138" t="s">
        <v>74</v>
      </c>
      <c r="AG138">
        <v>55</v>
      </c>
      <c r="AH138">
        <v>29</v>
      </c>
      <c r="AI138">
        <v>31</v>
      </c>
      <c r="AJ138">
        <v>3</v>
      </c>
      <c r="AK138">
        <v>18</v>
      </c>
      <c r="AL138" t="s">
        <v>986</v>
      </c>
      <c r="AM138" t="s">
        <v>1191</v>
      </c>
      <c r="AN138" t="s">
        <v>1192</v>
      </c>
      <c r="AO138" t="s">
        <v>2823</v>
      </c>
      <c r="AP138" t="s">
        <v>2824</v>
      </c>
      <c r="AQ138" t="s">
        <v>74</v>
      </c>
      <c r="AR138" t="s">
        <v>2825</v>
      </c>
      <c r="AS138" t="s">
        <v>2826</v>
      </c>
      <c r="AT138" t="s">
        <v>128</v>
      </c>
      <c r="AU138">
        <v>2017</v>
      </c>
      <c r="AV138">
        <v>47</v>
      </c>
      <c r="AW138">
        <v>2</v>
      </c>
      <c r="AX138" t="s">
        <v>74</v>
      </c>
      <c r="AY138" t="s">
        <v>74</v>
      </c>
      <c r="AZ138" t="s">
        <v>74</v>
      </c>
      <c r="BA138" t="s">
        <v>74</v>
      </c>
      <c r="BB138">
        <v>187</v>
      </c>
      <c r="BC138">
        <v>202</v>
      </c>
      <c r="BD138" t="s">
        <v>74</v>
      </c>
      <c r="BE138" t="s">
        <v>2827</v>
      </c>
      <c r="BF138" t="str">
        <f>HYPERLINK("http://dx.doi.org/10.1007/s11084-016-9485-2","http://dx.doi.org/10.1007/s11084-016-9485-2")</f>
        <v>http://dx.doi.org/10.1007/s11084-016-9485-2</v>
      </c>
      <c r="BG138" t="s">
        <v>74</v>
      </c>
      <c r="BH138" t="s">
        <v>74</v>
      </c>
      <c r="BI138">
        <v>16</v>
      </c>
      <c r="BJ138" t="s">
        <v>2828</v>
      </c>
      <c r="BK138" t="s">
        <v>354</v>
      </c>
      <c r="BL138" t="s">
        <v>2829</v>
      </c>
      <c r="BM138" t="s">
        <v>2830</v>
      </c>
      <c r="BN138">
        <v>27033201</v>
      </c>
      <c r="BO138" t="s">
        <v>74</v>
      </c>
      <c r="BP138" t="s">
        <v>74</v>
      </c>
      <c r="BQ138" t="s">
        <v>74</v>
      </c>
      <c r="BR138" t="s">
        <v>106</v>
      </c>
      <c r="BS138" t="s">
        <v>2831</v>
      </c>
      <c r="BT138" t="str">
        <f>HYPERLINK("https%3A%2F%2Fwww.webofscience.com%2Fwos%2Fwoscc%2Ffull-record%2FWOS:000401067400006","View Full Record in Web of Science")</f>
        <v>View Full Record in Web of Science</v>
      </c>
    </row>
    <row r="139" spans="1:72" x14ac:dyDescent="0.15">
      <c r="A139" t="s">
        <v>72</v>
      </c>
      <c r="B139" t="s">
        <v>2832</v>
      </c>
      <c r="C139" t="s">
        <v>74</v>
      </c>
      <c r="D139" t="s">
        <v>74</v>
      </c>
      <c r="E139" t="s">
        <v>74</v>
      </c>
      <c r="F139" t="s">
        <v>2833</v>
      </c>
      <c r="G139" t="s">
        <v>74</v>
      </c>
      <c r="H139" t="s">
        <v>74</v>
      </c>
      <c r="I139" t="s">
        <v>2834</v>
      </c>
      <c r="J139" t="s">
        <v>2835</v>
      </c>
      <c r="K139" t="s">
        <v>74</v>
      </c>
      <c r="L139" t="s">
        <v>74</v>
      </c>
      <c r="M139" t="s">
        <v>78</v>
      </c>
      <c r="N139" t="s">
        <v>79</v>
      </c>
      <c r="O139" t="s">
        <v>74</v>
      </c>
      <c r="P139" t="s">
        <v>74</v>
      </c>
      <c r="Q139" t="s">
        <v>74</v>
      </c>
      <c r="R139" t="s">
        <v>74</v>
      </c>
      <c r="S139" t="s">
        <v>74</v>
      </c>
      <c r="T139" t="s">
        <v>2836</v>
      </c>
      <c r="U139" t="s">
        <v>2837</v>
      </c>
      <c r="V139" t="s">
        <v>2838</v>
      </c>
      <c r="W139" t="s">
        <v>2839</v>
      </c>
      <c r="X139" t="s">
        <v>2840</v>
      </c>
      <c r="Y139" t="s">
        <v>2841</v>
      </c>
      <c r="Z139" t="s">
        <v>2842</v>
      </c>
      <c r="AA139" t="s">
        <v>2843</v>
      </c>
      <c r="AB139" t="s">
        <v>2844</v>
      </c>
      <c r="AC139" t="s">
        <v>2845</v>
      </c>
      <c r="AD139" t="s">
        <v>2846</v>
      </c>
      <c r="AE139" t="s">
        <v>2847</v>
      </c>
      <c r="AF139" t="s">
        <v>74</v>
      </c>
      <c r="AG139">
        <v>65</v>
      </c>
      <c r="AH139">
        <v>54</v>
      </c>
      <c r="AI139">
        <v>55</v>
      </c>
      <c r="AJ139">
        <v>4</v>
      </c>
      <c r="AK139">
        <v>36</v>
      </c>
      <c r="AL139" t="s">
        <v>222</v>
      </c>
      <c r="AM139" t="s">
        <v>223</v>
      </c>
      <c r="AN139" t="s">
        <v>224</v>
      </c>
      <c r="AO139" t="s">
        <v>2848</v>
      </c>
      <c r="AP139" t="s">
        <v>2849</v>
      </c>
      <c r="AQ139" t="s">
        <v>74</v>
      </c>
      <c r="AR139" t="s">
        <v>2835</v>
      </c>
      <c r="AS139" t="s">
        <v>2850</v>
      </c>
      <c r="AT139" t="s">
        <v>128</v>
      </c>
      <c r="AU139">
        <v>2017</v>
      </c>
      <c r="AV139">
        <v>32</v>
      </c>
      <c r="AW139">
        <v>6</v>
      </c>
      <c r="AX139" t="s">
        <v>74</v>
      </c>
      <c r="AY139" t="s">
        <v>74</v>
      </c>
      <c r="AZ139" t="s">
        <v>74</v>
      </c>
      <c r="BA139" t="s">
        <v>74</v>
      </c>
      <c r="BB139">
        <v>512</v>
      </c>
      <c r="BC139">
        <v>530</v>
      </c>
      <c r="BD139" t="s">
        <v>74</v>
      </c>
      <c r="BE139" t="s">
        <v>2851</v>
      </c>
      <c r="BF139" t="str">
        <f>HYPERLINK("http://dx.doi.org/10.1002/2016PA003072","http://dx.doi.org/10.1002/2016PA003072")</f>
        <v>http://dx.doi.org/10.1002/2016PA003072</v>
      </c>
      <c r="BG139" t="s">
        <v>74</v>
      </c>
      <c r="BH139" t="s">
        <v>74</v>
      </c>
      <c r="BI139">
        <v>19</v>
      </c>
      <c r="BJ139" t="s">
        <v>2852</v>
      </c>
      <c r="BK139" t="s">
        <v>103</v>
      </c>
      <c r="BL139" t="s">
        <v>2853</v>
      </c>
      <c r="BM139" t="s">
        <v>2854</v>
      </c>
      <c r="BN139" t="s">
        <v>74</v>
      </c>
      <c r="BO139" t="s">
        <v>2855</v>
      </c>
      <c r="BP139" t="s">
        <v>74</v>
      </c>
      <c r="BQ139" t="s">
        <v>74</v>
      </c>
      <c r="BR139" t="s">
        <v>106</v>
      </c>
      <c r="BS139" t="s">
        <v>2856</v>
      </c>
      <c r="BT139" t="str">
        <f>HYPERLINK("https%3A%2F%2Fwww.webofscience.com%2Fwos%2Fwoscc%2Ffull-record%2FWOS:000405638700001","View Full Record in Web of Science")</f>
        <v>View Full Record in Web of Science</v>
      </c>
    </row>
    <row r="140" spans="1:72" x14ac:dyDescent="0.15">
      <c r="A140" t="s">
        <v>72</v>
      </c>
      <c r="B140" t="s">
        <v>2857</v>
      </c>
      <c r="C140" t="s">
        <v>74</v>
      </c>
      <c r="D140" t="s">
        <v>74</v>
      </c>
      <c r="E140" t="s">
        <v>74</v>
      </c>
      <c r="F140" t="s">
        <v>2858</v>
      </c>
      <c r="G140" t="s">
        <v>74</v>
      </c>
      <c r="H140" t="s">
        <v>74</v>
      </c>
      <c r="I140" t="s">
        <v>2859</v>
      </c>
      <c r="J140" t="s">
        <v>2860</v>
      </c>
      <c r="K140" t="s">
        <v>74</v>
      </c>
      <c r="L140" t="s">
        <v>74</v>
      </c>
      <c r="M140" t="s">
        <v>78</v>
      </c>
      <c r="N140" t="s">
        <v>79</v>
      </c>
      <c r="O140" t="s">
        <v>74</v>
      </c>
      <c r="P140" t="s">
        <v>74</v>
      </c>
      <c r="Q140" t="s">
        <v>74</v>
      </c>
      <c r="R140" t="s">
        <v>74</v>
      </c>
      <c r="S140" t="s">
        <v>74</v>
      </c>
      <c r="T140" t="s">
        <v>74</v>
      </c>
      <c r="U140" t="s">
        <v>2861</v>
      </c>
      <c r="V140" t="s">
        <v>2862</v>
      </c>
      <c r="W140" t="s">
        <v>2863</v>
      </c>
      <c r="X140" t="s">
        <v>2864</v>
      </c>
      <c r="Y140" t="s">
        <v>2865</v>
      </c>
      <c r="Z140" t="s">
        <v>2866</v>
      </c>
      <c r="AA140" t="s">
        <v>2867</v>
      </c>
      <c r="AB140" t="s">
        <v>2868</v>
      </c>
      <c r="AC140" t="s">
        <v>2869</v>
      </c>
      <c r="AD140" t="s">
        <v>2870</v>
      </c>
      <c r="AE140" t="s">
        <v>2871</v>
      </c>
      <c r="AF140" t="s">
        <v>74</v>
      </c>
      <c r="AG140">
        <v>59</v>
      </c>
      <c r="AH140">
        <v>37</v>
      </c>
      <c r="AI140">
        <v>40</v>
      </c>
      <c r="AJ140">
        <v>3</v>
      </c>
      <c r="AK140">
        <v>41</v>
      </c>
      <c r="AL140" t="s">
        <v>681</v>
      </c>
      <c r="AM140" t="s">
        <v>682</v>
      </c>
      <c r="AN140" t="s">
        <v>683</v>
      </c>
      <c r="AO140" t="s">
        <v>2872</v>
      </c>
      <c r="AP140" t="s">
        <v>2873</v>
      </c>
      <c r="AQ140" t="s">
        <v>74</v>
      </c>
      <c r="AR140" t="s">
        <v>2874</v>
      </c>
      <c r="AS140" t="s">
        <v>2875</v>
      </c>
      <c r="AT140" t="s">
        <v>128</v>
      </c>
      <c r="AU140">
        <v>2017</v>
      </c>
      <c r="AV140">
        <v>160</v>
      </c>
      <c r="AW140">
        <v>2</v>
      </c>
      <c r="AX140" t="s">
        <v>74</v>
      </c>
      <c r="AY140" t="s">
        <v>74</v>
      </c>
      <c r="AZ140" t="s">
        <v>74</v>
      </c>
      <c r="BA140" t="s">
        <v>74</v>
      </c>
      <c r="BB140">
        <v>155</v>
      </c>
      <c r="BC140">
        <v>170</v>
      </c>
      <c r="BD140" t="s">
        <v>74</v>
      </c>
      <c r="BE140" t="s">
        <v>2876</v>
      </c>
      <c r="BF140" t="str">
        <f>HYPERLINK("http://dx.doi.org/10.1111/ppl.12539","http://dx.doi.org/10.1111/ppl.12539")</f>
        <v>http://dx.doi.org/10.1111/ppl.12539</v>
      </c>
      <c r="BG140" t="s">
        <v>74</v>
      </c>
      <c r="BH140" t="s">
        <v>74</v>
      </c>
      <c r="BI140">
        <v>16</v>
      </c>
      <c r="BJ140" t="s">
        <v>102</v>
      </c>
      <c r="BK140" t="s">
        <v>103</v>
      </c>
      <c r="BL140" t="s">
        <v>102</v>
      </c>
      <c r="BM140" t="s">
        <v>2877</v>
      </c>
      <c r="BN140">
        <v>28019019</v>
      </c>
      <c r="BO140" t="s">
        <v>384</v>
      </c>
      <c r="BP140" t="s">
        <v>74</v>
      </c>
      <c r="BQ140" t="s">
        <v>74</v>
      </c>
      <c r="BR140" t="s">
        <v>106</v>
      </c>
      <c r="BS140" t="s">
        <v>2878</v>
      </c>
      <c r="BT140" t="str">
        <f>HYPERLINK("https%3A%2F%2Fwww.webofscience.com%2Fwos%2Fwoscc%2Ffull-record%2FWOS:000401238200003","View Full Record in Web of Science")</f>
        <v>View Full Record in Web of Science</v>
      </c>
    </row>
    <row r="141" spans="1:72" x14ac:dyDescent="0.15">
      <c r="A141" t="s">
        <v>72</v>
      </c>
      <c r="B141" t="s">
        <v>2879</v>
      </c>
      <c r="C141" t="s">
        <v>74</v>
      </c>
      <c r="D141" t="s">
        <v>74</v>
      </c>
      <c r="E141" t="s">
        <v>74</v>
      </c>
      <c r="F141" t="s">
        <v>2880</v>
      </c>
      <c r="G141" t="s">
        <v>74</v>
      </c>
      <c r="H141" t="s">
        <v>74</v>
      </c>
      <c r="I141" t="s">
        <v>2881</v>
      </c>
      <c r="J141" t="s">
        <v>1000</v>
      </c>
      <c r="K141" t="s">
        <v>74</v>
      </c>
      <c r="L141" t="s">
        <v>74</v>
      </c>
      <c r="M141" t="s">
        <v>78</v>
      </c>
      <c r="N141" t="s">
        <v>518</v>
      </c>
      <c r="O141" t="s">
        <v>74</v>
      </c>
      <c r="P141" t="s">
        <v>74</v>
      </c>
      <c r="Q141" t="s">
        <v>74</v>
      </c>
      <c r="R141" t="s">
        <v>74</v>
      </c>
      <c r="S141" t="s">
        <v>74</v>
      </c>
      <c r="T141" t="s">
        <v>2882</v>
      </c>
      <c r="U141" t="s">
        <v>2883</v>
      </c>
      <c r="V141" t="s">
        <v>2884</v>
      </c>
      <c r="W141" t="s">
        <v>2885</v>
      </c>
      <c r="X141" t="s">
        <v>2886</v>
      </c>
      <c r="Y141" t="s">
        <v>2887</v>
      </c>
      <c r="Z141" t="s">
        <v>2888</v>
      </c>
      <c r="AA141" t="s">
        <v>2889</v>
      </c>
      <c r="AB141" t="s">
        <v>2890</v>
      </c>
      <c r="AC141" t="s">
        <v>2891</v>
      </c>
      <c r="AD141" t="s">
        <v>2892</v>
      </c>
      <c r="AE141" t="s">
        <v>2893</v>
      </c>
      <c r="AF141" t="s">
        <v>74</v>
      </c>
      <c r="AG141">
        <v>128</v>
      </c>
      <c r="AH141">
        <v>32</v>
      </c>
      <c r="AI141">
        <v>36</v>
      </c>
      <c r="AJ141">
        <v>1</v>
      </c>
      <c r="AK141">
        <v>68</v>
      </c>
      <c r="AL141" t="s">
        <v>986</v>
      </c>
      <c r="AM141" t="s">
        <v>430</v>
      </c>
      <c r="AN141" t="s">
        <v>1663</v>
      </c>
      <c r="AO141" t="s">
        <v>1013</v>
      </c>
      <c r="AP141" t="s">
        <v>1014</v>
      </c>
      <c r="AQ141" t="s">
        <v>74</v>
      </c>
      <c r="AR141" t="s">
        <v>1015</v>
      </c>
      <c r="AS141" t="s">
        <v>1016</v>
      </c>
      <c r="AT141" t="s">
        <v>128</v>
      </c>
      <c r="AU141">
        <v>2017</v>
      </c>
      <c r="AV141">
        <v>40</v>
      </c>
      <c r="AW141">
        <v>6</v>
      </c>
      <c r="AX141" t="s">
        <v>74</v>
      </c>
      <c r="AY141" t="s">
        <v>74</v>
      </c>
      <c r="AZ141" t="s">
        <v>74</v>
      </c>
      <c r="BA141" t="s">
        <v>74</v>
      </c>
      <c r="BB141">
        <v>1169</v>
      </c>
      <c r="BC141">
        <v>1184</v>
      </c>
      <c r="BD141" t="s">
        <v>74</v>
      </c>
      <c r="BE141" t="s">
        <v>2894</v>
      </c>
      <c r="BF141" t="str">
        <f>HYPERLINK("http://dx.doi.org/10.1007/s00300-016-2045-4","http://dx.doi.org/10.1007/s00300-016-2045-4")</f>
        <v>http://dx.doi.org/10.1007/s00300-016-2045-4</v>
      </c>
      <c r="BG141" t="s">
        <v>74</v>
      </c>
      <c r="BH141" t="s">
        <v>74</v>
      </c>
      <c r="BI141">
        <v>16</v>
      </c>
      <c r="BJ141" t="s">
        <v>1018</v>
      </c>
      <c r="BK141" t="s">
        <v>103</v>
      </c>
      <c r="BL141" t="s">
        <v>326</v>
      </c>
      <c r="BM141" t="s">
        <v>1019</v>
      </c>
      <c r="BN141" t="s">
        <v>74</v>
      </c>
      <c r="BO141" t="s">
        <v>74</v>
      </c>
      <c r="BP141" t="s">
        <v>74</v>
      </c>
      <c r="BQ141" t="s">
        <v>74</v>
      </c>
      <c r="BR141" t="s">
        <v>106</v>
      </c>
      <c r="BS141" t="s">
        <v>2895</v>
      </c>
      <c r="BT141" t="str">
        <f>HYPERLINK("https%3A%2F%2Fwww.webofscience.com%2Fwos%2Fwoscc%2Ffull-record%2FWOS:000403470300001","View Full Record in Web of Science")</f>
        <v>View Full Record in Web of Science</v>
      </c>
    </row>
    <row r="142" spans="1:72" x14ac:dyDescent="0.15">
      <c r="A142" t="s">
        <v>72</v>
      </c>
      <c r="B142" t="s">
        <v>2896</v>
      </c>
      <c r="C142" t="s">
        <v>74</v>
      </c>
      <c r="D142" t="s">
        <v>74</v>
      </c>
      <c r="E142" t="s">
        <v>74</v>
      </c>
      <c r="F142" t="s">
        <v>2897</v>
      </c>
      <c r="G142" t="s">
        <v>74</v>
      </c>
      <c r="H142" t="s">
        <v>74</v>
      </c>
      <c r="I142" t="s">
        <v>2898</v>
      </c>
      <c r="J142" t="s">
        <v>1000</v>
      </c>
      <c r="K142" t="s">
        <v>74</v>
      </c>
      <c r="L142" t="s">
        <v>74</v>
      </c>
      <c r="M142" t="s">
        <v>78</v>
      </c>
      <c r="N142" t="s">
        <v>518</v>
      </c>
      <c r="O142" t="s">
        <v>74</v>
      </c>
      <c r="P142" t="s">
        <v>74</v>
      </c>
      <c r="Q142" t="s">
        <v>74</v>
      </c>
      <c r="R142" t="s">
        <v>74</v>
      </c>
      <c r="S142" t="s">
        <v>74</v>
      </c>
      <c r="T142" t="s">
        <v>2899</v>
      </c>
      <c r="U142" t="s">
        <v>2900</v>
      </c>
      <c r="V142" t="s">
        <v>2901</v>
      </c>
      <c r="W142" t="s">
        <v>2902</v>
      </c>
      <c r="X142" t="s">
        <v>2903</v>
      </c>
      <c r="Y142" t="s">
        <v>2904</v>
      </c>
      <c r="Z142" t="s">
        <v>2905</v>
      </c>
      <c r="AA142" t="s">
        <v>2906</v>
      </c>
      <c r="AB142" t="s">
        <v>2907</v>
      </c>
      <c r="AC142" t="s">
        <v>2908</v>
      </c>
      <c r="AD142" t="s">
        <v>2909</v>
      </c>
      <c r="AE142" t="s">
        <v>2910</v>
      </c>
      <c r="AF142" t="s">
        <v>74</v>
      </c>
      <c r="AG142">
        <v>113</v>
      </c>
      <c r="AH142">
        <v>35</v>
      </c>
      <c r="AI142">
        <v>37</v>
      </c>
      <c r="AJ142">
        <v>2</v>
      </c>
      <c r="AK142">
        <v>30</v>
      </c>
      <c r="AL142" t="s">
        <v>986</v>
      </c>
      <c r="AM142" t="s">
        <v>430</v>
      </c>
      <c r="AN142" t="s">
        <v>987</v>
      </c>
      <c r="AO142" t="s">
        <v>1013</v>
      </c>
      <c r="AP142" t="s">
        <v>1014</v>
      </c>
      <c r="AQ142" t="s">
        <v>74</v>
      </c>
      <c r="AR142" t="s">
        <v>1015</v>
      </c>
      <c r="AS142" t="s">
        <v>1016</v>
      </c>
      <c r="AT142" t="s">
        <v>128</v>
      </c>
      <c r="AU142">
        <v>2017</v>
      </c>
      <c r="AV142">
        <v>40</v>
      </c>
      <c r="AW142">
        <v>6</v>
      </c>
      <c r="AX142" t="s">
        <v>74</v>
      </c>
      <c r="AY142" t="s">
        <v>74</v>
      </c>
      <c r="AZ142" t="s">
        <v>74</v>
      </c>
      <c r="BA142" t="s">
        <v>74</v>
      </c>
      <c r="BB142">
        <v>1185</v>
      </c>
      <c r="BC142">
        <v>1196</v>
      </c>
      <c r="BD142" t="s">
        <v>74</v>
      </c>
      <c r="BE142" t="s">
        <v>2911</v>
      </c>
      <c r="BF142" t="str">
        <f>HYPERLINK("http://dx.doi.org/10.1007/s00300-017-2090-7","http://dx.doi.org/10.1007/s00300-017-2090-7")</f>
        <v>http://dx.doi.org/10.1007/s00300-017-2090-7</v>
      </c>
      <c r="BG142" t="s">
        <v>74</v>
      </c>
      <c r="BH142" t="s">
        <v>74</v>
      </c>
      <c r="BI142">
        <v>12</v>
      </c>
      <c r="BJ142" t="s">
        <v>1018</v>
      </c>
      <c r="BK142" t="s">
        <v>103</v>
      </c>
      <c r="BL142" t="s">
        <v>326</v>
      </c>
      <c r="BM142" t="s">
        <v>1019</v>
      </c>
      <c r="BN142" t="s">
        <v>74</v>
      </c>
      <c r="BO142" t="s">
        <v>2912</v>
      </c>
      <c r="BP142" t="s">
        <v>74</v>
      </c>
      <c r="BQ142" t="s">
        <v>74</v>
      </c>
      <c r="BR142" t="s">
        <v>106</v>
      </c>
      <c r="BS142" t="s">
        <v>2913</v>
      </c>
      <c r="BT142" t="str">
        <f>HYPERLINK("https%3A%2F%2Fwww.webofscience.com%2Fwos%2Fwoscc%2Ffull-record%2FWOS:000403470300002","View Full Record in Web of Science")</f>
        <v>View Full Record in Web of Science</v>
      </c>
    </row>
    <row r="143" spans="1:72" x14ac:dyDescent="0.15">
      <c r="A143" t="s">
        <v>72</v>
      </c>
      <c r="B143" t="s">
        <v>2914</v>
      </c>
      <c r="C143" t="s">
        <v>74</v>
      </c>
      <c r="D143" t="s">
        <v>74</v>
      </c>
      <c r="E143" t="s">
        <v>74</v>
      </c>
      <c r="F143" t="s">
        <v>2915</v>
      </c>
      <c r="G143" t="s">
        <v>74</v>
      </c>
      <c r="H143" t="s">
        <v>74</v>
      </c>
      <c r="I143" t="s">
        <v>2916</v>
      </c>
      <c r="J143" t="s">
        <v>1000</v>
      </c>
      <c r="K143" t="s">
        <v>74</v>
      </c>
      <c r="L143" t="s">
        <v>74</v>
      </c>
      <c r="M143" t="s">
        <v>78</v>
      </c>
      <c r="N143" t="s">
        <v>79</v>
      </c>
      <c r="O143" t="s">
        <v>74</v>
      </c>
      <c r="P143" t="s">
        <v>74</v>
      </c>
      <c r="Q143" t="s">
        <v>74</v>
      </c>
      <c r="R143" t="s">
        <v>74</v>
      </c>
      <c r="S143" t="s">
        <v>74</v>
      </c>
      <c r="T143" t="s">
        <v>2917</v>
      </c>
      <c r="U143" t="s">
        <v>2918</v>
      </c>
      <c r="V143" t="s">
        <v>2919</v>
      </c>
      <c r="W143" t="s">
        <v>2920</v>
      </c>
      <c r="X143" t="s">
        <v>2921</v>
      </c>
      <c r="Y143" t="s">
        <v>2922</v>
      </c>
      <c r="Z143" t="s">
        <v>2923</v>
      </c>
      <c r="AA143" t="s">
        <v>2924</v>
      </c>
      <c r="AB143" t="s">
        <v>2925</v>
      </c>
      <c r="AC143" t="s">
        <v>2926</v>
      </c>
      <c r="AD143" t="s">
        <v>2927</v>
      </c>
      <c r="AE143" t="s">
        <v>2928</v>
      </c>
      <c r="AF143" t="s">
        <v>74</v>
      </c>
      <c r="AG143">
        <v>82</v>
      </c>
      <c r="AH143">
        <v>25</v>
      </c>
      <c r="AI143">
        <v>26</v>
      </c>
      <c r="AJ143">
        <v>2</v>
      </c>
      <c r="AK143">
        <v>34</v>
      </c>
      <c r="AL143" t="s">
        <v>986</v>
      </c>
      <c r="AM143" t="s">
        <v>430</v>
      </c>
      <c r="AN143" t="s">
        <v>987</v>
      </c>
      <c r="AO143" t="s">
        <v>1013</v>
      </c>
      <c r="AP143" t="s">
        <v>1014</v>
      </c>
      <c r="AQ143" t="s">
        <v>74</v>
      </c>
      <c r="AR143" t="s">
        <v>1015</v>
      </c>
      <c r="AS143" t="s">
        <v>1016</v>
      </c>
      <c r="AT143" t="s">
        <v>128</v>
      </c>
      <c r="AU143">
        <v>2017</v>
      </c>
      <c r="AV143">
        <v>40</v>
      </c>
      <c r="AW143">
        <v>6</v>
      </c>
      <c r="AX143" t="s">
        <v>74</v>
      </c>
      <c r="AY143" t="s">
        <v>74</v>
      </c>
      <c r="AZ143" t="s">
        <v>74</v>
      </c>
      <c r="BA143" t="s">
        <v>74</v>
      </c>
      <c r="BB143">
        <v>1229</v>
      </c>
      <c r="BC143">
        <v>1245</v>
      </c>
      <c r="BD143" t="s">
        <v>74</v>
      </c>
      <c r="BE143" t="s">
        <v>2929</v>
      </c>
      <c r="BF143" t="str">
        <f>HYPERLINK("http://dx.doi.org/10.1007/s00300-016-2046-3","http://dx.doi.org/10.1007/s00300-016-2046-3")</f>
        <v>http://dx.doi.org/10.1007/s00300-016-2046-3</v>
      </c>
      <c r="BG143" t="s">
        <v>74</v>
      </c>
      <c r="BH143" t="s">
        <v>74</v>
      </c>
      <c r="BI143">
        <v>17</v>
      </c>
      <c r="BJ143" t="s">
        <v>1018</v>
      </c>
      <c r="BK143" t="s">
        <v>103</v>
      </c>
      <c r="BL143" t="s">
        <v>326</v>
      </c>
      <c r="BM143" t="s">
        <v>1019</v>
      </c>
      <c r="BN143" t="s">
        <v>74</v>
      </c>
      <c r="BO143" t="s">
        <v>1100</v>
      </c>
      <c r="BP143" t="s">
        <v>74</v>
      </c>
      <c r="BQ143" t="s">
        <v>74</v>
      </c>
      <c r="BR143" t="s">
        <v>106</v>
      </c>
      <c r="BS143" t="s">
        <v>2930</v>
      </c>
      <c r="BT143" t="str">
        <f>HYPERLINK("https%3A%2F%2Fwww.webofscience.com%2Fwos%2Fwoscc%2Ffull-record%2FWOS:000403470300005","View Full Record in Web of Science")</f>
        <v>View Full Record in Web of Science</v>
      </c>
    </row>
    <row r="144" spans="1:72" x14ac:dyDescent="0.15">
      <c r="A144" t="s">
        <v>72</v>
      </c>
      <c r="B144" t="s">
        <v>1038</v>
      </c>
      <c r="C144" t="s">
        <v>74</v>
      </c>
      <c r="D144" t="s">
        <v>74</v>
      </c>
      <c r="E144" t="s">
        <v>74</v>
      </c>
      <c r="F144" t="s">
        <v>1039</v>
      </c>
      <c r="G144" t="s">
        <v>74</v>
      </c>
      <c r="H144" t="s">
        <v>74</v>
      </c>
      <c r="I144" t="s">
        <v>2931</v>
      </c>
      <c r="J144" t="s">
        <v>1000</v>
      </c>
      <c r="K144" t="s">
        <v>74</v>
      </c>
      <c r="L144" t="s">
        <v>74</v>
      </c>
      <c r="M144" t="s">
        <v>78</v>
      </c>
      <c r="N144" t="s">
        <v>79</v>
      </c>
      <c r="O144" t="s">
        <v>74</v>
      </c>
      <c r="P144" t="s">
        <v>74</v>
      </c>
      <c r="Q144" t="s">
        <v>74</v>
      </c>
      <c r="R144" t="s">
        <v>74</v>
      </c>
      <c r="S144" t="s">
        <v>74</v>
      </c>
      <c r="T144" t="s">
        <v>2932</v>
      </c>
      <c r="U144" t="s">
        <v>2933</v>
      </c>
      <c r="V144" t="s">
        <v>2934</v>
      </c>
      <c r="W144" t="s">
        <v>1042</v>
      </c>
      <c r="X144" t="s">
        <v>1043</v>
      </c>
      <c r="Y144" t="s">
        <v>1044</v>
      </c>
      <c r="Z144" t="s">
        <v>1045</v>
      </c>
      <c r="AA144" t="s">
        <v>2935</v>
      </c>
      <c r="AB144" t="s">
        <v>2936</v>
      </c>
      <c r="AC144" t="s">
        <v>2937</v>
      </c>
      <c r="AD144" t="s">
        <v>2938</v>
      </c>
      <c r="AE144" t="s">
        <v>2939</v>
      </c>
      <c r="AF144" t="s">
        <v>74</v>
      </c>
      <c r="AG144">
        <v>61</v>
      </c>
      <c r="AH144">
        <v>18</v>
      </c>
      <c r="AI144">
        <v>20</v>
      </c>
      <c r="AJ144">
        <v>2</v>
      </c>
      <c r="AK144">
        <v>42</v>
      </c>
      <c r="AL144" t="s">
        <v>986</v>
      </c>
      <c r="AM144" t="s">
        <v>430</v>
      </c>
      <c r="AN144" t="s">
        <v>987</v>
      </c>
      <c r="AO144" t="s">
        <v>1013</v>
      </c>
      <c r="AP144" t="s">
        <v>1014</v>
      </c>
      <c r="AQ144" t="s">
        <v>74</v>
      </c>
      <c r="AR144" t="s">
        <v>1015</v>
      </c>
      <c r="AS144" t="s">
        <v>1016</v>
      </c>
      <c r="AT144" t="s">
        <v>128</v>
      </c>
      <c r="AU144">
        <v>2017</v>
      </c>
      <c r="AV144">
        <v>40</v>
      </c>
      <c r="AW144">
        <v>6</v>
      </c>
      <c r="AX144" t="s">
        <v>74</v>
      </c>
      <c r="AY144" t="s">
        <v>74</v>
      </c>
      <c r="AZ144" t="s">
        <v>74</v>
      </c>
      <c r="BA144" t="s">
        <v>74</v>
      </c>
      <c r="BB144">
        <v>1319</v>
      </c>
      <c r="BC144">
        <v>1331</v>
      </c>
      <c r="BD144" t="s">
        <v>74</v>
      </c>
      <c r="BE144" t="s">
        <v>2940</v>
      </c>
      <c r="BF144" t="str">
        <f>HYPERLINK("http://dx.doi.org/10.1007/s00300-016-2036-5","http://dx.doi.org/10.1007/s00300-016-2036-5")</f>
        <v>http://dx.doi.org/10.1007/s00300-016-2036-5</v>
      </c>
      <c r="BG144" t="s">
        <v>74</v>
      </c>
      <c r="BH144" t="s">
        <v>74</v>
      </c>
      <c r="BI144">
        <v>13</v>
      </c>
      <c r="BJ144" t="s">
        <v>1018</v>
      </c>
      <c r="BK144" t="s">
        <v>103</v>
      </c>
      <c r="BL144" t="s">
        <v>326</v>
      </c>
      <c r="BM144" t="s">
        <v>1019</v>
      </c>
      <c r="BN144" t="s">
        <v>74</v>
      </c>
      <c r="BO144" t="s">
        <v>74</v>
      </c>
      <c r="BP144" t="s">
        <v>74</v>
      </c>
      <c r="BQ144" t="s">
        <v>74</v>
      </c>
      <c r="BR144" t="s">
        <v>106</v>
      </c>
      <c r="BS144" t="s">
        <v>2941</v>
      </c>
      <c r="BT144" t="str">
        <f>HYPERLINK("https%3A%2F%2Fwww.webofscience.com%2Fwos%2Fwoscc%2Ffull-record%2FWOS:000403470300011","View Full Record in Web of Science")</f>
        <v>View Full Record in Web of Science</v>
      </c>
    </row>
    <row r="145" spans="1:72" x14ac:dyDescent="0.15">
      <c r="A145" t="s">
        <v>72</v>
      </c>
      <c r="B145" t="s">
        <v>2942</v>
      </c>
      <c r="C145" t="s">
        <v>74</v>
      </c>
      <c r="D145" t="s">
        <v>74</v>
      </c>
      <c r="E145" t="s">
        <v>74</v>
      </c>
      <c r="F145" t="s">
        <v>2943</v>
      </c>
      <c r="G145" t="s">
        <v>74</v>
      </c>
      <c r="H145" t="s">
        <v>74</v>
      </c>
      <c r="I145" t="s">
        <v>2944</v>
      </c>
      <c r="J145" t="s">
        <v>1675</v>
      </c>
      <c r="K145" t="s">
        <v>74</v>
      </c>
      <c r="L145" t="s">
        <v>74</v>
      </c>
      <c r="M145" t="s">
        <v>78</v>
      </c>
      <c r="N145" t="s">
        <v>2082</v>
      </c>
      <c r="O145" t="s">
        <v>74</v>
      </c>
      <c r="P145" t="s">
        <v>74</v>
      </c>
      <c r="Q145" t="s">
        <v>74</v>
      </c>
      <c r="R145" t="s">
        <v>74</v>
      </c>
      <c r="S145" t="s">
        <v>74</v>
      </c>
      <c r="T145" t="s">
        <v>2945</v>
      </c>
      <c r="U145" t="s">
        <v>2946</v>
      </c>
      <c r="V145" t="s">
        <v>2947</v>
      </c>
      <c r="W145" t="s">
        <v>2948</v>
      </c>
      <c r="X145" t="s">
        <v>2949</v>
      </c>
      <c r="Y145" t="s">
        <v>2950</v>
      </c>
      <c r="Z145" t="s">
        <v>1768</v>
      </c>
      <c r="AA145" t="s">
        <v>74</v>
      </c>
      <c r="AB145" t="s">
        <v>74</v>
      </c>
      <c r="AC145" t="s">
        <v>2951</v>
      </c>
      <c r="AD145" t="s">
        <v>2952</v>
      </c>
      <c r="AE145" t="s">
        <v>2953</v>
      </c>
      <c r="AF145" t="s">
        <v>74</v>
      </c>
      <c r="AG145">
        <v>34</v>
      </c>
      <c r="AH145">
        <v>4</v>
      </c>
      <c r="AI145">
        <v>4</v>
      </c>
      <c r="AJ145">
        <v>0</v>
      </c>
      <c r="AK145">
        <v>6</v>
      </c>
      <c r="AL145" t="s">
        <v>1141</v>
      </c>
      <c r="AM145" t="s">
        <v>318</v>
      </c>
      <c r="AN145" t="s">
        <v>1142</v>
      </c>
      <c r="AO145" t="s">
        <v>1688</v>
      </c>
      <c r="AP145" t="s">
        <v>1689</v>
      </c>
      <c r="AQ145" t="s">
        <v>74</v>
      </c>
      <c r="AR145" t="s">
        <v>1690</v>
      </c>
      <c r="AS145" t="s">
        <v>1691</v>
      </c>
      <c r="AT145" t="s">
        <v>128</v>
      </c>
      <c r="AU145">
        <v>2017</v>
      </c>
      <c r="AV145">
        <v>12</v>
      </c>
      <c r="AW145" t="s">
        <v>74</v>
      </c>
      <c r="AX145" t="s">
        <v>74</v>
      </c>
      <c r="AY145" t="s">
        <v>74</v>
      </c>
      <c r="AZ145" t="s">
        <v>100</v>
      </c>
      <c r="BA145" t="s">
        <v>74</v>
      </c>
      <c r="BB145">
        <v>1</v>
      </c>
      <c r="BC145">
        <v>4</v>
      </c>
      <c r="BD145" t="s">
        <v>74</v>
      </c>
      <c r="BE145" t="s">
        <v>2954</v>
      </c>
      <c r="BF145" t="str">
        <f>HYPERLINK("http://dx.doi.org/10.1016/j.polar.2017.04.002","http://dx.doi.org/10.1016/j.polar.2017.04.002")</f>
        <v>http://dx.doi.org/10.1016/j.polar.2017.04.002</v>
      </c>
      <c r="BG145" t="s">
        <v>74</v>
      </c>
      <c r="BH145" t="s">
        <v>74</v>
      </c>
      <c r="BI145">
        <v>4</v>
      </c>
      <c r="BJ145" t="s">
        <v>1693</v>
      </c>
      <c r="BK145" t="s">
        <v>103</v>
      </c>
      <c r="BL145" t="s">
        <v>270</v>
      </c>
      <c r="BM145" t="s">
        <v>1694</v>
      </c>
      <c r="BN145" t="s">
        <v>74</v>
      </c>
      <c r="BO145" t="s">
        <v>384</v>
      </c>
      <c r="BP145" t="s">
        <v>74</v>
      </c>
      <c r="BQ145" t="s">
        <v>74</v>
      </c>
      <c r="BR145" t="s">
        <v>106</v>
      </c>
      <c r="BS145" t="s">
        <v>2955</v>
      </c>
      <c r="BT145" t="str">
        <f>HYPERLINK("https%3A%2F%2Fwww.webofscience.com%2Fwos%2Fwoscc%2Ffull-record%2FWOS:000402350800001","View Full Record in Web of Science")</f>
        <v>View Full Record in Web of Science</v>
      </c>
    </row>
    <row r="146" spans="1:72" x14ac:dyDescent="0.15">
      <c r="A146" t="s">
        <v>72</v>
      </c>
      <c r="B146" t="s">
        <v>2956</v>
      </c>
      <c r="C146" t="s">
        <v>74</v>
      </c>
      <c r="D146" t="s">
        <v>74</v>
      </c>
      <c r="E146" t="s">
        <v>74</v>
      </c>
      <c r="F146" t="s">
        <v>2957</v>
      </c>
      <c r="G146" t="s">
        <v>74</v>
      </c>
      <c r="H146" t="s">
        <v>74</v>
      </c>
      <c r="I146" t="s">
        <v>2958</v>
      </c>
      <c r="J146" t="s">
        <v>1675</v>
      </c>
      <c r="K146" t="s">
        <v>74</v>
      </c>
      <c r="L146" t="s">
        <v>74</v>
      </c>
      <c r="M146" t="s">
        <v>78</v>
      </c>
      <c r="N146" t="s">
        <v>79</v>
      </c>
      <c r="O146" t="s">
        <v>74</v>
      </c>
      <c r="P146" t="s">
        <v>74</v>
      </c>
      <c r="Q146" t="s">
        <v>74</v>
      </c>
      <c r="R146" t="s">
        <v>74</v>
      </c>
      <c r="S146" t="s">
        <v>74</v>
      </c>
      <c r="T146" t="s">
        <v>2959</v>
      </c>
      <c r="U146" t="s">
        <v>2960</v>
      </c>
      <c r="V146" t="s">
        <v>2961</v>
      </c>
      <c r="W146" t="s">
        <v>2962</v>
      </c>
      <c r="X146" t="s">
        <v>2963</v>
      </c>
      <c r="Y146" t="s">
        <v>2964</v>
      </c>
      <c r="Z146" t="s">
        <v>2965</v>
      </c>
      <c r="AA146" t="s">
        <v>2966</v>
      </c>
      <c r="AB146" t="s">
        <v>2967</v>
      </c>
      <c r="AC146" t="s">
        <v>2968</v>
      </c>
      <c r="AD146" t="s">
        <v>2969</v>
      </c>
      <c r="AE146" t="s">
        <v>2970</v>
      </c>
      <c r="AF146" t="s">
        <v>74</v>
      </c>
      <c r="AG146">
        <v>48</v>
      </c>
      <c r="AH146">
        <v>7</v>
      </c>
      <c r="AI146">
        <v>8</v>
      </c>
      <c r="AJ146">
        <v>0</v>
      </c>
      <c r="AK146">
        <v>18</v>
      </c>
      <c r="AL146" t="s">
        <v>317</v>
      </c>
      <c r="AM146" t="s">
        <v>318</v>
      </c>
      <c r="AN146" t="s">
        <v>319</v>
      </c>
      <c r="AO146" t="s">
        <v>1688</v>
      </c>
      <c r="AP146" t="s">
        <v>1689</v>
      </c>
      <c r="AQ146" t="s">
        <v>74</v>
      </c>
      <c r="AR146" t="s">
        <v>1690</v>
      </c>
      <c r="AS146" t="s">
        <v>1691</v>
      </c>
      <c r="AT146" t="s">
        <v>128</v>
      </c>
      <c r="AU146">
        <v>2017</v>
      </c>
      <c r="AV146">
        <v>12</v>
      </c>
      <c r="AW146" t="s">
        <v>74</v>
      </c>
      <c r="AX146" t="s">
        <v>74</v>
      </c>
      <c r="AY146" t="s">
        <v>74</v>
      </c>
      <c r="AZ146" t="s">
        <v>100</v>
      </c>
      <c r="BA146" t="s">
        <v>74</v>
      </c>
      <c r="BB146">
        <v>5</v>
      </c>
      <c r="BC146">
        <v>11</v>
      </c>
      <c r="BD146" t="s">
        <v>74</v>
      </c>
      <c r="BE146" t="s">
        <v>2971</v>
      </c>
      <c r="BF146" t="str">
        <f>HYPERLINK("http://dx.doi.org/10.1016/j.polar.2016.12.003","http://dx.doi.org/10.1016/j.polar.2016.12.003")</f>
        <v>http://dx.doi.org/10.1016/j.polar.2016.12.003</v>
      </c>
      <c r="BG146" t="s">
        <v>74</v>
      </c>
      <c r="BH146" t="s">
        <v>74</v>
      </c>
      <c r="BI146">
        <v>7</v>
      </c>
      <c r="BJ146" t="s">
        <v>1693</v>
      </c>
      <c r="BK146" t="s">
        <v>103</v>
      </c>
      <c r="BL146" t="s">
        <v>270</v>
      </c>
      <c r="BM146" t="s">
        <v>1694</v>
      </c>
      <c r="BN146" t="s">
        <v>74</v>
      </c>
      <c r="BO146" t="s">
        <v>384</v>
      </c>
      <c r="BP146" t="s">
        <v>74</v>
      </c>
      <c r="BQ146" t="s">
        <v>74</v>
      </c>
      <c r="BR146" t="s">
        <v>106</v>
      </c>
      <c r="BS146" t="s">
        <v>2972</v>
      </c>
      <c r="BT146" t="str">
        <f>HYPERLINK("https%3A%2F%2Fwww.webofscience.com%2Fwos%2Fwoscc%2Ffull-record%2FWOS:000402350800002","View Full Record in Web of Science")</f>
        <v>View Full Record in Web of Science</v>
      </c>
    </row>
    <row r="147" spans="1:72" x14ac:dyDescent="0.15">
      <c r="A147" t="s">
        <v>72</v>
      </c>
      <c r="B147" t="s">
        <v>2973</v>
      </c>
      <c r="C147" t="s">
        <v>74</v>
      </c>
      <c r="D147" t="s">
        <v>74</v>
      </c>
      <c r="E147" t="s">
        <v>74</v>
      </c>
      <c r="F147" t="s">
        <v>2974</v>
      </c>
      <c r="G147" t="s">
        <v>74</v>
      </c>
      <c r="H147" t="s">
        <v>74</v>
      </c>
      <c r="I147" t="s">
        <v>2975</v>
      </c>
      <c r="J147" t="s">
        <v>1675</v>
      </c>
      <c r="K147" t="s">
        <v>74</v>
      </c>
      <c r="L147" t="s">
        <v>74</v>
      </c>
      <c r="M147" t="s">
        <v>78</v>
      </c>
      <c r="N147" t="s">
        <v>79</v>
      </c>
      <c r="O147" t="s">
        <v>74</v>
      </c>
      <c r="P147" t="s">
        <v>74</v>
      </c>
      <c r="Q147" t="s">
        <v>74</v>
      </c>
      <c r="R147" t="s">
        <v>74</v>
      </c>
      <c r="S147" t="s">
        <v>74</v>
      </c>
      <c r="T147" t="s">
        <v>2976</v>
      </c>
      <c r="U147" t="s">
        <v>2977</v>
      </c>
      <c r="V147" t="s">
        <v>2978</v>
      </c>
      <c r="W147" t="s">
        <v>2979</v>
      </c>
      <c r="X147" t="s">
        <v>2980</v>
      </c>
      <c r="Y147" t="s">
        <v>2981</v>
      </c>
      <c r="Z147" t="s">
        <v>2982</v>
      </c>
      <c r="AA147" t="s">
        <v>74</v>
      </c>
      <c r="AB147" t="s">
        <v>74</v>
      </c>
      <c r="AC147" t="s">
        <v>2983</v>
      </c>
      <c r="AD147" t="s">
        <v>2984</v>
      </c>
      <c r="AE147" t="s">
        <v>2985</v>
      </c>
      <c r="AF147" t="s">
        <v>74</v>
      </c>
      <c r="AG147">
        <v>28</v>
      </c>
      <c r="AH147">
        <v>6</v>
      </c>
      <c r="AI147">
        <v>6</v>
      </c>
      <c r="AJ147">
        <v>0</v>
      </c>
      <c r="AK147">
        <v>5</v>
      </c>
      <c r="AL147" t="s">
        <v>317</v>
      </c>
      <c r="AM147" t="s">
        <v>318</v>
      </c>
      <c r="AN147" t="s">
        <v>319</v>
      </c>
      <c r="AO147" t="s">
        <v>1688</v>
      </c>
      <c r="AP147" t="s">
        <v>1689</v>
      </c>
      <c r="AQ147" t="s">
        <v>74</v>
      </c>
      <c r="AR147" t="s">
        <v>1690</v>
      </c>
      <c r="AS147" t="s">
        <v>1691</v>
      </c>
      <c r="AT147" t="s">
        <v>128</v>
      </c>
      <c r="AU147">
        <v>2017</v>
      </c>
      <c r="AV147">
        <v>12</v>
      </c>
      <c r="AW147" t="s">
        <v>74</v>
      </c>
      <c r="AX147" t="s">
        <v>74</v>
      </c>
      <c r="AY147" t="s">
        <v>74</v>
      </c>
      <c r="AZ147" t="s">
        <v>100</v>
      </c>
      <c r="BA147" t="s">
        <v>74</v>
      </c>
      <c r="BB147">
        <v>12</v>
      </c>
      <c r="BC147">
        <v>18</v>
      </c>
      <c r="BD147" t="s">
        <v>74</v>
      </c>
      <c r="BE147" t="s">
        <v>2986</v>
      </c>
      <c r="BF147" t="str">
        <f>HYPERLINK("http://dx.doi.org/10.1016/j.polar.2017.02.003","http://dx.doi.org/10.1016/j.polar.2017.02.003")</f>
        <v>http://dx.doi.org/10.1016/j.polar.2017.02.003</v>
      </c>
      <c r="BG147" t="s">
        <v>74</v>
      </c>
      <c r="BH147" t="s">
        <v>74</v>
      </c>
      <c r="BI147">
        <v>7</v>
      </c>
      <c r="BJ147" t="s">
        <v>1693</v>
      </c>
      <c r="BK147" t="s">
        <v>103</v>
      </c>
      <c r="BL147" t="s">
        <v>270</v>
      </c>
      <c r="BM147" t="s">
        <v>1694</v>
      </c>
      <c r="BN147" t="s">
        <v>74</v>
      </c>
      <c r="BO147" t="s">
        <v>74</v>
      </c>
      <c r="BP147" t="s">
        <v>74</v>
      </c>
      <c r="BQ147" t="s">
        <v>74</v>
      </c>
      <c r="BR147" t="s">
        <v>106</v>
      </c>
      <c r="BS147" t="s">
        <v>2987</v>
      </c>
      <c r="BT147" t="str">
        <f>HYPERLINK("https%3A%2F%2Fwww.webofscience.com%2Fwos%2Fwoscc%2Ffull-record%2FWOS:000402350800003","View Full Record in Web of Science")</f>
        <v>View Full Record in Web of Science</v>
      </c>
    </row>
    <row r="148" spans="1:72" x14ac:dyDescent="0.15">
      <c r="A148" t="s">
        <v>72</v>
      </c>
      <c r="B148" t="s">
        <v>2988</v>
      </c>
      <c r="C148" t="s">
        <v>74</v>
      </c>
      <c r="D148" t="s">
        <v>74</v>
      </c>
      <c r="E148" t="s">
        <v>74</v>
      </c>
      <c r="F148" t="s">
        <v>2989</v>
      </c>
      <c r="G148" t="s">
        <v>74</v>
      </c>
      <c r="H148" t="s">
        <v>74</v>
      </c>
      <c r="I148" t="s">
        <v>2990</v>
      </c>
      <c r="J148" t="s">
        <v>1675</v>
      </c>
      <c r="K148" t="s">
        <v>74</v>
      </c>
      <c r="L148" t="s">
        <v>74</v>
      </c>
      <c r="M148" t="s">
        <v>78</v>
      </c>
      <c r="N148" t="s">
        <v>79</v>
      </c>
      <c r="O148" t="s">
        <v>74</v>
      </c>
      <c r="P148" t="s">
        <v>74</v>
      </c>
      <c r="Q148" t="s">
        <v>74</v>
      </c>
      <c r="R148" t="s">
        <v>74</v>
      </c>
      <c r="S148" t="s">
        <v>74</v>
      </c>
      <c r="T148" t="s">
        <v>2991</v>
      </c>
      <c r="U148" t="s">
        <v>2992</v>
      </c>
      <c r="V148" t="s">
        <v>2993</v>
      </c>
      <c r="W148" t="s">
        <v>2994</v>
      </c>
      <c r="X148" t="s">
        <v>2995</v>
      </c>
      <c r="Y148" t="s">
        <v>1767</v>
      </c>
      <c r="Z148" t="s">
        <v>2996</v>
      </c>
      <c r="AA148" t="s">
        <v>2997</v>
      </c>
      <c r="AB148" t="s">
        <v>74</v>
      </c>
      <c r="AC148" t="s">
        <v>1769</v>
      </c>
      <c r="AD148" t="s">
        <v>1770</v>
      </c>
      <c r="AE148" t="s">
        <v>2998</v>
      </c>
      <c r="AF148" t="s">
        <v>74</v>
      </c>
      <c r="AG148">
        <v>44</v>
      </c>
      <c r="AH148">
        <v>14</v>
      </c>
      <c r="AI148">
        <v>15</v>
      </c>
      <c r="AJ148">
        <v>3</v>
      </c>
      <c r="AK148">
        <v>20</v>
      </c>
      <c r="AL148" t="s">
        <v>1141</v>
      </c>
      <c r="AM148" t="s">
        <v>318</v>
      </c>
      <c r="AN148" t="s">
        <v>1142</v>
      </c>
      <c r="AO148" t="s">
        <v>1688</v>
      </c>
      <c r="AP148" t="s">
        <v>1689</v>
      </c>
      <c r="AQ148" t="s">
        <v>74</v>
      </c>
      <c r="AR148" t="s">
        <v>1690</v>
      </c>
      <c r="AS148" t="s">
        <v>1691</v>
      </c>
      <c r="AT148" t="s">
        <v>128</v>
      </c>
      <c r="AU148">
        <v>2017</v>
      </c>
      <c r="AV148">
        <v>12</v>
      </c>
      <c r="AW148" t="s">
        <v>74</v>
      </c>
      <c r="AX148" t="s">
        <v>74</v>
      </c>
      <c r="AY148" t="s">
        <v>74</v>
      </c>
      <c r="AZ148" t="s">
        <v>100</v>
      </c>
      <c r="BA148" t="s">
        <v>74</v>
      </c>
      <c r="BB148">
        <v>99</v>
      </c>
      <c r="BC148">
        <v>108</v>
      </c>
      <c r="BD148" t="s">
        <v>74</v>
      </c>
      <c r="BE148" t="s">
        <v>2999</v>
      </c>
      <c r="BF148" t="str">
        <f>HYPERLINK("http://dx.doi.org/10.1016/j.polar.2017.02.004","http://dx.doi.org/10.1016/j.polar.2017.02.004")</f>
        <v>http://dx.doi.org/10.1016/j.polar.2017.02.004</v>
      </c>
      <c r="BG148" t="s">
        <v>74</v>
      </c>
      <c r="BH148" t="s">
        <v>74</v>
      </c>
      <c r="BI148">
        <v>10</v>
      </c>
      <c r="BJ148" t="s">
        <v>1693</v>
      </c>
      <c r="BK148" t="s">
        <v>103</v>
      </c>
      <c r="BL148" t="s">
        <v>270</v>
      </c>
      <c r="BM148" t="s">
        <v>1694</v>
      </c>
      <c r="BN148" t="s">
        <v>74</v>
      </c>
      <c r="BO148" t="s">
        <v>1124</v>
      </c>
      <c r="BP148" t="s">
        <v>74</v>
      </c>
      <c r="BQ148" t="s">
        <v>74</v>
      </c>
      <c r="BR148" t="s">
        <v>106</v>
      </c>
      <c r="BS148" t="s">
        <v>3000</v>
      </c>
      <c r="BT148" t="str">
        <f>HYPERLINK("https%3A%2F%2Fwww.webofscience.com%2Fwos%2Fwoscc%2Ffull-record%2FWOS:000402350800012","View Full Record in Web of Science")</f>
        <v>View Full Record in Web of Science</v>
      </c>
    </row>
    <row r="149" spans="1:72" x14ac:dyDescent="0.15">
      <c r="A149" t="s">
        <v>72</v>
      </c>
      <c r="B149" t="s">
        <v>3001</v>
      </c>
      <c r="C149" t="s">
        <v>74</v>
      </c>
      <c r="D149" t="s">
        <v>74</v>
      </c>
      <c r="E149" t="s">
        <v>74</v>
      </c>
      <c r="F149" t="s">
        <v>3002</v>
      </c>
      <c r="G149" t="s">
        <v>74</v>
      </c>
      <c r="H149" t="s">
        <v>74</v>
      </c>
      <c r="I149" t="s">
        <v>3003</v>
      </c>
      <c r="J149" t="s">
        <v>3004</v>
      </c>
      <c r="K149" t="s">
        <v>74</v>
      </c>
      <c r="L149" t="s">
        <v>74</v>
      </c>
      <c r="M149" t="s">
        <v>78</v>
      </c>
      <c r="N149" t="s">
        <v>79</v>
      </c>
      <c r="O149" t="s">
        <v>74</v>
      </c>
      <c r="P149" t="s">
        <v>74</v>
      </c>
      <c r="Q149" t="s">
        <v>74</v>
      </c>
      <c r="R149" t="s">
        <v>74</v>
      </c>
      <c r="S149" t="s">
        <v>74</v>
      </c>
      <c r="T149" t="s">
        <v>3005</v>
      </c>
      <c r="U149" t="s">
        <v>3006</v>
      </c>
      <c r="V149" t="s">
        <v>3007</v>
      </c>
      <c r="W149" t="s">
        <v>3008</v>
      </c>
      <c r="X149" t="s">
        <v>3009</v>
      </c>
      <c r="Y149" t="s">
        <v>3010</v>
      </c>
      <c r="Z149" t="s">
        <v>3011</v>
      </c>
      <c r="AA149" t="s">
        <v>3012</v>
      </c>
      <c r="AB149" t="s">
        <v>3013</v>
      </c>
      <c r="AC149" t="s">
        <v>3014</v>
      </c>
      <c r="AD149" t="s">
        <v>3015</v>
      </c>
      <c r="AE149" t="s">
        <v>3016</v>
      </c>
      <c r="AF149" t="s">
        <v>74</v>
      </c>
      <c r="AG149">
        <v>60</v>
      </c>
      <c r="AH149">
        <v>36</v>
      </c>
      <c r="AI149">
        <v>38</v>
      </c>
      <c r="AJ149">
        <v>0</v>
      </c>
      <c r="AK149">
        <v>9</v>
      </c>
      <c r="AL149" t="s">
        <v>317</v>
      </c>
      <c r="AM149" t="s">
        <v>318</v>
      </c>
      <c r="AN149" t="s">
        <v>319</v>
      </c>
      <c r="AO149" t="s">
        <v>3017</v>
      </c>
      <c r="AP149" t="s">
        <v>3018</v>
      </c>
      <c r="AQ149" t="s">
        <v>74</v>
      </c>
      <c r="AR149" t="s">
        <v>3019</v>
      </c>
      <c r="AS149" t="s">
        <v>3020</v>
      </c>
      <c r="AT149" t="s">
        <v>128</v>
      </c>
      <c r="AU149">
        <v>2017</v>
      </c>
      <c r="AV149">
        <v>294</v>
      </c>
      <c r="AW149" t="s">
        <v>74</v>
      </c>
      <c r="AX149" t="s">
        <v>74</v>
      </c>
      <c r="AY149" t="s">
        <v>74</v>
      </c>
      <c r="AZ149" t="s">
        <v>74</v>
      </c>
      <c r="BA149" t="s">
        <v>74</v>
      </c>
      <c r="BB149">
        <v>1</v>
      </c>
      <c r="BC149">
        <v>14</v>
      </c>
      <c r="BD149" t="s">
        <v>74</v>
      </c>
      <c r="BE149" t="s">
        <v>3021</v>
      </c>
      <c r="BF149" t="str">
        <f>HYPERLINK("http://dx.doi.org/10.1016/j.precamres.2017.03.012","http://dx.doi.org/10.1016/j.precamres.2017.03.012")</f>
        <v>http://dx.doi.org/10.1016/j.precamres.2017.03.012</v>
      </c>
      <c r="BG149" t="s">
        <v>74</v>
      </c>
      <c r="BH149" t="s">
        <v>74</v>
      </c>
      <c r="BI149">
        <v>14</v>
      </c>
      <c r="BJ149" t="s">
        <v>437</v>
      </c>
      <c r="BK149" t="s">
        <v>103</v>
      </c>
      <c r="BL149" t="s">
        <v>438</v>
      </c>
      <c r="BM149" t="s">
        <v>3022</v>
      </c>
      <c r="BN149" t="s">
        <v>74</v>
      </c>
      <c r="BO149" t="s">
        <v>74</v>
      </c>
      <c r="BP149" t="s">
        <v>74</v>
      </c>
      <c r="BQ149" t="s">
        <v>74</v>
      </c>
      <c r="BR149" t="s">
        <v>106</v>
      </c>
      <c r="BS149" t="s">
        <v>3023</v>
      </c>
      <c r="BT149" t="str">
        <f>HYPERLINK("https%3A%2F%2Fwww.webofscience.com%2Fwos%2Fwoscc%2Ffull-record%2FWOS:000402217500001","View Full Record in Web of Science")</f>
        <v>View Full Record in Web of Science</v>
      </c>
    </row>
    <row r="150" spans="1:72" x14ac:dyDescent="0.15">
      <c r="A150" t="s">
        <v>72</v>
      </c>
      <c r="B150" t="s">
        <v>3024</v>
      </c>
      <c r="C150" t="s">
        <v>74</v>
      </c>
      <c r="D150" t="s">
        <v>74</v>
      </c>
      <c r="E150" t="s">
        <v>74</v>
      </c>
      <c r="F150" t="s">
        <v>3025</v>
      </c>
      <c r="G150" t="s">
        <v>74</v>
      </c>
      <c r="H150" t="s">
        <v>74</v>
      </c>
      <c r="I150" t="s">
        <v>3026</v>
      </c>
      <c r="J150" t="s">
        <v>1777</v>
      </c>
      <c r="K150" t="s">
        <v>74</v>
      </c>
      <c r="L150" t="s">
        <v>74</v>
      </c>
      <c r="M150" t="s">
        <v>78</v>
      </c>
      <c r="N150" t="s">
        <v>2082</v>
      </c>
      <c r="O150" t="s">
        <v>74</v>
      </c>
      <c r="P150" t="s">
        <v>74</v>
      </c>
      <c r="Q150" t="s">
        <v>74</v>
      </c>
      <c r="R150" t="s">
        <v>74</v>
      </c>
      <c r="S150" t="s">
        <v>74</v>
      </c>
      <c r="T150" t="s">
        <v>74</v>
      </c>
      <c r="U150" t="s">
        <v>74</v>
      </c>
      <c r="V150" t="s">
        <v>74</v>
      </c>
      <c r="W150" t="s">
        <v>74</v>
      </c>
      <c r="X150" t="s">
        <v>74</v>
      </c>
      <c r="Y150" t="s">
        <v>74</v>
      </c>
      <c r="Z150" t="s">
        <v>3027</v>
      </c>
      <c r="AA150" t="s">
        <v>3028</v>
      </c>
      <c r="AB150" t="s">
        <v>74</v>
      </c>
      <c r="AC150" t="s">
        <v>74</v>
      </c>
      <c r="AD150" t="s">
        <v>74</v>
      </c>
      <c r="AE150" t="s">
        <v>74</v>
      </c>
      <c r="AF150" t="s">
        <v>74</v>
      </c>
      <c r="AG150">
        <v>0</v>
      </c>
      <c r="AH150">
        <v>0</v>
      </c>
      <c r="AI150">
        <v>0</v>
      </c>
      <c r="AJ150">
        <v>0</v>
      </c>
      <c r="AK150">
        <v>0</v>
      </c>
      <c r="AL150" t="s">
        <v>1787</v>
      </c>
      <c r="AM150" t="s">
        <v>1788</v>
      </c>
      <c r="AN150" t="s">
        <v>1789</v>
      </c>
      <c r="AO150" t="s">
        <v>1790</v>
      </c>
      <c r="AP150" t="s">
        <v>74</v>
      </c>
      <c r="AQ150" t="s">
        <v>74</v>
      </c>
      <c r="AR150" t="s">
        <v>1791</v>
      </c>
      <c r="AS150" t="s">
        <v>1792</v>
      </c>
      <c r="AT150" t="s">
        <v>128</v>
      </c>
      <c r="AU150">
        <v>2017</v>
      </c>
      <c r="AV150">
        <v>83</v>
      </c>
      <c r="AW150">
        <v>2</v>
      </c>
      <c r="AX150" t="s">
        <v>74</v>
      </c>
      <c r="AY150" t="s">
        <v>74</v>
      </c>
      <c r="AZ150" t="s">
        <v>74</v>
      </c>
      <c r="BA150" t="s">
        <v>74</v>
      </c>
      <c r="BB150">
        <v>245</v>
      </c>
      <c r="BC150">
        <v>248</v>
      </c>
      <c r="BD150" t="s">
        <v>74</v>
      </c>
      <c r="BE150" t="s">
        <v>3029</v>
      </c>
      <c r="BF150" t="str">
        <f>HYPERLINK("http://dx.doi.org/10.16943/ptinsa/2017/48943","http://dx.doi.org/10.16943/ptinsa/2017/48943")</f>
        <v>http://dx.doi.org/10.16943/ptinsa/2017/48943</v>
      </c>
      <c r="BG150" t="s">
        <v>74</v>
      </c>
      <c r="BH150" t="s">
        <v>74</v>
      </c>
      <c r="BI150">
        <v>4</v>
      </c>
      <c r="BJ150" t="s">
        <v>1617</v>
      </c>
      <c r="BK150" t="s">
        <v>1794</v>
      </c>
      <c r="BL150" t="s">
        <v>1618</v>
      </c>
      <c r="BM150" t="s">
        <v>1795</v>
      </c>
      <c r="BN150" t="s">
        <v>74</v>
      </c>
      <c r="BO150" t="s">
        <v>412</v>
      </c>
      <c r="BP150" t="s">
        <v>74</v>
      </c>
      <c r="BQ150" t="s">
        <v>74</v>
      </c>
      <c r="BR150" t="s">
        <v>106</v>
      </c>
      <c r="BS150" t="s">
        <v>3030</v>
      </c>
      <c r="BT150" t="str">
        <f>HYPERLINK("https%3A%2F%2Fwww.webofscience.com%2Fwos%2Fwoscc%2Ffull-record%2FWOS:000401547500001","View Full Record in Web of Science")</f>
        <v>View Full Record in Web of Science</v>
      </c>
    </row>
    <row r="151" spans="1:72" x14ac:dyDescent="0.15">
      <c r="A151" t="s">
        <v>72</v>
      </c>
      <c r="B151" t="s">
        <v>3031</v>
      </c>
      <c r="C151" t="s">
        <v>74</v>
      </c>
      <c r="D151" t="s">
        <v>74</v>
      </c>
      <c r="E151" t="s">
        <v>74</v>
      </c>
      <c r="F151" t="s">
        <v>3032</v>
      </c>
      <c r="G151" t="s">
        <v>74</v>
      </c>
      <c r="H151" t="s">
        <v>74</v>
      </c>
      <c r="I151" t="s">
        <v>3033</v>
      </c>
      <c r="J151" t="s">
        <v>1777</v>
      </c>
      <c r="K151" t="s">
        <v>74</v>
      </c>
      <c r="L151" t="s">
        <v>74</v>
      </c>
      <c r="M151" t="s">
        <v>78</v>
      </c>
      <c r="N151" t="s">
        <v>518</v>
      </c>
      <c r="O151" t="s">
        <v>74</v>
      </c>
      <c r="P151" t="s">
        <v>74</v>
      </c>
      <c r="Q151" t="s">
        <v>74</v>
      </c>
      <c r="R151" t="s">
        <v>74</v>
      </c>
      <c r="S151" t="s">
        <v>74</v>
      </c>
      <c r="T151" t="s">
        <v>74</v>
      </c>
      <c r="U151" t="s">
        <v>3034</v>
      </c>
      <c r="V151" t="s">
        <v>3035</v>
      </c>
      <c r="W151" t="s">
        <v>3036</v>
      </c>
      <c r="X151" t="s">
        <v>3037</v>
      </c>
      <c r="Y151" t="s">
        <v>3038</v>
      </c>
      <c r="Z151" t="s">
        <v>3039</v>
      </c>
      <c r="AA151" t="s">
        <v>3040</v>
      </c>
      <c r="AB151" t="s">
        <v>3041</v>
      </c>
      <c r="AC151" t="s">
        <v>74</v>
      </c>
      <c r="AD151" t="s">
        <v>74</v>
      </c>
      <c r="AE151" t="s">
        <v>74</v>
      </c>
      <c r="AF151" t="s">
        <v>74</v>
      </c>
      <c r="AG151">
        <v>39</v>
      </c>
      <c r="AH151">
        <v>4</v>
      </c>
      <c r="AI151">
        <v>4</v>
      </c>
      <c r="AJ151">
        <v>0</v>
      </c>
      <c r="AK151">
        <v>5</v>
      </c>
      <c r="AL151" t="s">
        <v>1787</v>
      </c>
      <c r="AM151" t="s">
        <v>1788</v>
      </c>
      <c r="AN151" t="s">
        <v>1789</v>
      </c>
      <c r="AO151" t="s">
        <v>1790</v>
      </c>
      <c r="AP151" t="s">
        <v>74</v>
      </c>
      <c r="AQ151" t="s">
        <v>74</v>
      </c>
      <c r="AR151" t="s">
        <v>1791</v>
      </c>
      <c r="AS151" t="s">
        <v>1792</v>
      </c>
      <c r="AT151" t="s">
        <v>128</v>
      </c>
      <c r="AU151">
        <v>2017</v>
      </c>
      <c r="AV151">
        <v>83</v>
      </c>
      <c r="AW151">
        <v>2</v>
      </c>
      <c r="AX151" t="s">
        <v>74</v>
      </c>
      <c r="AY151" t="s">
        <v>74</v>
      </c>
      <c r="AZ151" t="s">
        <v>74</v>
      </c>
      <c r="BA151" t="s">
        <v>74</v>
      </c>
      <c r="BB151">
        <v>289</v>
      </c>
      <c r="BC151">
        <v>297</v>
      </c>
      <c r="BD151" t="s">
        <v>74</v>
      </c>
      <c r="BE151" t="s">
        <v>3042</v>
      </c>
      <c r="BF151" t="str">
        <f>HYPERLINK("http://dx.doi.org/10.16943/ptinsa/2017/48950","http://dx.doi.org/10.16943/ptinsa/2017/48950")</f>
        <v>http://dx.doi.org/10.16943/ptinsa/2017/48950</v>
      </c>
      <c r="BG151" t="s">
        <v>74</v>
      </c>
      <c r="BH151" t="s">
        <v>74</v>
      </c>
      <c r="BI151">
        <v>9</v>
      </c>
      <c r="BJ151" t="s">
        <v>1617</v>
      </c>
      <c r="BK151" t="s">
        <v>1794</v>
      </c>
      <c r="BL151" t="s">
        <v>1618</v>
      </c>
      <c r="BM151" t="s">
        <v>1795</v>
      </c>
      <c r="BN151" t="s">
        <v>74</v>
      </c>
      <c r="BO151" t="s">
        <v>412</v>
      </c>
      <c r="BP151" t="s">
        <v>74</v>
      </c>
      <c r="BQ151" t="s">
        <v>74</v>
      </c>
      <c r="BR151" t="s">
        <v>106</v>
      </c>
      <c r="BS151" t="s">
        <v>3043</v>
      </c>
      <c r="BT151" t="str">
        <f>HYPERLINK("https%3A%2F%2Fwww.webofscience.com%2Fwos%2Fwoscc%2Ffull-record%2FWOS:000401547500006","View Full Record in Web of Science")</f>
        <v>View Full Record in Web of Science</v>
      </c>
    </row>
    <row r="152" spans="1:72" x14ac:dyDescent="0.15">
      <c r="A152" t="s">
        <v>72</v>
      </c>
      <c r="B152" t="s">
        <v>3044</v>
      </c>
      <c r="C152" t="s">
        <v>74</v>
      </c>
      <c r="D152" t="s">
        <v>74</v>
      </c>
      <c r="E152" t="s">
        <v>74</v>
      </c>
      <c r="F152" t="s">
        <v>3045</v>
      </c>
      <c r="G152" t="s">
        <v>74</v>
      </c>
      <c r="H152" t="s">
        <v>74</v>
      </c>
      <c r="I152" t="s">
        <v>3046</v>
      </c>
      <c r="J152" t="s">
        <v>1777</v>
      </c>
      <c r="K152" t="s">
        <v>74</v>
      </c>
      <c r="L152" t="s">
        <v>74</v>
      </c>
      <c r="M152" t="s">
        <v>78</v>
      </c>
      <c r="N152" t="s">
        <v>79</v>
      </c>
      <c r="O152" t="s">
        <v>74</v>
      </c>
      <c r="P152" t="s">
        <v>74</v>
      </c>
      <c r="Q152" t="s">
        <v>74</v>
      </c>
      <c r="R152" t="s">
        <v>74</v>
      </c>
      <c r="S152" t="s">
        <v>74</v>
      </c>
      <c r="T152" t="s">
        <v>74</v>
      </c>
      <c r="U152" t="s">
        <v>3047</v>
      </c>
      <c r="V152" t="s">
        <v>3048</v>
      </c>
      <c r="W152" t="s">
        <v>3049</v>
      </c>
      <c r="X152" t="s">
        <v>3050</v>
      </c>
      <c r="Y152" t="s">
        <v>3051</v>
      </c>
      <c r="Z152" t="s">
        <v>3052</v>
      </c>
      <c r="AA152" t="s">
        <v>3053</v>
      </c>
      <c r="AB152" t="s">
        <v>74</v>
      </c>
      <c r="AC152" t="s">
        <v>74</v>
      </c>
      <c r="AD152" t="s">
        <v>74</v>
      </c>
      <c r="AE152" t="s">
        <v>74</v>
      </c>
      <c r="AF152" t="s">
        <v>74</v>
      </c>
      <c r="AG152">
        <v>18</v>
      </c>
      <c r="AH152">
        <v>3</v>
      </c>
      <c r="AI152">
        <v>3</v>
      </c>
      <c r="AJ152">
        <v>0</v>
      </c>
      <c r="AK152">
        <v>4</v>
      </c>
      <c r="AL152" t="s">
        <v>1787</v>
      </c>
      <c r="AM152" t="s">
        <v>1788</v>
      </c>
      <c r="AN152" t="s">
        <v>1789</v>
      </c>
      <c r="AO152" t="s">
        <v>1790</v>
      </c>
      <c r="AP152" t="s">
        <v>74</v>
      </c>
      <c r="AQ152" t="s">
        <v>74</v>
      </c>
      <c r="AR152" t="s">
        <v>1791</v>
      </c>
      <c r="AS152" t="s">
        <v>1792</v>
      </c>
      <c r="AT152" t="s">
        <v>128</v>
      </c>
      <c r="AU152">
        <v>2017</v>
      </c>
      <c r="AV152">
        <v>83</v>
      </c>
      <c r="AW152">
        <v>2</v>
      </c>
      <c r="AX152" t="s">
        <v>74</v>
      </c>
      <c r="AY152" t="s">
        <v>74</v>
      </c>
      <c r="AZ152" t="s">
        <v>74</v>
      </c>
      <c r="BA152" t="s">
        <v>74</v>
      </c>
      <c r="BB152">
        <v>415</v>
      </c>
      <c r="BC152">
        <v>425</v>
      </c>
      <c r="BD152" t="s">
        <v>74</v>
      </c>
      <c r="BE152" t="s">
        <v>3054</v>
      </c>
      <c r="BF152" t="str">
        <f>HYPERLINK("http://dx.doi.org/10.16943/ptinsa/2017/48946","http://dx.doi.org/10.16943/ptinsa/2017/48946")</f>
        <v>http://dx.doi.org/10.16943/ptinsa/2017/48946</v>
      </c>
      <c r="BG152" t="s">
        <v>74</v>
      </c>
      <c r="BH152" t="s">
        <v>74</v>
      </c>
      <c r="BI152">
        <v>11</v>
      </c>
      <c r="BJ152" t="s">
        <v>1617</v>
      </c>
      <c r="BK152" t="s">
        <v>1794</v>
      </c>
      <c r="BL152" t="s">
        <v>1618</v>
      </c>
      <c r="BM152" t="s">
        <v>1795</v>
      </c>
      <c r="BN152" t="s">
        <v>74</v>
      </c>
      <c r="BO152" t="s">
        <v>412</v>
      </c>
      <c r="BP152" t="s">
        <v>74</v>
      </c>
      <c r="BQ152" t="s">
        <v>74</v>
      </c>
      <c r="BR152" t="s">
        <v>106</v>
      </c>
      <c r="BS152" t="s">
        <v>3055</v>
      </c>
      <c r="BT152" t="str">
        <f>HYPERLINK("https%3A%2F%2Fwww.webofscience.com%2Fwos%2Fwoscc%2Ffull-record%2FWOS:000401547500014","View Full Record in Web of Science")</f>
        <v>View Full Record in Web of Science</v>
      </c>
    </row>
    <row r="153" spans="1:72" x14ac:dyDescent="0.15">
      <c r="A153" t="s">
        <v>72</v>
      </c>
      <c r="B153" t="s">
        <v>3056</v>
      </c>
      <c r="C153" t="s">
        <v>74</v>
      </c>
      <c r="D153" t="s">
        <v>74</v>
      </c>
      <c r="E153" t="s">
        <v>74</v>
      </c>
      <c r="F153" t="s">
        <v>3057</v>
      </c>
      <c r="G153" t="s">
        <v>74</v>
      </c>
      <c r="H153" t="s">
        <v>74</v>
      </c>
      <c r="I153" t="s">
        <v>3058</v>
      </c>
      <c r="J153" t="s">
        <v>1777</v>
      </c>
      <c r="K153" t="s">
        <v>74</v>
      </c>
      <c r="L153" t="s">
        <v>74</v>
      </c>
      <c r="M153" t="s">
        <v>78</v>
      </c>
      <c r="N153" t="s">
        <v>79</v>
      </c>
      <c r="O153" t="s">
        <v>74</v>
      </c>
      <c r="P153" t="s">
        <v>74</v>
      </c>
      <c r="Q153" t="s">
        <v>74</v>
      </c>
      <c r="R153" t="s">
        <v>74</v>
      </c>
      <c r="S153" t="s">
        <v>74</v>
      </c>
      <c r="T153" t="s">
        <v>74</v>
      </c>
      <c r="U153" t="s">
        <v>3059</v>
      </c>
      <c r="V153" t="s">
        <v>3060</v>
      </c>
      <c r="W153" t="s">
        <v>3061</v>
      </c>
      <c r="X153" t="s">
        <v>3062</v>
      </c>
      <c r="Y153" t="s">
        <v>3063</v>
      </c>
      <c r="Z153" t="s">
        <v>3064</v>
      </c>
      <c r="AA153" t="s">
        <v>3065</v>
      </c>
      <c r="AB153" t="s">
        <v>3066</v>
      </c>
      <c r="AC153" t="s">
        <v>74</v>
      </c>
      <c r="AD153" t="s">
        <v>74</v>
      </c>
      <c r="AE153" t="s">
        <v>74</v>
      </c>
      <c r="AF153" t="s">
        <v>74</v>
      </c>
      <c r="AG153">
        <v>16</v>
      </c>
      <c r="AH153">
        <v>12</v>
      </c>
      <c r="AI153">
        <v>12</v>
      </c>
      <c r="AJ153">
        <v>0</v>
      </c>
      <c r="AK153">
        <v>0</v>
      </c>
      <c r="AL153" t="s">
        <v>1787</v>
      </c>
      <c r="AM153" t="s">
        <v>1788</v>
      </c>
      <c r="AN153" t="s">
        <v>1789</v>
      </c>
      <c r="AO153" t="s">
        <v>1790</v>
      </c>
      <c r="AP153" t="s">
        <v>74</v>
      </c>
      <c r="AQ153" t="s">
        <v>74</v>
      </c>
      <c r="AR153" t="s">
        <v>1791</v>
      </c>
      <c r="AS153" t="s">
        <v>1792</v>
      </c>
      <c r="AT153" t="s">
        <v>128</v>
      </c>
      <c r="AU153">
        <v>2017</v>
      </c>
      <c r="AV153">
        <v>83</v>
      </c>
      <c r="AW153">
        <v>2</v>
      </c>
      <c r="AX153" t="s">
        <v>74</v>
      </c>
      <c r="AY153" t="s">
        <v>74</v>
      </c>
      <c r="AZ153" t="s">
        <v>74</v>
      </c>
      <c r="BA153" t="s">
        <v>74</v>
      </c>
      <c r="BB153">
        <v>461</v>
      </c>
      <c r="BC153">
        <v>467</v>
      </c>
      <c r="BD153" t="s">
        <v>74</v>
      </c>
      <c r="BE153" t="s">
        <v>3067</v>
      </c>
      <c r="BF153" t="str">
        <f>HYPERLINK("http://dx.doi.org/10.16943/ptinsa/2017/48954","http://dx.doi.org/10.16943/ptinsa/2017/48954")</f>
        <v>http://dx.doi.org/10.16943/ptinsa/2017/48954</v>
      </c>
      <c r="BG153" t="s">
        <v>74</v>
      </c>
      <c r="BH153" t="s">
        <v>74</v>
      </c>
      <c r="BI153">
        <v>7</v>
      </c>
      <c r="BJ153" t="s">
        <v>1617</v>
      </c>
      <c r="BK153" t="s">
        <v>1794</v>
      </c>
      <c r="BL153" t="s">
        <v>1618</v>
      </c>
      <c r="BM153" t="s">
        <v>1795</v>
      </c>
      <c r="BN153" t="s">
        <v>74</v>
      </c>
      <c r="BO153" t="s">
        <v>412</v>
      </c>
      <c r="BP153" t="s">
        <v>74</v>
      </c>
      <c r="BQ153" t="s">
        <v>74</v>
      </c>
      <c r="BR153" t="s">
        <v>106</v>
      </c>
      <c r="BS153" t="s">
        <v>3068</v>
      </c>
      <c r="BT153" t="str">
        <f>HYPERLINK("https%3A%2F%2Fwww.webofscience.com%2Fwos%2Fwoscc%2Ffull-record%2FWOS:000401547500019","View Full Record in Web of Science")</f>
        <v>View Full Record in Web of Science</v>
      </c>
    </row>
    <row r="154" spans="1:72" x14ac:dyDescent="0.15">
      <c r="A154" t="s">
        <v>72</v>
      </c>
      <c r="B154" t="s">
        <v>3069</v>
      </c>
      <c r="C154" t="s">
        <v>74</v>
      </c>
      <c r="D154" t="s">
        <v>74</v>
      </c>
      <c r="E154" t="s">
        <v>74</v>
      </c>
      <c r="F154" t="s">
        <v>3070</v>
      </c>
      <c r="G154" t="s">
        <v>74</v>
      </c>
      <c r="H154" t="s">
        <v>74</v>
      </c>
      <c r="I154" t="s">
        <v>3071</v>
      </c>
      <c r="J154" t="s">
        <v>1777</v>
      </c>
      <c r="K154" t="s">
        <v>74</v>
      </c>
      <c r="L154" t="s">
        <v>74</v>
      </c>
      <c r="M154" t="s">
        <v>78</v>
      </c>
      <c r="N154" t="s">
        <v>79</v>
      </c>
      <c r="O154" t="s">
        <v>74</v>
      </c>
      <c r="P154" t="s">
        <v>74</v>
      </c>
      <c r="Q154" t="s">
        <v>74</v>
      </c>
      <c r="R154" t="s">
        <v>74</v>
      </c>
      <c r="S154" t="s">
        <v>74</v>
      </c>
      <c r="T154" t="s">
        <v>74</v>
      </c>
      <c r="U154" t="s">
        <v>3072</v>
      </c>
      <c r="V154" t="s">
        <v>3073</v>
      </c>
      <c r="W154" t="s">
        <v>3074</v>
      </c>
      <c r="X154" t="s">
        <v>3075</v>
      </c>
      <c r="Y154" t="s">
        <v>3076</v>
      </c>
      <c r="Z154" t="s">
        <v>3077</v>
      </c>
      <c r="AA154" t="s">
        <v>3078</v>
      </c>
      <c r="AB154" t="s">
        <v>3079</v>
      </c>
      <c r="AC154" t="s">
        <v>74</v>
      </c>
      <c r="AD154" t="s">
        <v>74</v>
      </c>
      <c r="AE154" t="s">
        <v>74</v>
      </c>
      <c r="AF154" t="s">
        <v>74</v>
      </c>
      <c r="AG154">
        <v>34</v>
      </c>
      <c r="AH154">
        <v>3</v>
      </c>
      <c r="AI154">
        <v>3</v>
      </c>
      <c r="AJ154">
        <v>0</v>
      </c>
      <c r="AK154">
        <v>20</v>
      </c>
      <c r="AL154" t="s">
        <v>1787</v>
      </c>
      <c r="AM154" t="s">
        <v>1788</v>
      </c>
      <c r="AN154" t="s">
        <v>1789</v>
      </c>
      <c r="AO154" t="s">
        <v>1790</v>
      </c>
      <c r="AP154" t="s">
        <v>74</v>
      </c>
      <c r="AQ154" t="s">
        <v>74</v>
      </c>
      <c r="AR154" t="s">
        <v>1791</v>
      </c>
      <c r="AS154" t="s">
        <v>1792</v>
      </c>
      <c r="AT154" t="s">
        <v>128</v>
      </c>
      <c r="AU154">
        <v>2017</v>
      </c>
      <c r="AV154">
        <v>83</v>
      </c>
      <c r="AW154">
        <v>2</v>
      </c>
      <c r="AX154" t="s">
        <v>74</v>
      </c>
      <c r="AY154" t="s">
        <v>74</v>
      </c>
      <c r="AZ154" t="s">
        <v>74</v>
      </c>
      <c r="BA154" t="s">
        <v>74</v>
      </c>
      <c r="BB154">
        <v>483</v>
      </c>
      <c r="BC154">
        <v>496</v>
      </c>
      <c r="BD154" t="s">
        <v>74</v>
      </c>
      <c r="BE154" t="s">
        <v>3080</v>
      </c>
      <c r="BF154" t="str">
        <f>HYPERLINK("http://dx.doi.org/10.16943/ptinsa/2017/48958","http://dx.doi.org/10.16943/ptinsa/2017/48958")</f>
        <v>http://dx.doi.org/10.16943/ptinsa/2017/48958</v>
      </c>
      <c r="BG154" t="s">
        <v>74</v>
      </c>
      <c r="BH154" t="s">
        <v>74</v>
      </c>
      <c r="BI154">
        <v>14</v>
      </c>
      <c r="BJ154" t="s">
        <v>1617</v>
      </c>
      <c r="BK154" t="s">
        <v>1794</v>
      </c>
      <c r="BL154" t="s">
        <v>1618</v>
      </c>
      <c r="BM154" t="s">
        <v>1795</v>
      </c>
      <c r="BN154" t="s">
        <v>74</v>
      </c>
      <c r="BO154" t="s">
        <v>412</v>
      </c>
      <c r="BP154" t="s">
        <v>74</v>
      </c>
      <c r="BQ154" t="s">
        <v>74</v>
      </c>
      <c r="BR154" t="s">
        <v>106</v>
      </c>
      <c r="BS154" t="s">
        <v>3081</v>
      </c>
      <c r="BT154" t="str">
        <f>HYPERLINK("https%3A%2F%2Fwww.webofscience.com%2Fwos%2Fwoscc%2Ffull-record%2FWOS:000401547500021","View Full Record in Web of Science")</f>
        <v>View Full Record in Web of Science</v>
      </c>
    </row>
    <row r="155" spans="1:72" x14ac:dyDescent="0.15">
      <c r="A155" t="s">
        <v>72</v>
      </c>
      <c r="B155" t="s">
        <v>3082</v>
      </c>
      <c r="C155" t="s">
        <v>74</v>
      </c>
      <c r="D155" t="s">
        <v>74</v>
      </c>
      <c r="E155" t="s">
        <v>74</v>
      </c>
      <c r="F155" t="s">
        <v>3083</v>
      </c>
      <c r="G155" t="s">
        <v>74</v>
      </c>
      <c r="H155" t="s">
        <v>74</v>
      </c>
      <c r="I155" t="s">
        <v>3084</v>
      </c>
      <c r="J155" t="s">
        <v>598</v>
      </c>
      <c r="K155" t="s">
        <v>74</v>
      </c>
      <c r="L155" t="s">
        <v>74</v>
      </c>
      <c r="M155" t="s">
        <v>78</v>
      </c>
      <c r="N155" t="s">
        <v>79</v>
      </c>
      <c r="O155" t="s">
        <v>74</v>
      </c>
      <c r="P155" t="s">
        <v>74</v>
      </c>
      <c r="Q155" t="s">
        <v>74</v>
      </c>
      <c r="R155" t="s">
        <v>74</v>
      </c>
      <c r="S155" t="s">
        <v>74</v>
      </c>
      <c r="T155" t="s">
        <v>3085</v>
      </c>
      <c r="U155" t="s">
        <v>3086</v>
      </c>
      <c r="V155" t="s">
        <v>3087</v>
      </c>
      <c r="W155" t="s">
        <v>3088</v>
      </c>
      <c r="X155" t="s">
        <v>3089</v>
      </c>
      <c r="Y155" t="s">
        <v>3090</v>
      </c>
      <c r="Z155" t="s">
        <v>3091</v>
      </c>
      <c r="AA155" t="s">
        <v>3092</v>
      </c>
      <c r="AB155" t="s">
        <v>3093</v>
      </c>
      <c r="AC155" t="s">
        <v>3094</v>
      </c>
      <c r="AD155" t="s">
        <v>3095</v>
      </c>
      <c r="AE155" t="s">
        <v>3096</v>
      </c>
      <c r="AF155" t="s">
        <v>74</v>
      </c>
      <c r="AG155">
        <v>31</v>
      </c>
      <c r="AH155">
        <v>20</v>
      </c>
      <c r="AI155">
        <v>25</v>
      </c>
      <c r="AJ155">
        <v>3</v>
      </c>
      <c r="AK155">
        <v>28</v>
      </c>
      <c r="AL155" t="s">
        <v>611</v>
      </c>
      <c r="AM155" t="s">
        <v>612</v>
      </c>
      <c r="AN155" t="s">
        <v>613</v>
      </c>
      <c r="AO155" t="s">
        <v>74</v>
      </c>
      <c r="AP155" t="s">
        <v>614</v>
      </c>
      <c r="AQ155" t="s">
        <v>74</v>
      </c>
      <c r="AR155" t="s">
        <v>615</v>
      </c>
      <c r="AS155" t="s">
        <v>616</v>
      </c>
      <c r="AT155" t="s">
        <v>128</v>
      </c>
      <c r="AU155">
        <v>2017</v>
      </c>
      <c r="AV155">
        <v>9</v>
      </c>
      <c r="AW155">
        <v>6</v>
      </c>
      <c r="AX155" t="s">
        <v>74</v>
      </c>
      <c r="AY155" t="s">
        <v>74</v>
      </c>
      <c r="AZ155" t="s">
        <v>74</v>
      </c>
      <c r="BA155" t="s">
        <v>74</v>
      </c>
      <c r="BB155" t="s">
        <v>74</v>
      </c>
      <c r="BC155" t="s">
        <v>74</v>
      </c>
      <c r="BD155">
        <v>518</v>
      </c>
      <c r="BE155" t="s">
        <v>3097</v>
      </c>
      <c r="BF155" t="str">
        <f>HYPERLINK("http://dx.doi.org/10.3390/rs9060518","http://dx.doi.org/10.3390/rs9060518")</f>
        <v>http://dx.doi.org/10.3390/rs9060518</v>
      </c>
      <c r="BG155" t="s">
        <v>74</v>
      </c>
      <c r="BH155" t="s">
        <v>74</v>
      </c>
      <c r="BI155">
        <v>21</v>
      </c>
      <c r="BJ155" t="s">
        <v>618</v>
      </c>
      <c r="BK155" t="s">
        <v>103</v>
      </c>
      <c r="BL155" t="s">
        <v>619</v>
      </c>
      <c r="BM155" t="s">
        <v>620</v>
      </c>
      <c r="BN155" t="s">
        <v>74</v>
      </c>
      <c r="BO155" t="s">
        <v>1620</v>
      </c>
      <c r="BP155" t="s">
        <v>74</v>
      </c>
      <c r="BQ155" t="s">
        <v>74</v>
      </c>
      <c r="BR155" t="s">
        <v>106</v>
      </c>
      <c r="BS155" t="s">
        <v>3098</v>
      </c>
      <c r="BT155" t="str">
        <f>HYPERLINK("https%3A%2F%2Fwww.webofscience.com%2Fwos%2Fwoscc%2Ffull-record%2FWOS:000404623900009","View Full Record in Web of Science")</f>
        <v>View Full Record in Web of Science</v>
      </c>
    </row>
    <row r="156" spans="1:72" x14ac:dyDescent="0.15">
      <c r="A156" t="s">
        <v>72</v>
      </c>
      <c r="B156" t="s">
        <v>3099</v>
      </c>
      <c r="C156" t="s">
        <v>74</v>
      </c>
      <c r="D156" t="s">
        <v>74</v>
      </c>
      <c r="E156" t="s">
        <v>74</v>
      </c>
      <c r="F156" t="s">
        <v>3100</v>
      </c>
      <c r="G156" t="s">
        <v>74</v>
      </c>
      <c r="H156" t="s">
        <v>74</v>
      </c>
      <c r="I156" t="s">
        <v>3101</v>
      </c>
      <c r="J156" t="s">
        <v>3102</v>
      </c>
      <c r="K156" t="s">
        <v>74</v>
      </c>
      <c r="L156" t="s">
        <v>74</v>
      </c>
      <c r="M156" t="s">
        <v>78</v>
      </c>
      <c r="N156" t="s">
        <v>2082</v>
      </c>
      <c r="O156" t="s">
        <v>74</v>
      </c>
      <c r="P156" t="s">
        <v>74</v>
      </c>
      <c r="Q156" t="s">
        <v>74</v>
      </c>
      <c r="R156" t="s">
        <v>74</v>
      </c>
      <c r="S156" t="s">
        <v>74</v>
      </c>
      <c r="T156" t="s">
        <v>74</v>
      </c>
      <c r="U156" t="s">
        <v>74</v>
      </c>
      <c r="V156" t="s">
        <v>74</v>
      </c>
      <c r="W156" t="s">
        <v>3103</v>
      </c>
      <c r="X156" t="s">
        <v>3104</v>
      </c>
      <c r="Y156" t="s">
        <v>3105</v>
      </c>
      <c r="Z156" t="s">
        <v>74</v>
      </c>
      <c r="AA156" t="s">
        <v>3106</v>
      </c>
      <c r="AB156" t="s">
        <v>3107</v>
      </c>
      <c r="AC156" t="s">
        <v>3108</v>
      </c>
      <c r="AD156" t="s">
        <v>3109</v>
      </c>
      <c r="AE156" t="s">
        <v>74</v>
      </c>
      <c r="AF156" t="s">
        <v>74</v>
      </c>
      <c r="AG156">
        <v>1</v>
      </c>
      <c r="AH156">
        <v>16</v>
      </c>
      <c r="AI156">
        <v>16</v>
      </c>
      <c r="AJ156">
        <v>1</v>
      </c>
      <c r="AK156">
        <v>13</v>
      </c>
      <c r="AL156" t="s">
        <v>681</v>
      </c>
      <c r="AM156" t="s">
        <v>682</v>
      </c>
      <c r="AN156" t="s">
        <v>3110</v>
      </c>
      <c r="AO156" t="s">
        <v>74</v>
      </c>
      <c r="AP156" t="s">
        <v>3111</v>
      </c>
      <c r="AQ156" t="s">
        <v>74</v>
      </c>
      <c r="AR156" t="s">
        <v>3112</v>
      </c>
      <c r="AS156" t="s">
        <v>3113</v>
      </c>
      <c r="AT156" t="s">
        <v>128</v>
      </c>
      <c r="AU156">
        <v>2017</v>
      </c>
      <c r="AV156">
        <v>3</v>
      </c>
      <c r="AW156">
        <v>2</v>
      </c>
      <c r="AX156" t="s">
        <v>74</v>
      </c>
      <c r="AY156" t="s">
        <v>74</v>
      </c>
      <c r="AZ156" t="s">
        <v>74</v>
      </c>
      <c r="BA156" t="s">
        <v>74</v>
      </c>
      <c r="BB156">
        <v>53</v>
      </c>
      <c r="BC156">
        <v>56</v>
      </c>
      <c r="BD156" t="s">
        <v>74</v>
      </c>
      <c r="BE156" t="s">
        <v>3114</v>
      </c>
      <c r="BF156" t="str">
        <f>HYPERLINK("http://dx.doi.org/10.1002/rse2.53","http://dx.doi.org/10.1002/rse2.53")</f>
        <v>http://dx.doi.org/10.1002/rse2.53</v>
      </c>
      <c r="BG156" t="s">
        <v>74</v>
      </c>
      <c r="BH156" t="s">
        <v>74</v>
      </c>
      <c r="BI156">
        <v>4</v>
      </c>
      <c r="BJ156" t="s">
        <v>3115</v>
      </c>
      <c r="BK156" t="s">
        <v>103</v>
      </c>
      <c r="BL156" t="s">
        <v>3116</v>
      </c>
      <c r="BM156" t="s">
        <v>3117</v>
      </c>
      <c r="BN156" t="s">
        <v>74</v>
      </c>
      <c r="BO156" t="s">
        <v>3118</v>
      </c>
      <c r="BP156" t="s">
        <v>74</v>
      </c>
      <c r="BQ156" t="s">
        <v>74</v>
      </c>
      <c r="BR156" t="s">
        <v>106</v>
      </c>
      <c r="BS156" t="s">
        <v>3119</v>
      </c>
      <c r="BT156" t="str">
        <f>HYPERLINK("https%3A%2F%2Fwww.webofscience.com%2Fwos%2Fwoscc%2Ffull-record%2FWOS:000436010900001","View Full Record in Web of Science")</f>
        <v>View Full Record in Web of Science</v>
      </c>
    </row>
    <row r="157" spans="1:72" x14ac:dyDescent="0.15">
      <c r="A157" t="s">
        <v>72</v>
      </c>
      <c r="B157" t="s">
        <v>3120</v>
      </c>
      <c r="C157" t="s">
        <v>74</v>
      </c>
      <c r="D157" t="s">
        <v>74</v>
      </c>
      <c r="E157" t="s">
        <v>74</v>
      </c>
      <c r="F157" t="s">
        <v>3121</v>
      </c>
      <c r="G157" t="s">
        <v>74</v>
      </c>
      <c r="H157" t="s">
        <v>74</v>
      </c>
      <c r="I157" t="s">
        <v>3122</v>
      </c>
      <c r="J157" t="s">
        <v>3123</v>
      </c>
      <c r="K157" t="s">
        <v>74</v>
      </c>
      <c r="L157" t="s">
        <v>74</v>
      </c>
      <c r="M157" t="s">
        <v>78</v>
      </c>
      <c r="N157" t="s">
        <v>518</v>
      </c>
      <c r="O157" t="s">
        <v>74</v>
      </c>
      <c r="P157" t="s">
        <v>74</v>
      </c>
      <c r="Q157" t="s">
        <v>74</v>
      </c>
      <c r="R157" t="s">
        <v>74</v>
      </c>
      <c r="S157" t="s">
        <v>74</v>
      </c>
      <c r="T157" t="s">
        <v>74</v>
      </c>
      <c r="U157" t="s">
        <v>3124</v>
      </c>
      <c r="V157" t="s">
        <v>3125</v>
      </c>
      <c r="W157" t="s">
        <v>3126</v>
      </c>
      <c r="X157" t="s">
        <v>3127</v>
      </c>
      <c r="Y157" t="s">
        <v>3128</v>
      </c>
      <c r="Z157" t="s">
        <v>3129</v>
      </c>
      <c r="AA157" t="s">
        <v>3130</v>
      </c>
      <c r="AB157" t="s">
        <v>3131</v>
      </c>
      <c r="AC157" t="s">
        <v>3132</v>
      </c>
      <c r="AD157" t="s">
        <v>3133</v>
      </c>
      <c r="AE157" t="s">
        <v>3134</v>
      </c>
      <c r="AF157" t="s">
        <v>74</v>
      </c>
      <c r="AG157">
        <v>175</v>
      </c>
      <c r="AH157">
        <v>5</v>
      </c>
      <c r="AI157">
        <v>6</v>
      </c>
      <c r="AJ157">
        <v>1</v>
      </c>
      <c r="AK157">
        <v>29</v>
      </c>
      <c r="AL157" t="s">
        <v>222</v>
      </c>
      <c r="AM157" t="s">
        <v>223</v>
      </c>
      <c r="AN157" t="s">
        <v>224</v>
      </c>
      <c r="AO157" t="s">
        <v>3135</v>
      </c>
      <c r="AP157" t="s">
        <v>3136</v>
      </c>
      <c r="AQ157" t="s">
        <v>74</v>
      </c>
      <c r="AR157" t="s">
        <v>3137</v>
      </c>
      <c r="AS157" t="s">
        <v>3138</v>
      </c>
      <c r="AT157" t="s">
        <v>128</v>
      </c>
      <c r="AU157">
        <v>2017</v>
      </c>
      <c r="AV157">
        <v>55</v>
      </c>
      <c r="AW157">
        <v>2</v>
      </c>
      <c r="AX157" t="s">
        <v>74</v>
      </c>
      <c r="AY157" t="s">
        <v>74</v>
      </c>
      <c r="AZ157" t="s">
        <v>74</v>
      </c>
      <c r="BA157" t="s">
        <v>74</v>
      </c>
      <c r="BB157">
        <v>434</v>
      </c>
      <c r="BC157">
        <v>469</v>
      </c>
      <c r="BD157" t="s">
        <v>74</v>
      </c>
      <c r="BE157" t="s">
        <v>3139</v>
      </c>
      <c r="BF157" t="str">
        <f>HYPERLINK("http://dx.doi.org/10.1002/2016RG000545","http://dx.doi.org/10.1002/2016RG000545")</f>
        <v>http://dx.doi.org/10.1002/2016RG000545</v>
      </c>
      <c r="BG157" t="s">
        <v>74</v>
      </c>
      <c r="BH157" t="s">
        <v>74</v>
      </c>
      <c r="BI157">
        <v>36</v>
      </c>
      <c r="BJ157" t="s">
        <v>176</v>
      </c>
      <c r="BK157" t="s">
        <v>103</v>
      </c>
      <c r="BL157" t="s">
        <v>176</v>
      </c>
      <c r="BM157" t="s">
        <v>3140</v>
      </c>
      <c r="BN157" t="s">
        <v>74</v>
      </c>
      <c r="BO157" t="s">
        <v>412</v>
      </c>
      <c r="BP157" t="s">
        <v>74</v>
      </c>
      <c r="BQ157" t="s">
        <v>74</v>
      </c>
      <c r="BR157" t="s">
        <v>106</v>
      </c>
      <c r="BS157" t="s">
        <v>3141</v>
      </c>
      <c r="BT157" t="str">
        <f>HYPERLINK("https%3A%2F%2Fwww.webofscience.com%2Fwos%2Fwoscc%2Ffull-record%2FWOS:000405304200006","View Full Record in Web of Science")</f>
        <v>View Full Record in Web of Science</v>
      </c>
    </row>
    <row r="158" spans="1:72" x14ac:dyDescent="0.15">
      <c r="A158" t="s">
        <v>72</v>
      </c>
      <c r="B158" t="s">
        <v>3142</v>
      </c>
      <c r="C158" t="s">
        <v>74</v>
      </c>
      <c r="D158" t="s">
        <v>74</v>
      </c>
      <c r="E158" t="s">
        <v>74</v>
      </c>
      <c r="F158" t="s">
        <v>3143</v>
      </c>
      <c r="G158" t="s">
        <v>74</v>
      </c>
      <c r="H158" t="s">
        <v>74</v>
      </c>
      <c r="I158" t="s">
        <v>3144</v>
      </c>
      <c r="J158" t="s">
        <v>3145</v>
      </c>
      <c r="K158" t="s">
        <v>74</v>
      </c>
      <c r="L158" t="s">
        <v>74</v>
      </c>
      <c r="M158" t="s">
        <v>78</v>
      </c>
      <c r="N158" t="s">
        <v>2082</v>
      </c>
      <c r="O158" t="s">
        <v>74</v>
      </c>
      <c r="P158" t="s">
        <v>74</v>
      </c>
      <c r="Q158" t="s">
        <v>74</v>
      </c>
      <c r="R158" t="s">
        <v>74</v>
      </c>
      <c r="S158" t="s">
        <v>74</v>
      </c>
      <c r="T158" t="s">
        <v>74</v>
      </c>
      <c r="U158" t="s">
        <v>3146</v>
      </c>
      <c r="V158" t="s">
        <v>3147</v>
      </c>
      <c r="W158" t="s">
        <v>3148</v>
      </c>
      <c r="X158" t="s">
        <v>3149</v>
      </c>
      <c r="Y158" t="s">
        <v>3150</v>
      </c>
      <c r="Z158" t="s">
        <v>3151</v>
      </c>
      <c r="AA158" t="s">
        <v>3152</v>
      </c>
      <c r="AB158" t="s">
        <v>3153</v>
      </c>
      <c r="AC158" t="s">
        <v>3154</v>
      </c>
      <c r="AD158" t="s">
        <v>3155</v>
      </c>
      <c r="AE158" t="s">
        <v>74</v>
      </c>
      <c r="AF158" t="s">
        <v>74</v>
      </c>
      <c r="AG158">
        <v>22</v>
      </c>
      <c r="AH158">
        <v>11</v>
      </c>
      <c r="AI158">
        <v>13</v>
      </c>
      <c r="AJ158">
        <v>2</v>
      </c>
      <c r="AK158">
        <v>38</v>
      </c>
      <c r="AL158" t="s">
        <v>3156</v>
      </c>
      <c r="AM158" t="s">
        <v>223</v>
      </c>
      <c r="AN158" t="s">
        <v>3157</v>
      </c>
      <c r="AO158" t="s">
        <v>3158</v>
      </c>
      <c r="AP158" t="s">
        <v>74</v>
      </c>
      <c r="AQ158" t="s">
        <v>74</v>
      </c>
      <c r="AR158" t="s">
        <v>3159</v>
      </c>
      <c r="AS158" t="s">
        <v>3160</v>
      </c>
      <c r="AT158" t="s">
        <v>128</v>
      </c>
      <c r="AU158">
        <v>2017</v>
      </c>
      <c r="AV158">
        <v>3</v>
      </c>
      <c r="AW158">
        <v>6</v>
      </c>
      <c r="AX158" t="s">
        <v>74</v>
      </c>
      <c r="AY158" t="s">
        <v>74</v>
      </c>
      <c r="AZ158" t="s">
        <v>74</v>
      </c>
      <c r="BA158" t="s">
        <v>74</v>
      </c>
      <c r="BB158" t="s">
        <v>74</v>
      </c>
      <c r="BC158" t="s">
        <v>74</v>
      </c>
      <c r="BD158" t="s">
        <v>3161</v>
      </c>
      <c r="BE158" t="s">
        <v>3162</v>
      </c>
      <c r="BF158" t="str">
        <f>HYPERLINK("http://dx.doi.org/10.1126/sciadv.1700526","http://dx.doi.org/10.1126/sciadv.1700526")</f>
        <v>http://dx.doi.org/10.1126/sciadv.1700526</v>
      </c>
      <c r="BG158" t="s">
        <v>74</v>
      </c>
      <c r="BH158" t="s">
        <v>74</v>
      </c>
      <c r="BI158">
        <v>3</v>
      </c>
      <c r="BJ158" t="s">
        <v>1617</v>
      </c>
      <c r="BK158" t="s">
        <v>103</v>
      </c>
      <c r="BL158" t="s">
        <v>1618</v>
      </c>
      <c r="BM158" t="s">
        <v>3163</v>
      </c>
      <c r="BN158">
        <v>28782012</v>
      </c>
      <c r="BO158" t="s">
        <v>2009</v>
      </c>
      <c r="BP158" t="s">
        <v>74</v>
      </c>
      <c r="BQ158" t="s">
        <v>74</v>
      </c>
      <c r="BR158" t="s">
        <v>106</v>
      </c>
      <c r="BS158" t="s">
        <v>3164</v>
      </c>
      <c r="BT158" t="str">
        <f>HYPERLINK("https%3A%2F%2Fwww.webofscience.com%2Fwos%2Fwoscc%2Ffull-record%2FWOS:000406370700072","View Full Record in Web of Science")</f>
        <v>View Full Record in Web of Science</v>
      </c>
    </row>
    <row r="159" spans="1:72" x14ac:dyDescent="0.15">
      <c r="A159" t="s">
        <v>72</v>
      </c>
      <c r="B159" t="s">
        <v>3165</v>
      </c>
      <c r="C159" t="s">
        <v>74</v>
      </c>
      <c r="D159" t="s">
        <v>74</v>
      </c>
      <c r="E159" t="s">
        <v>74</v>
      </c>
      <c r="F159" t="s">
        <v>3166</v>
      </c>
      <c r="G159" t="s">
        <v>74</v>
      </c>
      <c r="H159" t="s">
        <v>74</v>
      </c>
      <c r="I159" t="s">
        <v>3167</v>
      </c>
      <c r="J159" t="s">
        <v>3168</v>
      </c>
      <c r="K159" t="s">
        <v>74</v>
      </c>
      <c r="L159" t="s">
        <v>74</v>
      </c>
      <c r="M159" t="s">
        <v>78</v>
      </c>
      <c r="N159" t="s">
        <v>79</v>
      </c>
      <c r="O159" t="s">
        <v>74</v>
      </c>
      <c r="P159" t="s">
        <v>74</v>
      </c>
      <c r="Q159" t="s">
        <v>74</v>
      </c>
      <c r="R159" t="s">
        <v>74</v>
      </c>
      <c r="S159" t="s">
        <v>74</v>
      </c>
      <c r="T159" t="s">
        <v>74</v>
      </c>
      <c r="U159" t="s">
        <v>3169</v>
      </c>
      <c r="V159" t="s">
        <v>3170</v>
      </c>
      <c r="W159" t="s">
        <v>3171</v>
      </c>
      <c r="X159" t="s">
        <v>3172</v>
      </c>
      <c r="Y159" t="s">
        <v>3173</v>
      </c>
      <c r="Z159" t="s">
        <v>3174</v>
      </c>
      <c r="AA159" t="s">
        <v>3175</v>
      </c>
      <c r="AB159" t="s">
        <v>3176</v>
      </c>
      <c r="AC159" t="s">
        <v>3177</v>
      </c>
      <c r="AD159" t="s">
        <v>3178</v>
      </c>
      <c r="AE159" t="s">
        <v>3179</v>
      </c>
      <c r="AF159" t="s">
        <v>74</v>
      </c>
      <c r="AG159">
        <v>24</v>
      </c>
      <c r="AH159">
        <v>22</v>
      </c>
      <c r="AI159">
        <v>22</v>
      </c>
      <c r="AJ159">
        <v>2</v>
      </c>
      <c r="AK159">
        <v>13</v>
      </c>
      <c r="AL159" t="s">
        <v>1115</v>
      </c>
      <c r="AM159" t="s">
        <v>1116</v>
      </c>
      <c r="AN159" t="s">
        <v>1117</v>
      </c>
      <c r="AO159" t="s">
        <v>3180</v>
      </c>
      <c r="AP159" t="s">
        <v>3181</v>
      </c>
      <c r="AQ159" t="s">
        <v>74</v>
      </c>
      <c r="AR159" t="s">
        <v>3182</v>
      </c>
      <c r="AS159" t="s">
        <v>3183</v>
      </c>
      <c r="AT159" t="s">
        <v>128</v>
      </c>
      <c r="AU159">
        <v>2017</v>
      </c>
      <c r="AV159">
        <v>32</v>
      </c>
      <c r="AW159">
        <v>3</v>
      </c>
      <c r="AX159" t="s">
        <v>74</v>
      </c>
      <c r="AY159" t="s">
        <v>74</v>
      </c>
      <c r="AZ159" t="s">
        <v>74</v>
      </c>
      <c r="BA159" t="s">
        <v>74</v>
      </c>
      <c r="BB159">
        <v>849</v>
      </c>
      <c r="BC159">
        <v>872</v>
      </c>
      <c r="BD159" t="s">
        <v>74</v>
      </c>
      <c r="BE159" t="s">
        <v>3184</v>
      </c>
      <c r="BF159" t="str">
        <f>HYPERLINK("http://dx.doi.org/10.1175/WAF-D-16-0160.1","http://dx.doi.org/10.1175/WAF-D-16-0160.1")</f>
        <v>http://dx.doi.org/10.1175/WAF-D-16-0160.1</v>
      </c>
      <c r="BG159" t="s">
        <v>74</v>
      </c>
      <c r="BH159" t="s">
        <v>74</v>
      </c>
      <c r="BI159">
        <v>24</v>
      </c>
      <c r="BJ159" t="s">
        <v>1261</v>
      </c>
      <c r="BK159" t="s">
        <v>103</v>
      </c>
      <c r="BL159" t="s">
        <v>1261</v>
      </c>
      <c r="BM159" t="s">
        <v>3185</v>
      </c>
      <c r="BN159" t="s">
        <v>74</v>
      </c>
      <c r="BO159" t="s">
        <v>384</v>
      </c>
      <c r="BP159" t="s">
        <v>74</v>
      </c>
      <c r="BQ159" t="s">
        <v>74</v>
      </c>
      <c r="BR159" t="s">
        <v>106</v>
      </c>
      <c r="BS159" t="s">
        <v>3186</v>
      </c>
      <c r="BT159" t="str">
        <f>HYPERLINK("https%3A%2F%2Fwww.webofscience.com%2Fwos%2Fwoscc%2Ffull-record%2FWOS:000404345400003","View Full Record in Web of Science")</f>
        <v>View Full Record in Web of Science</v>
      </c>
    </row>
    <row r="160" spans="1:72" x14ac:dyDescent="0.15">
      <c r="A160" t="s">
        <v>72</v>
      </c>
      <c r="B160" t="s">
        <v>3187</v>
      </c>
      <c r="C160" t="s">
        <v>74</v>
      </c>
      <c r="D160" t="s">
        <v>74</v>
      </c>
      <c r="E160" t="s">
        <v>74</v>
      </c>
      <c r="F160" t="s">
        <v>3188</v>
      </c>
      <c r="G160" t="s">
        <v>74</v>
      </c>
      <c r="H160" t="s">
        <v>74</v>
      </c>
      <c r="I160" t="s">
        <v>3189</v>
      </c>
      <c r="J160" t="s">
        <v>3190</v>
      </c>
      <c r="K160" t="s">
        <v>74</v>
      </c>
      <c r="L160" t="s">
        <v>74</v>
      </c>
      <c r="M160" t="s">
        <v>78</v>
      </c>
      <c r="N160" t="s">
        <v>79</v>
      </c>
      <c r="O160" t="s">
        <v>74</v>
      </c>
      <c r="P160" t="s">
        <v>74</v>
      </c>
      <c r="Q160" t="s">
        <v>74</v>
      </c>
      <c r="R160" t="s">
        <v>74</v>
      </c>
      <c r="S160" t="s">
        <v>74</v>
      </c>
      <c r="T160" t="s">
        <v>74</v>
      </c>
      <c r="U160" t="s">
        <v>3191</v>
      </c>
      <c r="V160" t="s">
        <v>3192</v>
      </c>
      <c r="W160" t="s">
        <v>3193</v>
      </c>
      <c r="X160" t="s">
        <v>3194</v>
      </c>
      <c r="Y160" t="s">
        <v>3195</v>
      </c>
      <c r="Z160" t="s">
        <v>3196</v>
      </c>
      <c r="AA160" t="s">
        <v>3197</v>
      </c>
      <c r="AB160" t="s">
        <v>3198</v>
      </c>
      <c r="AC160" t="s">
        <v>74</v>
      </c>
      <c r="AD160" t="s">
        <v>74</v>
      </c>
      <c r="AE160" t="s">
        <v>74</v>
      </c>
      <c r="AF160" t="s">
        <v>74</v>
      </c>
      <c r="AG160">
        <v>21</v>
      </c>
      <c r="AH160">
        <v>22</v>
      </c>
      <c r="AI160">
        <v>24</v>
      </c>
      <c r="AJ160">
        <v>2</v>
      </c>
      <c r="AK160">
        <v>29</v>
      </c>
      <c r="AL160" t="s">
        <v>3199</v>
      </c>
      <c r="AM160" t="s">
        <v>3200</v>
      </c>
      <c r="AN160" t="s">
        <v>3201</v>
      </c>
      <c r="AO160" t="s">
        <v>3202</v>
      </c>
      <c r="AP160" t="s">
        <v>3203</v>
      </c>
      <c r="AQ160" t="s">
        <v>74</v>
      </c>
      <c r="AR160" t="s">
        <v>3204</v>
      </c>
      <c r="AS160" t="s">
        <v>3205</v>
      </c>
      <c r="AT160" t="s">
        <v>128</v>
      </c>
      <c r="AU160">
        <v>2017</v>
      </c>
      <c r="AV160">
        <v>162</v>
      </c>
      <c r="AW160">
        <v>6</v>
      </c>
      <c r="AX160" t="s">
        <v>74</v>
      </c>
      <c r="AY160" t="s">
        <v>74</v>
      </c>
      <c r="AZ160" t="s">
        <v>74</v>
      </c>
      <c r="BA160" t="s">
        <v>74</v>
      </c>
      <c r="BB160">
        <v>1671</v>
      </c>
      <c r="BC160">
        <v>1676</v>
      </c>
      <c r="BD160" t="s">
        <v>74</v>
      </c>
      <c r="BE160" t="s">
        <v>3206</v>
      </c>
      <c r="BF160" t="str">
        <f>HYPERLINK("http://dx.doi.org/10.1007/s00705-017-3286-4","http://dx.doi.org/10.1007/s00705-017-3286-4")</f>
        <v>http://dx.doi.org/10.1007/s00705-017-3286-4</v>
      </c>
      <c r="BG160" t="s">
        <v>74</v>
      </c>
      <c r="BH160" t="s">
        <v>74</v>
      </c>
      <c r="BI160">
        <v>6</v>
      </c>
      <c r="BJ160" t="s">
        <v>3207</v>
      </c>
      <c r="BK160" t="s">
        <v>103</v>
      </c>
      <c r="BL160" t="s">
        <v>3207</v>
      </c>
      <c r="BM160" t="s">
        <v>3208</v>
      </c>
      <c r="BN160">
        <v>28247094</v>
      </c>
      <c r="BO160" t="s">
        <v>3209</v>
      </c>
      <c r="BP160" t="s">
        <v>74</v>
      </c>
      <c r="BQ160" t="s">
        <v>74</v>
      </c>
      <c r="BR160" t="s">
        <v>106</v>
      </c>
      <c r="BS160" t="s">
        <v>3210</v>
      </c>
      <c r="BT160" t="str">
        <f>HYPERLINK("https%3A%2F%2Fwww.webofscience.com%2Fwos%2Fwoscc%2Ffull-record%2FWOS:000401119300022","View Full Record in Web of Science")</f>
        <v>View Full Record in Web of Science</v>
      </c>
    </row>
    <row r="161" spans="1:72" x14ac:dyDescent="0.15">
      <c r="A161" t="s">
        <v>72</v>
      </c>
      <c r="B161" t="s">
        <v>3211</v>
      </c>
      <c r="C161" t="s">
        <v>74</v>
      </c>
      <c r="D161" t="s">
        <v>74</v>
      </c>
      <c r="E161" t="s">
        <v>74</v>
      </c>
      <c r="F161" t="s">
        <v>3212</v>
      </c>
      <c r="G161" t="s">
        <v>74</v>
      </c>
      <c r="H161" t="s">
        <v>74</v>
      </c>
      <c r="I161" t="s">
        <v>3213</v>
      </c>
      <c r="J161" t="s">
        <v>3214</v>
      </c>
      <c r="K161" t="s">
        <v>74</v>
      </c>
      <c r="L161" t="s">
        <v>74</v>
      </c>
      <c r="M161" t="s">
        <v>78</v>
      </c>
      <c r="N161" t="s">
        <v>79</v>
      </c>
      <c r="O161" t="s">
        <v>74</v>
      </c>
      <c r="P161" t="s">
        <v>74</v>
      </c>
      <c r="Q161" t="s">
        <v>74</v>
      </c>
      <c r="R161" t="s">
        <v>74</v>
      </c>
      <c r="S161" t="s">
        <v>74</v>
      </c>
      <c r="T161" t="s">
        <v>3215</v>
      </c>
      <c r="U161" t="s">
        <v>3216</v>
      </c>
      <c r="V161" t="s">
        <v>3217</v>
      </c>
      <c r="W161" t="s">
        <v>3218</v>
      </c>
      <c r="X161" t="s">
        <v>3219</v>
      </c>
      <c r="Y161" t="s">
        <v>3220</v>
      </c>
      <c r="Z161" t="s">
        <v>3221</v>
      </c>
      <c r="AA161" t="s">
        <v>3222</v>
      </c>
      <c r="AB161" t="s">
        <v>3223</v>
      </c>
      <c r="AC161" t="s">
        <v>3224</v>
      </c>
      <c r="AD161" t="s">
        <v>3225</v>
      </c>
      <c r="AE161" t="s">
        <v>3226</v>
      </c>
      <c r="AF161" t="s">
        <v>74</v>
      </c>
      <c r="AG161">
        <v>60</v>
      </c>
      <c r="AH161">
        <v>98</v>
      </c>
      <c r="AI161">
        <v>100</v>
      </c>
      <c r="AJ161">
        <v>1</v>
      </c>
      <c r="AK161">
        <v>16</v>
      </c>
      <c r="AL161" t="s">
        <v>317</v>
      </c>
      <c r="AM161" t="s">
        <v>318</v>
      </c>
      <c r="AN161" t="s">
        <v>319</v>
      </c>
      <c r="AO161" t="s">
        <v>3227</v>
      </c>
      <c r="AP161" t="s">
        <v>3228</v>
      </c>
      <c r="AQ161" t="s">
        <v>74</v>
      </c>
      <c r="AR161" t="s">
        <v>3229</v>
      </c>
      <c r="AS161" t="s">
        <v>3230</v>
      </c>
      <c r="AT161" t="s">
        <v>128</v>
      </c>
      <c r="AU161">
        <v>2017</v>
      </c>
      <c r="AV161">
        <v>124</v>
      </c>
      <c r="AW161" t="s">
        <v>74</v>
      </c>
      <c r="AX161" t="s">
        <v>74</v>
      </c>
      <c r="AY161" t="s">
        <v>74</v>
      </c>
      <c r="AZ161" t="s">
        <v>74</v>
      </c>
      <c r="BA161" t="s">
        <v>74</v>
      </c>
      <c r="BB161">
        <v>1</v>
      </c>
      <c r="BC161">
        <v>11</v>
      </c>
      <c r="BD161" t="s">
        <v>74</v>
      </c>
      <c r="BE161" t="s">
        <v>3231</v>
      </c>
      <c r="BF161" t="str">
        <f>HYPERLINK("http://dx.doi.org/10.1016/j.coastaleng.2017.03.005","http://dx.doi.org/10.1016/j.coastaleng.2017.03.005")</f>
        <v>http://dx.doi.org/10.1016/j.coastaleng.2017.03.005</v>
      </c>
      <c r="BG161" t="s">
        <v>74</v>
      </c>
      <c r="BH161" t="s">
        <v>74</v>
      </c>
      <c r="BI161">
        <v>11</v>
      </c>
      <c r="BJ161" t="s">
        <v>3232</v>
      </c>
      <c r="BK161" t="s">
        <v>103</v>
      </c>
      <c r="BL161" t="s">
        <v>3233</v>
      </c>
      <c r="BM161" t="s">
        <v>3234</v>
      </c>
      <c r="BN161" t="s">
        <v>74</v>
      </c>
      <c r="BO161" t="s">
        <v>384</v>
      </c>
      <c r="BP161" t="s">
        <v>74</v>
      </c>
      <c r="BQ161" t="s">
        <v>74</v>
      </c>
      <c r="BR161" t="s">
        <v>106</v>
      </c>
      <c r="BS161" t="s">
        <v>3235</v>
      </c>
      <c r="BT161" t="str">
        <f>HYPERLINK("https%3A%2F%2Fwww.webofscience.com%2Fwos%2Fwoscc%2Ffull-record%2FWOS:000401375300001","View Full Record in Web of Science")</f>
        <v>View Full Record in Web of Science</v>
      </c>
    </row>
    <row r="162" spans="1:72" x14ac:dyDescent="0.15">
      <c r="A162" t="s">
        <v>72</v>
      </c>
      <c r="B162" t="s">
        <v>3236</v>
      </c>
      <c r="C162" t="s">
        <v>74</v>
      </c>
      <c r="D162" t="s">
        <v>74</v>
      </c>
      <c r="E162" t="s">
        <v>74</v>
      </c>
      <c r="F162" t="s">
        <v>3237</v>
      </c>
      <c r="G162" t="s">
        <v>74</v>
      </c>
      <c r="H162" t="s">
        <v>74</v>
      </c>
      <c r="I162" t="s">
        <v>3238</v>
      </c>
      <c r="J162" t="s">
        <v>3239</v>
      </c>
      <c r="K162" t="s">
        <v>74</v>
      </c>
      <c r="L162" t="s">
        <v>74</v>
      </c>
      <c r="M162" t="s">
        <v>78</v>
      </c>
      <c r="N162" t="s">
        <v>79</v>
      </c>
      <c r="O162" t="s">
        <v>74</v>
      </c>
      <c r="P162" t="s">
        <v>74</v>
      </c>
      <c r="Q162" t="s">
        <v>74</v>
      </c>
      <c r="R162" t="s">
        <v>74</v>
      </c>
      <c r="S162" t="s">
        <v>74</v>
      </c>
      <c r="T162" t="s">
        <v>3240</v>
      </c>
      <c r="U162" t="s">
        <v>3241</v>
      </c>
      <c r="V162" t="s">
        <v>3242</v>
      </c>
      <c r="W162" t="s">
        <v>3243</v>
      </c>
      <c r="X162" t="s">
        <v>796</v>
      </c>
      <c r="Y162" t="s">
        <v>3244</v>
      </c>
      <c r="Z162" t="s">
        <v>3245</v>
      </c>
      <c r="AA162" t="s">
        <v>3246</v>
      </c>
      <c r="AB162" t="s">
        <v>3247</v>
      </c>
      <c r="AC162" t="s">
        <v>3248</v>
      </c>
      <c r="AD162" t="s">
        <v>3249</v>
      </c>
      <c r="AE162" t="s">
        <v>3250</v>
      </c>
      <c r="AF162" t="s">
        <v>74</v>
      </c>
      <c r="AG162">
        <v>31</v>
      </c>
      <c r="AH162">
        <v>8</v>
      </c>
      <c r="AI162">
        <v>12</v>
      </c>
      <c r="AJ162">
        <v>2</v>
      </c>
      <c r="AK162">
        <v>9</v>
      </c>
      <c r="AL162" t="s">
        <v>1141</v>
      </c>
      <c r="AM162" t="s">
        <v>318</v>
      </c>
      <c r="AN162" t="s">
        <v>1142</v>
      </c>
      <c r="AO162" t="s">
        <v>3251</v>
      </c>
      <c r="AP162" t="s">
        <v>3252</v>
      </c>
      <c r="AQ162" t="s">
        <v>74</v>
      </c>
      <c r="AR162" t="s">
        <v>3253</v>
      </c>
      <c r="AS162" t="s">
        <v>3254</v>
      </c>
      <c r="AT162" t="s">
        <v>99</v>
      </c>
      <c r="AU162">
        <v>2017</v>
      </c>
      <c r="AV162">
        <v>467</v>
      </c>
      <c r="AW162" t="s">
        <v>74</v>
      </c>
      <c r="AX162" t="s">
        <v>74</v>
      </c>
      <c r="AY162" t="s">
        <v>74</v>
      </c>
      <c r="AZ162" t="s">
        <v>74</v>
      </c>
      <c r="BA162" t="s">
        <v>74</v>
      </c>
      <c r="BB162">
        <v>79</v>
      </c>
      <c r="BC162">
        <v>88</v>
      </c>
      <c r="BD162" t="s">
        <v>74</v>
      </c>
      <c r="BE162" t="s">
        <v>3255</v>
      </c>
      <c r="BF162" t="str">
        <f>HYPERLINK("http://dx.doi.org/10.1016/j.epsl.2017.03.020","http://dx.doi.org/10.1016/j.epsl.2017.03.020")</f>
        <v>http://dx.doi.org/10.1016/j.epsl.2017.03.020</v>
      </c>
      <c r="BG162" t="s">
        <v>74</v>
      </c>
      <c r="BH162" t="s">
        <v>74</v>
      </c>
      <c r="BI162">
        <v>10</v>
      </c>
      <c r="BJ162" t="s">
        <v>176</v>
      </c>
      <c r="BK162" t="s">
        <v>103</v>
      </c>
      <c r="BL162" t="s">
        <v>176</v>
      </c>
      <c r="BM162" t="s">
        <v>3256</v>
      </c>
      <c r="BN162" t="s">
        <v>74</v>
      </c>
      <c r="BO162" t="s">
        <v>384</v>
      </c>
      <c r="BP162" t="s">
        <v>74</v>
      </c>
      <c r="BQ162" t="s">
        <v>74</v>
      </c>
      <c r="BR162" t="s">
        <v>106</v>
      </c>
      <c r="BS162" t="s">
        <v>3257</v>
      </c>
      <c r="BT162" t="str">
        <f>HYPERLINK("https%3A%2F%2Fwww.webofscience.com%2Fwos%2Fwoscc%2Ffull-record%2FWOS:000401385500009","View Full Record in Web of Science")</f>
        <v>View Full Record in Web of Science</v>
      </c>
    </row>
    <row r="163" spans="1:72" x14ac:dyDescent="0.15">
      <c r="A163" t="s">
        <v>72</v>
      </c>
      <c r="B163" t="s">
        <v>3258</v>
      </c>
      <c r="C163" t="s">
        <v>74</v>
      </c>
      <c r="D163" t="s">
        <v>74</v>
      </c>
      <c r="E163" t="s">
        <v>74</v>
      </c>
      <c r="F163" t="s">
        <v>3259</v>
      </c>
      <c r="G163" t="s">
        <v>74</v>
      </c>
      <c r="H163" t="s">
        <v>74</v>
      </c>
      <c r="I163" t="s">
        <v>3260</v>
      </c>
      <c r="J163" t="s">
        <v>3261</v>
      </c>
      <c r="K163" t="s">
        <v>74</v>
      </c>
      <c r="L163" t="s">
        <v>74</v>
      </c>
      <c r="M163" t="s">
        <v>78</v>
      </c>
      <c r="N163" t="s">
        <v>79</v>
      </c>
      <c r="O163" t="s">
        <v>74</v>
      </c>
      <c r="P163" t="s">
        <v>74</v>
      </c>
      <c r="Q163" t="s">
        <v>74</v>
      </c>
      <c r="R163" t="s">
        <v>74</v>
      </c>
      <c r="S163" t="s">
        <v>74</v>
      </c>
      <c r="T163" t="s">
        <v>3262</v>
      </c>
      <c r="U163" t="s">
        <v>3263</v>
      </c>
      <c r="V163" t="s">
        <v>3264</v>
      </c>
      <c r="W163" t="s">
        <v>3265</v>
      </c>
      <c r="X163" t="s">
        <v>3266</v>
      </c>
      <c r="Y163" t="s">
        <v>3267</v>
      </c>
      <c r="Z163" t="s">
        <v>3268</v>
      </c>
      <c r="AA163" t="s">
        <v>3269</v>
      </c>
      <c r="AB163" t="s">
        <v>3270</v>
      </c>
      <c r="AC163" t="s">
        <v>74</v>
      </c>
      <c r="AD163" t="s">
        <v>74</v>
      </c>
      <c r="AE163" t="s">
        <v>74</v>
      </c>
      <c r="AF163" t="s">
        <v>74</v>
      </c>
      <c r="AG163">
        <v>74</v>
      </c>
      <c r="AH163">
        <v>22</v>
      </c>
      <c r="AI163">
        <v>24</v>
      </c>
      <c r="AJ163">
        <v>1</v>
      </c>
      <c r="AK163">
        <v>20</v>
      </c>
      <c r="AL163" t="s">
        <v>1141</v>
      </c>
      <c r="AM163" t="s">
        <v>318</v>
      </c>
      <c r="AN163" t="s">
        <v>1142</v>
      </c>
      <c r="AO163" t="s">
        <v>3271</v>
      </c>
      <c r="AP163" t="s">
        <v>3272</v>
      </c>
      <c r="AQ163" t="s">
        <v>74</v>
      </c>
      <c r="AR163" t="s">
        <v>3273</v>
      </c>
      <c r="AS163" t="s">
        <v>3274</v>
      </c>
      <c r="AT163" t="s">
        <v>128</v>
      </c>
      <c r="AU163">
        <v>2017</v>
      </c>
      <c r="AV163">
        <v>491</v>
      </c>
      <c r="AW163" t="s">
        <v>74</v>
      </c>
      <c r="AX163" t="s">
        <v>74</v>
      </c>
      <c r="AY163" t="s">
        <v>74</v>
      </c>
      <c r="AZ163" t="s">
        <v>74</v>
      </c>
      <c r="BA163" t="s">
        <v>74</v>
      </c>
      <c r="BB163">
        <v>51</v>
      </c>
      <c r="BC163">
        <v>57</v>
      </c>
      <c r="BD163" t="s">
        <v>74</v>
      </c>
      <c r="BE163" t="s">
        <v>3275</v>
      </c>
      <c r="BF163" t="str">
        <f>HYPERLINK("http://dx.doi.org/10.1016/j.jembe.2017.03.004","http://dx.doi.org/10.1016/j.jembe.2017.03.004")</f>
        <v>http://dx.doi.org/10.1016/j.jembe.2017.03.004</v>
      </c>
      <c r="BG163" t="s">
        <v>74</v>
      </c>
      <c r="BH163" t="s">
        <v>74</v>
      </c>
      <c r="BI163">
        <v>7</v>
      </c>
      <c r="BJ163" t="s">
        <v>3276</v>
      </c>
      <c r="BK163" t="s">
        <v>103</v>
      </c>
      <c r="BL163" t="s">
        <v>3277</v>
      </c>
      <c r="BM163" t="s">
        <v>3278</v>
      </c>
      <c r="BN163" t="s">
        <v>74</v>
      </c>
      <c r="BO163" t="s">
        <v>384</v>
      </c>
      <c r="BP163" t="s">
        <v>74</v>
      </c>
      <c r="BQ163" t="s">
        <v>74</v>
      </c>
      <c r="BR163" t="s">
        <v>106</v>
      </c>
      <c r="BS163" t="s">
        <v>3279</v>
      </c>
      <c r="BT163" t="str">
        <f>HYPERLINK("https%3A%2F%2Fwww.webofscience.com%2Fwos%2Fwoscc%2Ffull-record%2FWOS:000401209000006","View Full Record in Web of Science")</f>
        <v>View Full Record in Web of Science</v>
      </c>
    </row>
    <row r="164" spans="1:72" x14ac:dyDescent="0.15">
      <c r="A164" t="s">
        <v>72</v>
      </c>
      <c r="B164" t="s">
        <v>3280</v>
      </c>
      <c r="C164" t="s">
        <v>74</v>
      </c>
      <c r="D164" t="s">
        <v>74</v>
      </c>
      <c r="E164" t="s">
        <v>74</v>
      </c>
      <c r="F164" t="s">
        <v>3281</v>
      </c>
      <c r="G164" t="s">
        <v>74</v>
      </c>
      <c r="H164" t="s">
        <v>74</v>
      </c>
      <c r="I164" t="s">
        <v>3282</v>
      </c>
      <c r="J164" t="s">
        <v>3283</v>
      </c>
      <c r="K164" t="s">
        <v>74</v>
      </c>
      <c r="L164" t="s">
        <v>74</v>
      </c>
      <c r="M164" t="s">
        <v>78</v>
      </c>
      <c r="N164" t="s">
        <v>79</v>
      </c>
      <c r="O164" t="s">
        <v>74</v>
      </c>
      <c r="P164" t="s">
        <v>74</v>
      </c>
      <c r="Q164" t="s">
        <v>74</v>
      </c>
      <c r="R164" t="s">
        <v>74</v>
      </c>
      <c r="S164" t="s">
        <v>74</v>
      </c>
      <c r="T164" t="s">
        <v>3284</v>
      </c>
      <c r="U164" t="s">
        <v>3285</v>
      </c>
      <c r="V164" t="s">
        <v>3286</v>
      </c>
      <c r="W164" t="s">
        <v>3287</v>
      </c>
      <c r="X164" t="s">
        <v>3288</v>
      </c>
      <c r="Y164" t="s">
        <v>3289</v>
      </c>
      <c r="Z164" t="s">
        <v>3290</v>
      </c>
      <c r="AA164" t="s">
        <v>3291</v>
      </c>
      <c r="AB164" t="s">
        <v>3292</v>
      </c>
      <c r="AC164" t="s">
        <v>3293</v>
      </c>
      <c r="AD164" t="s">
        <v>3293</v>
      </c>
      <c r="AE164" t="s">
        <v>3294</v>
      </c>
      <c r="AF164" t="s">
        <v>74</v>
      </c>
      <c r="AG164">
        <v>43</v>
      </c>
      <c r="AH164">
        <v>76</v>
      </c>
      <c r="AI164">
        <v>84</v>
      </c>
      <c r="AJ164">
        <v>4</v>
      </c>
      <c r="AK164">
        <v>56</v>
      </c>
      <c r="AL164" t="s">
        <v>3295</v>
      </c>
      <c r="AM164" t="s">
        <v>3296</v>
      </c>
      <c r="AN164" t="s">
        <v>3297</v>
      </c>
      <c r="AO164" t="s">
        <v>3298</v>
      </c>
      <c r="AP164" t="s">
        <v>3299</v>
      </c>
      <c r="AQ164" t="s">
        <v>74</v>
      </c>
      <c r="AR164" t="s">
        <v>3300</v>
      </c>
      <c r="AS164" t="s">
        <v>3301</v>
      </c>
      <c r="AT164" t="s">
        <v>128</v>
      </c>
      <c r="AU164">
        <v>2017</v>
      </c>
      <c r="AV164">
        <v>109</v>
      </c>
      <c r="AW164" t="s">
        <v>74</v>
      </c>
      <c r="AX164" t="s">
        <v>74</v>
      </c>
      <c r="AY164" t="s">
        <v>74</v>
      </c>
      <c r="AZ164" t="s">
        <v>74</v>
      </c>
      <c r="BA164" t="s">
        <v>74</v>
      </c>
      <c r="BB164">
        <v>14</v>
      </c>
      <c r="BC164">
        <v>20</v>
      </c>
      <c r="BD164" t="s">
        <v>74</v>
      </c>
      <c r="BE164" t="s">
        <v>3302</v>
      </c>
      <c r="BF164" t="str">
        <f>HYPERLINK("http://dx.doi.org/10.1016/j.biocontrol.2017.03.002","http://dx.doi.org/10.1016/j.biocontrol.2017.03.002")</f>
        <v>http://dx.doi.org/10.1016/j.biocontrol.2017.03.002</v>
      </c>
      <c r="BG164" t="s">
        <v>74</v>
      </c>
      <c r="BH164" t="s">
        <v>74</v>
      </c>
      <c r="BI164">
        <v>7</v>
      </c>
      <c r="BJ164" t="s">
        <v>3303</v>
      </c>
      <c r="BK164" t="s">
        <v>103</v>
      </c>
      <c r="BL164" t="s">
        <v>3303</v>
      </c>
      <c r="BM164" t="s">
        <v>3304</v>
      </c>
      <c r="BN164" t="s">
        <v>74</v>
      </c>
      <c r="BO164" t="s">
        <v>74</v>
      </c>
      <c r="BP164" t="s">
        <v>74</v>
      </c>
      <c r="BQ164" t="s">
        <v>74</v>
      </c>
      <c r="BR164" t="s">
        <v>106</v>
      </c>
      <c r="BS164" t="s">
        <v>3305</v>
      </c>
      <c r="BT164" t="str">
        <f>HYPERLINK("https%3A%2F%2Fwww.webofscience.com%2Fwos%2Fwoscc%2Ffull-record%2FWOS:000400723100002","View Full Record in Web of Science")</f>
        <v>View Full Record in Web of Science</v>
      </c>
    </row>
    <row r="165" spans="1:72" x14ac:dyDescent="0.15">
      <c r="A165" t="s">
        <v>72</v>
      </c>
      <c r="B165" t="s">
        <v>3306</v>
      </c>
      <c r="C165" t="s">
        <v>74</v>
      </c>
      <c r="D165" t="s">
        <v>74</v>
      </c>
      <c r="E165" t="s">
        <v>74</v>
      </c>
      <c r="F165" t="s">
        <v>3307</v>
      </c>
      <c r="G165" t="s">
        <v>74</v>
      </c>
      <c r="H165" t="s">
        <v>74</v>
      </c>
      <c r="I165" t="s">
        <v>3308</v>
      </c>
      <c r="J165" t="s">
        <v>3309</v>
      </c>
      <c r="K165" t="s">
        <v>74</v>
      </c>
      <c r="L165" t="s">
        <v>74</v>
      </c>
      <c r="M165" t="s">
        <v>78</v>
      </c>
      <c r="N165" t="s">
        <v>79</v>
      </c>
      <c r="O165" t="s">
        <v>74</v>
      </c>
      <c r="P165" t="s">
        <v>74</v>
      </c>
      <c r="Q165" t="s">
        <v>74</v>
      </c>
      <c r="R165" t="s">
        <v>74</v>
      </c>
      <c r="S165" t="s">
        <v>74</v>
      </c>
      <c r="T165" t="s">
        <v>3310</v>
      </c>
      <c r="U165" t="s">
        <v>74</v>
      </c>
      <c r="V165" t="s">
        <v>3311</v>
      </c>
      <c r="W165" t="s">
        <v>3312</v>
      </c>
      <c r="X165" t="s">
        <v>74</v>
      </c>
      <c r="Y165" t="s">
        <v>3313</v>
      </c>
      <c r="Z165" t="s">
        <v>3314</v>
      </c>
      <c r="AA165" t="s">
        <v>74</v>
      </c>
      <c r="AB165" t="s">
        <v>74</v>
      </c>
      <c r="AC165" t="s">
        <v>74</v>
      </c>
      <c r="AD165" t="s">
        <v>74</v>
      </c>
      <c r="AE165" t="s">
        <v>74</v>
      </c>
      <c r="AF165" t="s">
        <v>74</v>
      </c>
      <c r="AG165">
        <v>56</v>
      </c>
      <c r="AH165">
        <v>8</v>
      </c>
      <c r="AI165">
        <v>9</v>
      </c>
      <c r="AJ165">
        <v>1</v>
      </c>
      <c r="AK165">
        <v>8</v>
      </c>
      <c r="AL165" t="s">
        <v>803</v>
      </c>
      <c r="AM165" t="s">
        <v>1984</v>
      </c>
      <c r="AN165" t="s">
        <v>1985</v>
      </c>
      <c r="AO165" t="s">
        <v>3315</v>
      </c>
      <c r="AP165" t="s">
        <v>3316</v>
      </c>
      <c r="AQ165" t="s">
        <v>74</v>
      </c>
      <c r="AR165" t="s">
        <v>3317</v>
      </c>
      <c r="AS165" t="s">
        <v>3318</v>
      </c>
      <c r="AT165" t="s">
        <v>128</v>
      </c>
      <c r="AU165">
        <v>2017</v>
      </c>
      <c r="AV165">
        <v>30</v>
      </c>
      <c r="AW165">
        <v>2</v>
      </c>
      <c r="AX165" t="s">
        <v>74</v>
      </c>
      <c r="AY165" t="s">
        <v>74</v>
      </c>
      <c r="AZ165" t="s">
        <v>74</v>
      </c>
      <c r="BA165" t="s">
        <v>74</v>
      </c>
      <c r="BB165">
        <v>457</v>
      </c>
      <c r="BC165">
        <v>474</v>
      </c>
      <c r="BD165" t="s">
        <v>74</v>
      </c>
      <c r="BE165" t="s">
        <v>3319</v>
      </c>
      <c r="BF165" t="str">
        <f>HYPERLINK("http://dx.doi.org/10.1017/S0922156517000097","http://dx.doi.org/10.1017/S0922156517000097")</f>
        <v>http://dx.doi.org/10.1017/S0922156517000097</v>
      </c>
      <c r="BG165" t="s">
        <v>74</v>
      </c>
      <c r="BH165" t="s">
        <v>74</v>
      </c>
      <c r="BI165">
        <v>18</v>
      </c>
      <c r="BJ165" t="s">
        <v>3320</v>
      </c>
      <c r="BK165" t="s">
        <v>3321</v>
      </c>
      <c r="BL165" t="s">
        <v>3322</v>
      </c>
      <c r="BM165" t="s">
        <v>3323</v>
      </c>
      <c r="BN165" t="s">
        <v>74</v>
      </c>
      <c r="BO165" t="s">
        <v>74</v>
      </c>
      <c r="BP165" t="s">
        <v>74</v>
      </c>
      <c r="BQ165" t="s">
        <v>74</v>
      </c>
      <c r="BR165" t="s">
        <v>106</v>
      </c>
      <c r="BS165" t="s">
        <v>3324</v>
      </c>
      <c r="BT165" t="str">
        <f>HYPERLINK("https%3A%2F%2Fwww.webofscience.com%2Fwos%2Fwoscc%2Ffull-record%2FWOS:000400601800008","View Full Record in Web of Science")</f>
        <v>View Full Record in Web of Science</v>
      </c>
    </row>
    <row r="166" spans="1:72" x14ac:dyDescent="0.15">
      <c r="A166" t="s">
        <v>72</v>
      </c>
      <c r="B166" t="s">
        <v>3325</v>
      </c>
      <c r="C166" t="s">
        <v>74</v>
      </c>
      <c r="D166" t="s">
        <v>74</v>
      </c>
      <c r="E166" t="s">
        <v>74</v>
      </c>
      <c r="F166" t="s">
        <v>3326</v>
      </c>
      <c r="G166" t="s">
        <v>74</v>
      </c>
      <c r="H166" t="s">
        <v>74</v>
      </c>
      <c r="I166" t="s">
        <v>3327</v>
      </c>
      <c r="J166" t="s">
        <v>3328</v>
      </c>
      <c r="K166" t="s">
        <v>74</v>
      </c>
      <c r="L166" t="s">
        <v>74</v>
      </c>
      <c r="M166" t="s">
        <v>78</v>
      </c>
      <c r="N166" t="s">
        <v>79</v>
      </c>
      <c r="O166" t="s">
        <v>74</v>
      </c>
      <c r="P166" t="s">
        <v>74</v>
      </c>
      <c r="Q166" t="s">
        <v>74</v>
      </c>
      <c r="R166" t="s">
        <v>74</v>
      </c>
      <c r="S166" t="s">
        <v>74</v>
      </c>
      <c r="T166" t="s">
        <v>3329</v>
      </c>
      <c r="U166" t="s">
        <v>3330</v>
      </c>
      <c r="V166" t="s">
        <v>3331</v>
      </c>
      <c r="W166" t="s">
        <v>3332</v>
      </c>
      <c r="X166" t="s">
        <v>2587</v>
      </c>
      <c r="Y166" t="s">
        <v>3333</v>
      </c>
      <c r="Z166" t="s">
        <v>3334</v>
      </c>
      <c r="AA166" t="s">
        <v>3335</v>
      </c>
      <c r="AB166" t="s">
        <v>3336</v>
      </c>
      <c r="AC166" t="s">
        <v>3337</v>
      </c>
      <c r="AD166" t="s">
        <v>3338</v>
      </c>
      <c r="AE166" t="s">
        <v>3339</v>
      </c>
      <c r="AF166" t="s">
        <v>74</v>
      </c>
      <c r="AG166">
        <v>30</v>
      </c>
      <c r="AH166">
        <v>13</v>
      </c>
      <c r="AI166">
        <v>13</v>
      </c>
      <c r="AJ166">
        <v>2</v>
      </c>
      <c r="AK166">
        <v>54</v>
      </c>
      <c r="AL166" t="s">
        <v>1141</v>
      </c>
      <c r="AM166" t="s">
        <v>318</v>
      </c>
      <c r="AN166" t="s">
        <v>1142</v>
      </c>
      <c r="AO166" t="s">
        <v>3340</v>
      </c>
      <c r="AP166" t="s">
        <v>3341</v>
      </c>
      <c r="AQ166" t="s">
        <v>74</v>
      </c>
      <c r="AR166" t="s">
        <v>3342</v>
      </c>
      <c r="AS166" t="s">
        <v>3343</v>
      </c>
      <c r="AT166" t="s">
        <v>128</v>
      </c>
      <c r="AU166">
        <v>2017</v>
      </c>
      <c r="AV166">
        <v>99</v>
      </c>
      <c r="AW166" t="s">
        <v>74</v>
      </c>
      <c r="AX166" t="s">
        <v>74</v>
      </c>
      <c r="AY166" t="s">
        <v>74</v>
      </c>
      <c r="AZ166" t="s">
        <v>74</v>
      </c>
      <c r="BA166" t="s">
        <v>74</v>
      </c>
      <c r="BB166">
        <v>166</v>
      </c>
      <c r="BC166">
        <v>172</v>
      </c>
      <c r="BD166" t="s">
        <v>74</v>
      </c>
      <c r="BE166" t="s">
        <v>3344</v>
      </c>
      <c r="BF166" t="str">
        <f>HYPERLINK("http://dx.doi.org/10.1016/j.ijbiomac.2017.02.077","http://dx.doi.org/10.1016/j.ijbiomac.2017.02.077")</f>
        <v>http://dx.doi.org/10.1016/j.ijbiomac.2017.02.077</v>
      </c>
      <c r="BG166" t="s">
        <v>74</v>
      </c>
      <c r="BH166" t="s">
        <v>74</v>
      </c>
      <c r="BI166">
        <v>7</v>
      </c>
      <c r="BJ166" t="s">
        <v>3345</v>
      </c>
      <c r="BK166" t="s">
        <v>103</v>
      </c>
      <c r="BL166" t="s">
        <v>3346</v>
      </c>
      <c r="BM166" t="s">
        <v>3347</v>
      </c>
      <c r="BN166">
        <v>28237569</v>
      </c>
      <c r="BO166" t="s">
        <v>384</v>
      </c>
      <c r="BP166" t="s">
        <v>74</v>
      </c>
      <c r="BQ166" t="s">
        <v>74</v>
      </c>
      <c r="BR166" t="s">
        <v>106</v>
      </c>
      <c r="BS166" t="s">
        <v>3348</v>
      </c>
      <c r="BT166" t="str">
        <f>HYPERLINK("https%3A%2F%2Fwww.webofscience.com%2Fwos%2Fwoscc%2Ffull-record%2FWOS:000400034100020","View Full Record in Web of Science")</f>
        <v>View Full Record in Web of Science</v>
      </c>
    </row>
    <row r="167" spans="1:72" x14ac:dyDescent="0.15">
      <c r="A167" t="s">
        <v>72</v>
      </c>
      <c r="B167" t="s">
        <v>3349</v>
      </c>
      <c r="C167" t="s">
        <v>74</v>
      </c>
      <c r="D167" t="s">
        <v>74</v>
      </c>
      <c r="E167" t="s">
        <v>74</v>
      </c>
      <c r="F167" t="s">
        <v>3350</v>
      </c>
      <c r="G167" t="s">
        <v>74</v>
      </c>
      <c r="H167" t="s">
        <v>74</v>
      </c>
      <c r="I167" t="s">
        <v>3351</v>
      </c>
      <c r="J167" t="s">
        <v>3352</v>
      </c>
      <c r="K167" t="s">
        <v>74</v>
      </c>
      <c r="L167" t="s">
        <v>74</v>
      </c>
      <c r="M167" t="s">
        <v>78</v>
      </c>
      <c r="N167" t="s">
        <v>79</v>
      </c>
      <c r="O167" t="s">
        <v>74</v>
      </c>
      <c r="P167" t="s">
        <v>74</v>
      </c>
      <c r="Q167" t="s">
        <v>74</v>
      </c>
      <c r="R167" t="s">
        <v>74</v>
      </c>
      <c r="S167" t="s">
        <v>74</v>
      </c>
      <c r="T167" t="s">
        <v>3353</v>
      </c>
      <c r="U167" t="s">
        <v>3354</v>
      </c>
      <c r="V167" t="s">
        <v>3355</v>
      </c>
      <c r="W167" t="s">
        <v>3356</v>
      </c>
      <c r="X167" t="s">
        <v>3357</v>
      </c>
      <c r="Y167" t="s">
        <v>3358</v>
      </c>
      <c r="Z167" t="s">
        <v>3359</v>
      </c>
      <c r="AA167" t="s">
        <v>3360</v>
      </c>
      <c r="AB167" t="s">
        <v>3361</v>
      </c>
      <c r="AC167" t="s">
        <v>3362</v>
      </c>
      <c r="AD167" t="s">
        <v>3363</v>
      </c>
      <c r="AE167" t="s">
        <v>3364</v>
      </c>
      <c r="AF167" t="s">
        <v>74</v>
      </c>
      <c r="AG167">
        <v>42</v>
      </c>
      <c r="AH167">
        <v>12</v>
      </c>
      <c r="AI167">
        <v>12</v>
      </c>
      <c r="AJ167">
        <v>0</v>
      </c>
      <c r="AK167">
        <v>41</v>
      </c>
      <c r="AL167" t="s">
        <v>1141</v>
      </c>
      <c r="AM167" t="s">
        <v>318</v>
      </c>
      <c r="AN167" t="s">
        <v>1142</v>
      </c>
      <c r="AO167" t="s">
        <v>3365</v>
      </c>
      <c r="AP167" t="s">
        <v>3366</v>
      </c>
      <c r="AQ167" t="s">
        <v>74</v>
      </c>
      <c r="AR167" t="s">
        <v>3367</v>
      </c>
      <c r="AS167" t="s">
        <v>3368</v>
      </c>
      <c r="AT167" t="s">
        <v>99</v>
      </c>
      <c r="AU167">
        <v>2017</v>
      </c>
      <c r="AV167">
        <v>587</v>
      </c>
      <c r="AW167" t="s">
        <v>74</v>
      </c>
      <c r="AX167" t="s">
        <v>74</v>
      </c>
      <c r="AY167" t="s">
        <v>74</v>
      </c>
      <c r="AZ167" t="s">
        <v>74</v>
      </c>
      <c r="BA167" t="s">
        <v>74</v>
      </c>
      <c r="BB167">
        <v>340</v>
      </c>
      <c r="BC167">
        <v>349</v>
      </c>
      <c r="BD167" t="s">
        <v>74</v>
      </c>
      <c r="BE167" t="s">
        <v>3369</v>
      </c>
      <c r="BF167" t="str">
        <f>HYPERLINK("http://dx.doi.org/10.1016/j.scitotenv.2017.02.158","http://dx.doi.org/10.1016/j.scitotenv.2017.02.158")</f>
        <v>http://dx.doi.org/10.1016/j.scitotenv.2017.02.158</v>
      </c>
      <c r="BG167" t="s">
        <v>74</v>
      </c>
      <c r="BH167" t="s">
        <v>74</v>
      </c>
      <c r="BI167">
        <v>10</v>
      </c>
      <c r="BJ167" t="s">
        <v>2189</v>
      </c>
      <c r="BK167" t="s">
        <v>103</v>
      </c>
      <c r="BL167" t="s">
        <v>993</v>
      </c>
      <c r="BM167" t="s">
        <v>3370</v>
      </c>
      <c r="BN167">
        <v>28242222</v>
      </c>
      <c r="BO167" t="s">
        <v>3371</v>
      </c>
      <c r="BP167" t="s">
        <v>74</v>
      </c>
      <c r="BQ167" t="s">
        <v>74</v>
      </c>
      <c r="BR167" t="s">
        <v>106</v>
      </c>
      <c r="BS167" t="s">
        <v>3372</v>
      </c>
      <c r="BT167" t="str">
        <f>HYPERLINK("https%3A%2F%2Fwww.webofscience.com%2Fwos%2Fwoscc%2Ffull-record%2FWOS:000399845800036","View Full Record in Web of Science")</f>
        <v>View Full Record in Web of Science</v>
      </c>
    </row>
    <row r="168" spans="1:72" x14ac:dyDescent="0.15">
      <c r="A168" t="s">
        <v>72</v>
      </c>
      <c r="B168" t="s">
        <v>3373</v>
      </c>
      <c r="C168" t="s">
        <v>74</v>
      </c>
      <c r="D168" t="s">
        <v>74</v>
      </c>
      <c r="E168" t="s">
        <v>74</v>
      </c>
      <c r="F168" t="s">
        <v>3374</v>
      </c>
      <c r="G168" t="s">
        <v>74</v>
      </c>
      <c r="H168" t="s">
        <v>74</v>
      </c>
      <c r="I168" t="s">
        <v>3375</v>
      </c>
      <c r="J168" t="s">
        <v>2173</v>
      </c>
      <c r="K168" t="s">
        <v>74</v>
      </c>
      <c r="L168" t="s">
        <v>74</v>
      </c>
      <c r="M168" t="s">
        <v>78</v>
      </c>
      <c r="N168" t="s">
        <v>79</v>
      </c>
      <c r="O168" t="s">
        <v>74</v>
      </c>
      <c r="P168" t="s">
        <v>74</v>
      </c>
      <c r="Q168" t="s">
        <v>74</v>
      </c>
      <c r="R168" t="s">
        <v>74</v>
      </c>
      <c r="S168" t="s">
        <v>74</v>
      </c>
      <c r="T168" t="s">
        <v>3376</v>
      </c>
      <c r="U168" t="s">
        <v>3377</v>
      </c>
      <c r="V168" t="s">
        <v>3378</v>
      </c>
      <c r="W168" t="s">
        <v>3379</v>
      </c>
      <c r="X168" t="s">
        <v>3380</v>
      </c>
      <c r="Y168" t="s">
        <v>3381</v>
      </c>
      <c r="Z168" t="s">
        <v>3382</v>
      </c>
      <c r="AA168" t="s">
        <v>3383</v>
      </c>
      <c r="AB168" t="s">
        <v>3384</v>
      </c>
      <c r="AC168" t="s">
        <v>3385</v>
      </c>
      <c r="AD168" t="s">
        <v>3386</v>
      </c>
      <c r="AE168" t="s">
        <v>3387</v>
      </c>
      <c r="AF168" t="s">
        <v>74</v>
      </c>
      <c r="AG168">
        <v>52</v>
      </c>
      <c r="AH168">
        <v>57</v>
      </c>
      <c r="AI168">
        <v>65</v>
      </c>
      <c r="AJ168">
        <v>13</v>
      </c>
      <c r="AK168">
        <v>160</v>
      </c>
      <c r="AL168" t="s">
        <v>656</v>
      </c>
      <c r="AM168" t="s">
        <v>93</v>
      </c>
      <c r="AN168" t="s">
        <v>657</v>
      </c>
      <c r="AO168" t="s">
        <v>2185</v>
      </c>
      <c r="AP168" t="s">
        <v>2186</v>
      </c>
      <c r="AQ168" t="s">
        <v>74</v>
      </c>
      <c r="AR168" t="s">
        <v>2173</v>
      </c>
      <c r="AS168" t="s">
        <v>2187</v>
      </c>
      <c r="AT168" t="s">
        <v>128</v>
      </c>
      <c r="AU168">
        <v>2017</v>
      </c>
      <c r="AV168">
        <v>177</v>
      </c>
      <c r="AW168" t="s">
        <v>74</v>
      </c>
      <c r="AX168" t="s">
        <v>74</v>
      </c>
      <c r="AY168" t="s">
        <v>74</v>
      </c>
      <c r="AZ168" t="s">
        <v>74</v>
      </c>
      <c r="BA168" t="s">
        <v>74</v>
      </c>
      <c r="BB168">
        <v>189</v>
      </c>
      <c r="BC168">
        <v>199</v>
      </c>
      <c r="BD168" t="s">
        <v>74</v>
      </c>
      <c r="BE168" t="s">
        <v>3388</v>
      </c>
      <c r="BF168" t="str">
        <f>HYPERLINK("http://dx.doi.org/10.1016/j.chemosphere.2017.02.116","http://dx.doi.org/10.1016/j.chemosphere.2017.02.116")</f>
        <v>http://dx.doi.org/10.1016/j.chemosphere.2017.02.116</v>
      </c>
      <c r="BG168" t="s">
        <v>74</v>
      </c>
      <c r="BH168" t="s">
        <v>74</v>
      </c>
      <c r="BI168">
        <v>11</v>
      </c>
      <c r="BJ168" t="s">
        <v>2189</v>
      </c>
      <c r="BK168" t="s">
        <v>103</v>
      </c>
      <c r="BL168" t="s">
        <v>993</v>
      </c>
      <c r="BM168" t="s">
        <v>2190</v>
      </c>
      <c r="BN168">
        <v>28288427</v>
      </c>
      <c r="BO168" t="s">
        <v>74</v>
      </c>
      <c r="BP168" t="s">
        <v>74</v>
      </c>
      <c r="BQ168" t="s">
        <v>74</v>
      </c>
      <c r="BR168" t="s">
        <v>106</v>
      </c>
      <c r="BS168" t="s">
        <v>3389</v>
      </c>
      <c r="BT168" t="str">
        <f>HYPERLINK("https%3A%2F%2Fwww.webofscience.com%2Fwos%2Fwoscc%2Ffull-record%2FWOS:000399266600023","View Full Record in Web of Science")</f>
        <v>View Full Record in Web of Science</v>
      </c>
    </row>
    <row r="169" spans="1:72" x14ac:dyDescent="0.15">
      <c r="A169" t="s">
        <v>72</v>
      </c>
      <c r="B169" t="s">
        <v>3390</v>
      </c>
      <c r="C169" t="s">
        <v>74</v>
      </c>
      <c r="D169" t="s">
        <v>74</v>
      </c>
      <c r="E169" t="s">
        <v>74</v>
      </c>
      <c r="F169" t="s">
        <v>3391</v>
      </c>
      <c r="G169" t="s">
        <v>74</v>
      </c>
      <c r="H169" t="s">
        <v>74</v>
      </c>
      <c r="I169" t="s">
        <v>3392</v>
      </c>
      <c r="J169" t="s">
        <v>3393</v>
      </c>
      <c r="K169" t="s">
        <v>74</v>
      </c>
      <c r="L169" t="s">
        <v>74</v>
      </c>
      <c r="M169" t="s">
        <v>78</v>
      </c>
      <c r="N169" t="s">
        <v>79</v>
      </c>
      <c r="O169" t="s">
        <v>74</v>
      </c>
      <c r="P169" t="s">
        <v>74</v>
      </c>
      <c r="Q169" t="s">
        <v>74</v>
      </c>
      <c r="R169" t="s">
        <v>74</v>
      </c>
      <c r="S169" t="s">
        <v>74</v>
      </c>
      <c r="T169" t="s">
        <v>3394</v>
      </c>
      <c r="U169" t="s">
        <v>3395</v>
      </c>
      <c r="V169" t="s">
        <v>3396</v>
      </c>
      <c r="W169" t="s">
        <v>3397</v>
      </c>
      <c r="X169" t="s">
        <v>3398</v>
      </c>
      <c r="Y169" t="s">
        <v>3399</v>
      </c>
      <c r="Z169" t="s">
        <v>3400</v>
      </c>
      <c r="AA169" t="s">
        <v>3401</v>
      </c>
      <c r="AB169" t="s">
        <v>3402</v>
      </c>
      <c r="AC169" t="s">
        <v>3403</v>
      </c>
      <c r="AD169" t="s">
        <v>3404</v>
      </c>
      <c r="AE169" t="s">
        <v>3405</v>
      </c>
      <c r="AF169" t="s">
        <v>74</v>
      </c>
      <c r="AG169">
        <v>49</v>
      </c>
      <c r="AH169">
        <v>8</v>
      </c>
      <c r="AI169">
        <v>10</v>
      </c>
      <c r="AJ169">
        <v>0</v>
      </c>
      <c r="AK169">
        <v>25</v>
      </c>
      <c r="AL169" t="s">
        <v>986</v>
      </c>
      <c r="AM169" t="s">
        <v>1191</v>
      </c>
      <c r="AN169" t="s">
        <v>1192</v>
      </c>
      <c r="AO169" t="s">
        <v>3406</v>
      </c>
      <c r="AP169" t="s">
        <v>3407</v>
      </c>
      <c r="AQ169" t="s">
        <v>74</v>
      </c>
      <c r="AR169" t="s">
        <v>3408</v>
      </c>
      <c r="AS169" t="s">
        <v>3409</v>
      </c>
      <c r="AT169" t="s">
        <v>128</v>
      </c>
      <c r="AU169">
        <v>2017</v>
      </c>
      <c r="AV169">
        <v>38</v>
      </c>
      <c r="AW169" t="s">
        <v>3410</v>
      </c>
      <c r="AX169" t="s">
        <v>74</v>
      </c>
      <c r="AY169" t="s">
        <v>74</v>
      </c>
      <c r="AZ169" t="s">
        <v>100</v>
      </c>
      <c r="BA169" t="s">
        <v>74</v>
      </c>
      <c r="BB169">
        <v>61</v>
      </c>
      <c r="BC169">
        <v>70</v>
      </c>
      <c r="BD169" t="s">
        <v>74</v>
      </c>
      <c r="BE169" t="s">
        <v>3411</v>
      </c>
      <c r="BF169" t="str">
        <f>HYPERLINK("http://dx.doi.org/10.1007/s11001-016-9300-5","http://dx.doi.org/10.1007/s11001-016-9300-5")</f>
        <v>http://dx.doi.org/10.1007/s11001-016-9300-5</v>
      </c>
      <c r="BG169" t="s">
        <v>74</v>
      </c>
      <c r="BH169" t="s">
        <v>74</v>
      </c>
      <c r="BI169">
        <v>10</v>
      </c>
      <c r="BJ169" t="s">
        <v>3412</v>
      </c>
      <c r="BK169" t="s">
        <v>103</v>
      </c>
      <c r="BL169" t="s">
        <v>3412</v>
      </c>
      <c r="BM169" t="s">
        <v>3413</v>
      </c>
      <c r="BN169" t="s">
        <v>74</v>
      </c>
      <c r="BO169" t="s">
        <v>74</v>
      </c>
      <c r="BP169" t="s">
        <v>74</v>
      </c>
      <c r="BQ169" t="s">
        <v>74</v>
      </c>
      <c r="BR169" t="s">
        <v>106</v>
      </c>
      <c r="BS169" t="s">
        <v>3414</v>
      </c>
      <c r="BT169" t="str">
        <f>HYPERLINK("https%3A%2F%2Fwww.webofscience.com%2Fwos%2Fwoscc%2Ffull-record%2FWOS:000399698700007","View Full Record in Web of Science")</f>
        <v>View Full Record in Web of Science</v>
      </c>
    </row>
    <row r="170" spans="1:72" x14ac:dyDescent="0.15">
      <c r="A170" t="s">
        <v>72</v>
      </c>
      <c r="B170" t="s">
        <v>3415</v>
      </c>
      <c r="C170" t="s">
        <v>74</v>
      </c>
      <c r="D170" t="s">
        <v>74</v>
      </c>
      <c r="E170" t="s">
        <v>74</v>
      </c>
      <c r="F170" t="s">
        <v>3416</v>
      </c>
      <c r="G170" t="s">
        <v>74</v>
      </c>
      <c r="H170" t="s">
        <v>74</v>
      </c>
      <c r="I170" t="s">
        <v>3417</v>
      </c>
      <c r="J170" t="s">
        <v>3418</v>
      </c>
      <c r="K170" t="s">
        <v>74</v>
      </c>
      <c r="L170" t="s">
        <v>74</v>
      </c>
      <c r="M170" t="s">
        <v>78</v>
      </c>
      <c r="N170" t="s">
        <v>79</v>
      </c>
      <c r="O170" t="s">
        <v>74</v>
      </c>
      <c r="P170" t="s">
        <v>74</v>
      </c>
      <c r="Q170" t="s">
        <v>74</v>
      </c>
      <c r="R170" t="s">
        <v>74</v>
      </c>
      <c r="S170" t="s">
        <v>74</v>
      </c>
      <c r="T170" t="s">
        <v>3419</v>
      </c>
      <c r="U170" t="s">
        <v>3420</v>
      </c>
      <c r="V170" t="s">
        <v>3421</v>
      </c>
      <c r="W170" t="s">
        <v>3422</v>
      </c>
      <c r="X170" t="s">
        <v>3423</v>
      </c>
      <c r="Y170" t="s">
        <v>3424</v>
      </c>
      <c r="Z170" t="s">
        <v>3425</v>
      </c>
      <c r="AA170" t="s">
        <v>3426</v>
      </c>
      <c r="AB170" t="s">
        <v>3427</v>
      </c>
      <c r="AC170" t="s">
        <v>3428</v>
      </c>
      <c r="AD170" t="s">
        <v>3429</v>
      </c>
      <c r="AE170" t="s">
        <v>3430</v>
      </c>
      <c r="AF170" t="s">
        <v>74</v>
      </c>
      <c r="AG170">
        <v>54</v>
      </c>
      <c r="AH170">
        <v>13</v>
      </c>
      <c r="AI170">
        <v>15</v>
      </c>
      <c r="AJ170">
        <v>0</v>
      </c>
      <c r="AK170">
        <v>43</v>
      </c>
      <c r="AL170" t="s">
        <v>1141</v>
      </c>
      <c r="AM170" t="s">
        <v>318</v>
      </c>
      <c r="AN170" t="s">
        <v>1142</v>
      </c>
      <c r="AO170" t="s">
        <v>3431</v>
      </c>
      <c r="AP170" t="s">
        <v>3432</v>
      </c>
      <c r="AQ170" t="s">
        <v>74</v>
      </c>
      <c r="AR170" t="s">
        <v>3433</v>
      </c>
      <c r="AS170" t="s">
        <v>3434</v>
      </c>
      <c r="AT170" t="s">
        <v>128</v>
      </c>
      <c r="AU170">
        <v>2017</v>
      </c>
      <c r="AV170">
        <v>190</v>
      </c>
      <c r="AW170" t="s">
        <v>74</v>
      </c>
      <c r="AX170" t="s">
        <v>74</v>
      </c>
      <c r="AY170" t="s">
        <v>74</v>
      </c>
      <c r="AZ170" t="s">
        <v>74</v>
      </c>
      <c r="BA170" t="s">
        <v>74</v>
      </c>
      <c r="BB170">
        <v>164</v>
      </c>
      <c r="BC170">
        <v>174</v>
      </c>
      <c r="BD170" t="s">
        <v>74</v>
      </c>
      <c r="BE170" t="s">
        <v>3435</v>
      </c>
      <c r="BF170" t="str">
        <f>HYPERLINK("http://dx.doi.org/10.1016/j.fishres.2017.02.015","http://dx.doi.org/10.1016/j.fishres.2017.02.015")</f>
        <v>http://dx.doi.org/10.1016/j.fishres.2017.02.015</v>
      </c>
      <c r="BG170" t="s">
        <v>74</v>
      </c>
      <c r="BH170" t="s">
        <v>74</v>
      </c>
      <c r="BI170">
        <v>11</v>
      </c>
      <c r="BJ170" t="s">
        <v>785</v>
      </c>
      <c r="BK170" t="s">
        <v>103</v>
      </c>
      <c r="BL170" t="s">
        <v>785</v>
      </c>
      <c r="BM170" t="s">
        <v>3436</v>
      </c>
      <c r="BN170" t="s">
        <v>74</v>
      </c>
      <c r="BO170" t="s">
        <v>74</v>
      </c>
      <c r="BP170" t="s">
        <v>74</v>
      </c>
      <c r="BQ170" t="s">
        <v>74</v>
      </c>
      <c r="BR170" t="s">
        <v>106</v>
      </c>
      <c r="BS170" t="s">
        <v>3437</v>
      </c>
      <c r="BT170" t="str">
        <f>HYPERLINK("https%3A%2F%2Fwww.webofscience.com%2Fwos%2Fwoscc%2Ffull-record%2FWOS:000398871500018","View Full Record in Web of Science")</f>
        <v>View Full Record in Web of Science</v>
      </c>
    </row>
    <row r="171" spans="1:72" x14ac:dyDescent="0.15">
      <c r="A171" t="s">
        <v>72</v>
      </c>
      <c r="B171" t="s">
        <v>3438</v>
      </c>
      <c r="C171" t="s">
        <v>74</v>
      </c>
      <c r="D171" t="s">
        <v>74</v>
      </c>
      <c r="E171" t="s">
        <v>74</v>
      </c>
      <c r="F171" t="s">
        <v>3439</v>
      </c>
      <c r="G171" t="s">
        <v>74</v>
      </c>
      <c r="H171" t="s">
        <v>74</v>
      </c>
      <c r="I171" t="s">
        <v>3440</v>
      </c>
      <c r="J171" t="s">
        <v>3441</v>
      </c>
      <c r="K171" t="s">
        <v>74</v>
      </c>
      <c r="L171" t="s">
        <v>74</v>
      </c>
      <c r="M171" t="s">
        <v>78</v>
      </c>
      <c r="N171" t="s">
        <v>79</v>
      </c>
      <c r="O171" t="s">
        <v>74</v>
      </c>
      <c r="P171" t="s">
        <v>74</v>
      </c>
      <c r="Q171" t="s">
        <v>74</v>
      </c>
      <c r="R171" t="s">
        <v>74</v>
      </c>
      <c r="S171" t="s">
        <v>74</v>
      </c>
      <c r="T171" t="s">
        <v>3442</v>
      </c>
      <c r="U171" t="s">
        <v>3443</v>
      </c>
      <c r="V171" t="s">
        <v>3444</v>
      </c>
      <c r="W171" t="s">
        <v>3445</v>
      </c>
      <c r="X171" t="s">
        <v>3446</v>
      </c>
      <c r="Y171" t="s">
        <v>3447</v>
      </c>
      <c r="Z171" t="s">
        <v>3448</v>
      </c>
      <c r="AA171" t="s">
        <v>3449</v>
      </c>
      <c r="AB171" t="s">
        <v>3450</v>
      </c>
      <c r="AC171" t="s">
        <v>3451</v>
      </c>
      <c r="AD171" t="s">
        <v>3452</v>
      </c>
      <c r="AE171" t="s">
        <v>3453</v>
      </c>
      <c r="AF171" t="s">
        <v>74</v>
      </c>
      <c r="AG171">
        <v>82</v>
      </c>
      <c r="AH171">
        <v>13</v>
      </c>
      <c r="AI171">
        <v>15</v>
      </c>
      <c r="AJ171">
        <v>1</v>
      </c>
      <c r="AK171">
        <v>17</v>
      </c>
      <c r="AL171" t="s">
        <v>3454</v>
      </c>
      <c r="AM171" t="s">
        <v>3455</v>
      </c>
      <c r="AN171" t="s">
        <v>3456</v>
      </c>
      <c r="AO171" t="s">
        <v>3457</v>
      </c>
      <c r="AP171" t="s">
        <v>3458</v>
      </c>
      <c r="AQ171" t="s">
        <v>74</v>
      </c>
      <c r="AR171" t="s">
        <v>3459</v>
      </c>
      <c r="AS171" t="s">
        <v>3460</v>
      </c>
      <c r="AT171" t="s">
        <v>3461</v>
      </c>
      <c r="AU171">
        <v>2017</v>
      </c>
      <c r="AV171">
        <v>572</v>
      </c>
      <c r="AW171" t="s">
        <v>74</v>
      </c>
      <c r="AX171" t="s">
        <v>74</v>
      </c>
      <c r="AY171" t="s">
        <v>74</v>
      </c>
      <c r="AZ171" t="s">
        <v>74</v>
      </c>
      <c r="BA171" t="s">
        <v>74</v>
      </c>
      <c r="BB171">
        <v>179</v>
      </c>
      <c r="BC171">
        <v>192</v>
      </c>
      <c r="BD171" t="s">
        <v>74</v>
      </c>
      <c r="BE171" t="s">
        <v>3462</v>
      </c>
      <c r="BF171" t="str">
        <f>HYPERLINK("http://dx.doi.org/10.3354/meps12140","http://dx.doi.org/10.3354/meps12140")</f>
        <v>http://dx.doi.org/10.3354/meps12140</v>
      </c>
      <c r="BG171" t="s">
        <v>74</v>
      </c>
      <c r="BH171" t="s">
        <v>74</v>
      </c>
      <c r="BI171">
        <v>14</v>
      </c>
      <c r="BJ171" t="s">
        <v>3463</v>
      </c>
      <c r="BK171" t="s">
        <v>103</v>
      </c>
      <c r="BL171" t="s">
        <v>3464</v>
      </c>
      <c r="BM171" t="s">
        <v>3465</v>
      </c>
      <c r="BN171" t="s">
        <v>74</v>
      </c>
      <c r="BO171" t="s">
        <v>664</v>
      </c>
      <c r="BP171" t="s">
        <v>74</v>
      </c>
      <c r="BQ171" t="s">
        <v>74</v>
      </c>
      <c r="BR171" t="s">
        <v>106</v>
      </c>
      <c r="BS171" t="s">
        <v>3466</v>
      </c>
      <c r="BT171" t="str">
        <f>HYPERLINK("https%3A%2F%2Fwww.webofscience.com%2Fwos%2Fwoscc%2Ffull-record%2FWOS:000403446100013","View Full Record in Web of Science")</f>
        <v>View Full Record in Web of Science</v>
      </c>
    </row>
    <row r="172" spans="1:72" x14ac:dyDescent="0.15">
      <c r="A172" t="s">
        <v>72</v>
      </c>
      <c r="B172" t="s">
        <v>3467</v>
      </c>
      <c r="C172" t="s">
        <v>74</v>
      </c>
      <c r="D172" t="s">
        <v>74</v>
      </c>
      <c r="E172" t="s">
        <v>74</v>
      </c>
      <c r="F172" t="s">
        <v>3468</v>
      </c>
      <c r="G172" t="s">
        <v>74</v>
      </c>
      <c r="H172" t="s">
        <v>74</v>
      </c>
      <c r="I172" t="s">
        <v>3469</v>
      </c>
      <c r="J172" t="s">
        <v>3470</v>
      </c>
      <c r="K172" t="s">
        <v>74</v>
      </c>
      <c r="L172" t="s">
        <v>74</v>
      </c>
      <c r="M172" t="s">
        <v>78</v>
      </c>
      <c r="N172" t="s">
        <v>79</v>
      </c>
      <c r="O172" t="s">
        <v>74</v>
      </c>
      <c r="P172" t="s">
        <v>74</v>
      </c>
      <c r="Q172" t="s">
        <v>74</v>
      </c>
      <c r="R172" t="s">
        <v>74</v>
      </c>
      <c r="S172" t="s">
        <v>74</v>
      </c>
      <c r="T172" t="s">
        <v>3471</v>
      </c>
      <c r="U172" t="s">
        <v>3472</v>
      </c>
      <c r="V172" t="s">
        <v>3473</v>
      </c>
      <c r="W172" t="s">
        <v>3474</v>
      </c>
      <c r="X172" t="s">
        <v>3475</v>
      </c>
      <c r="Y172" t="s">
        <v>3476</v>
      </c>
      <c r="Z172" t="s">
        <v>3477</v>
      </c>
      <c r="AA172" t="s">
        <v>3478</v>
      </c>
      <c r="AB172" t="s">
        <v>3479</v>
      </c>
      <c r="AC172" t="s">
        <v>3480</v>
      </c>
      <c r="AD172" t="s">
        <v>3481</v>
      </c>
      <c r="AE172" t="s">
        <v>3482</v>
      </c>
      <c r="AF172" t="s">
        <v>74</v>
      </c>
      <c r="AG172">
        <v>42</v>
      </c>
      <c r="AH172">
        <v>15</v>
      </c>
      <c r="AI172">
        <v>26</v>
      </c>
      <c r="AJ172">
        <v>7</v>
      </c>
      <c r="AK172">
        <v>96</v>
      </c>
      <c r="AL172" t="s">
        <v>3483</v>
      </c>
      <c r="AM172" t="s">
        <v>3484</v>
      </c>
      <c r="AN172" t="s">
        <v>3485</v>
      </c>
      <c r="AO172" t="s">
        <v>3486</v>
      </c>
      <c r="AP172" t="s">
        <v>74</v>
      </c>
      <c r="AQ172" t="s">
        <v>74</v>
      </c>
      <c r="AR172" t="s">
        <v>3487</v>
      </c>
      <c r="AS172" t="s">
        <v>3488</v>
      </c>
      <c r="AT172" t="s">
        <v>3461</v>
      </c>
      <c r="AU172">
        <v>2017</v>
      </c>
      <c r="AV172">
        <v>11</v>
      </c>
      <c r="AW172" t="s">
        <v>74</v>
      </c>
      <c r="AX172" t="s">
        <v>74</v>
      </c>
      <c r="AY172" t="s">
        <v>74</v>
      </c>
      <c r="AZ172" t="s">
        <v>74</v>
      </c>
      <c r="BA172" t="s">
        <v>74</v>
      </c>
      <c r="BB172" t="s">
        <v>74</v>
      </c>
      <c r="BC172" t="s">
        <v>74</v>
      </c>
      <c r="BD172">
        <v>26024</v>
      </c>
      <c r="BE172" t="s">
        <v>3489</v>
      </c>
      <c r="BF172" t="str">
        <f>HYPERLINK("http://dx.doi.org/10.1117/1.JRS.11.026024","http://dx.doi.org/10.1117/1.JRS.11.026024")</f>
        <v>http://dx.doi.org/10.1117/1.JRS.11.026024</v>
      </c>
      <c r="BG172" t="s">
        <v>74</v>
      </c>
      <c r="BH172" t="s">
        <v>74</v>
      </c>
      <c r="BI172">
        <v>14</v>
      </c>
      <c r="BJ172" t="s">
        <v>3490</v>
      </c>
      <c r="BK172" t="s">
        <v>103</v>
      </c>
      <c r="BL172" t="s">
        <v>3491</v>
      </c>
      <c r="BM172" t="s">
        <v>3492</v>
      </c>
      <c r="BN172" t="s">
        <v>74</v>
      </c>
      <c r="BO172" t="s">
        <v>74</v>
      </c>
      <c r="BP172" t="s">
        <v>74</v>
      </c>
      <c r="BQ172" t="s">
        <v>74</v>
      </c>
      <c r="BR172" t="s">
        <v>106</v>
      </c>
      <c r="BS172" t="s">
        <v>3493</v>
      </c>
      <c r="BT172" t="str">
        <f>HYPERLINK("https%3A%2F%2Fwww.webofscience.com%2Fwos%2Fwoscc%2Ffull-record%2FWOS:000402813300001","View Full Record in Web of Science")</f>
        <v>View Full Record in Web of Science</v>
      </c>
    </row>
    <row r="173" spans="1:72" x14ac:dyDescent="0.15">
      <c r="A173" t="s">
        <v>72</v>
      </c>
      <c r="B173" t="s">
        <v>3494</v>
      </c>
      <c r="C173" t="s">
        <v>74</v>
      </c>
      <c r="D173" t="s">
        <v>74</v>
      </c>
      <c r="E173" t="s">
        <v>74</v>
      </c>
      <c r="F173" t="s">
        <v>3495</v>
      </c>
      <c r="G173" t="s">
        <v>74</v>
      </c>
      <c r="H173" t="s">
        <v>74</v>
      </c>
      <c r="I173" t="s">
        <v>3496</v>
      </c>
      <c r="J173" t="s">
        <v>3497</v>
      </c>
      <c r="K173" t="s">
        <v>74</v>
      </c>
      <c r="L173" t="s">
        <v>74</v>
      </c>
      <c r="M173" t="s">
        <v>78</v>
      </c>
      <c r="N173" t="s">
        <v>79</v>
      </c>
      <c r="O173" t="s">
        <v>74</v>
      </c>
      <c r="P173" t="s">
        <v>74</v>
      </c>
      <c r="Q173" t="s">
        <v>74</v>
      </c>
      <c r="R173" t="s">
        <v>74</v>
      </c>
      <c r="S173" t="s">
        <v>74</v>
      </c>
      <c r="T173" t="s">
        <v>3498</v>
      </c>
      <c r="U173" t="s">
        <v>3499</v>
      </c>
      <c r="V173" t="s">
        <v>3500</v>
      </c>
      <c r="W173" t="s">
        <v>3501</v>
      </c>
      <c r="X173" t="s">
        <v>3502</v>
      </c>
      <c r="Y173" t="s">
        <v>3503</v>
      </c>
      <c r="Z173" t="s">
        <v>3504</v>
      </c>
      <c r="AA173" t="s">
        <v>3505</v>
      </c>
      <c r="AB173" t="s">
        <v>3506</v>
      </c>
      <c r="AC173" t="s">
        <v>3507</v>
      </c>
      <c r="AD173" t="s">
        <v>3508</v>
      </c>
      <c r="AE173" t="s">
        <v>3509</v>
      </c>
      <c r="AF173" t="s">
        <v>74</v>
      </c>
      <c r="AG173">
        <v>65</v>
      </c>
      <c r="AH173">
        <v>49</v>
      </c>
      <c r="AI173">
        <v>49</v>
      </c>
      <c r="AJ173">
        <v>2</v>
      </c>
      <c r="AK173">
        <v>22</v>
      </c>
      <c r="AL173" t="s">
        <v>3510</v>
      </c>
      <c r="AM173" t="s">
        <v>3511</v>
      </c>
      <c r="AN173" t="s">
        <v>3512</v>
      </c>
      <c r="AO173" t="s">
        <v>3513</v>
      </c>
      <c r="AP173" t="s">
        <v>74</v>
      </c>
      <c r="AQ173" t="s">
        <v>74</v>
      </c>
      <c r="AR173" t="s">
        <v>3514</v>
      </c>
      <c r="AS173" t="s">
        <v>3515</v>
      </c>
      <c r="AT173" t="s">
        <v>3461</v>
      </c>
      <c r="AU173">
        <v>2017</v>
      </c>
      <c r="AV173">
        <v>8</v>
      </c>
      <c r="AW173" t="s">
        <v>74</v>
      </c>
      <c r="AX173" t="s">
        <v>74</v>
      </c>
      <c r="AY173" t="s">
        <v>74</v>
      </c>
      <c r="AZ173" t="s">
        <v>74</v>
      </c>
      <c r="BA173" t="s">
        <v>74</v>
      </c>
      <c r="BB173" t="s">
        <v>74</v>
      </c>
      <c r="BC173" t="s">
        <v>74</v>
      </c>
      <c r="BD173">
        <v>921</v>
      </c>
      <c r="BE173" t="s">
        <v>3516</v>
      </c>
      <c r="BF173" t="str">
        <f>HYPERLINK("http://dx.doi.org/10.3389/fpls.2017.00921","http://dx.doi.org/10.3389/fpls.2017.00921")</f>
        <v>http://dx.doi.org/10.3389/fpls.2017.00921</v>
      </c>
      <c r="BG173" t="s">
        <v>74</v>
      </c>
      <c r="BH173" t="s">
        <v>74</v>
      </c>
      <c r="BI173">
        <v>10</v>
      </c>
      <c r="BJ173" t="s">
        <v>102</v>
      </c>
      <c r="BK173" t="s">
        <v>103</v>
      </c>
      <c r="BL173" t="s">
        <v>102</v>
      </c>
      <c r="BM173" t="s">
        <v>3517</v>
      </c>
      <c r="BN173">
        <v>28620407</v>
      </c>
      <c r="BO173" t="s">
        <v>2009</v>
      </c>
      <c r="BP173" t="s">
        <v>74</v>
      </c>
      <c r="BQ173" t="s">
        <v>74</v>
      </c>
      <c r="BR173" t="s">
        <v>106</v>
      </c>
      <c r="BS173" t="s">
        <v>3518</v>
      </c>
      <c r="BT173" t="str">
        <f>HYPERLINK("https%3A%2F%2Fwww.webofscience.com%2Fwos%2Fwoscc%2Ffull-record%2FWOS:000402386800001","View Full Record in Web of Science")</f>
        <v>View Full Record in Web of Science</v>
      </c>
    </row>
    <row r="174" spans="1:72" x14ac:dyDescent="0.15">
      <c r="A174" t="s">
        <v>72</v>
      </c>
      <c r="B174" t="s">
        <v>3519</v>
      </c>
      <c r="C174" t="s">
        <v>74</v>
      </c>
      <c r="D174" t="s">
        <v>74</v>
      </c>
      <c r="E174" t="s">
        <v>74</v>
      </c>
      <c r="F174" t="s">
        <v>3520</v>
      </c>
      <c r="G174" t="s">
        <v>74</v>
      </c>
      <c r="H174" t="s">
        <v>74</v>
      </c>
      <c r="I174" t="s">
        <v>3521</v>
      </c>
      <c r="J174" t="s">
        <v>3522</v>
      </c>
      <c r="K174" t="s">
        <v>74</v>
      </c>
      <c r="L174" t="s">
        <v>74</v>
      </c>
      <c r="M174" t="s">
        <v>78</v>
      </c>
      <c r="N174" t="s">
        <v>79</v>
      </c>
      <c r="O174" t="s">
        <v>74</v>
      </c>
      <c r="P174" t="s">
        <v>74</v>
      </c>
      <c r="Q174" t="s">
        <v>74</v>
      </c>
      <c r="R174" t="s">
        <v>74</v>
      </c>
      <c r="S174" t="s">
        <v>74</v>
      </c>
      <c r="T174" t="s">
        <v>74</v>
      </c>
      <c r="U174" t="s">
        <v>3523</v>
      </c>
      <c r="V174" t="s">
        <v>3524</v>
      </c>
      <c r="W174" t="s">
        <v>3525</v>
      </c>
      <c r="X174" t="s">
        <v>3526</v>
      </c>
      <c r="Y174" t="s">
        <v>3527</v>
      </c>
      <c r="Z174" t="s">
        <v>3528</v>
      </c>
      <c r="AA174" t="s">
        <v>3529</v>
      </c>
      <c r="AB174" t="s">
        <v>3530</v>
      </c>
      <c r="AC174" t="s">
        <v>3531</v>
      </c>
      <c r="AD174" t="s">
        <v>3532</v>
      </c>
      <c r="AE174" t="s">
        <v>3533</v>
      </c>
      <c r="AF174" t="s">
        <v>74</v>
      </c>
      <c r="AG174">
        <v>173</v>
      </c>
      <c r="AH174">
        <v>330</v>
      </c>
      <c r="AI174">
        <v>347</v>
      </c>
      <c r="AJ174">
        <v>16</v>
      </c>
      <c r="AK174">
        <v>185</v>
      </c>
      <c r="AL174" t="s">
        <v>3534</v>
      </c>
      <c r="AM174" t="s">
        <v>3535</v>
      </c>
      <c r="AN174" t="s">
        <v>3536</v>
      </c>
      <c r="AO174" t="s">
        <v>3537</v>
      </c>
      <c r="AP174" t="s">
        <v>3538</v>
      </c>
      <c r="AQ174" t="s">
        <v>74</v>
      </c>
      <c r="AR174" t="s">
        <v>3539</v>
      </c>
      <c r="AS174" t="s">
        <v>3540</v>
      </c>
      <c r="AT174" t="s">
        <v>3461</v>
      </c>
      <c r="AU174">
        <v>2017</v>
      </c>
      <c r="AV174">
        <v>10</v>
      </c>
      <c r="AW174">
        <v>5</v>
      </c>
      <c r="AX174" t="s">
        <v>74</v>
      </c>
      <c r="AY174" t="s">
        <v>74</v>
      </c>
      <c r="AZ174" t="s">
        <v>74</v>
      </c>
      <c r="BA174" t="s">
        <v>74</v>
      </c>
      <c r="BB174">
        <v>2057</v>
      </c>
      <c r="BC174">
        <v>2116</v>
      </c>
      <c r="BD174" t="s">
        <v>74</v>
      </c>
      <c r="BE174" t="s">
        <v>3541</v>
      </c>
      <c r="BF174" t="str">
        <f>HYPERLINK("http://dx.doi.org/10.5194/gmd-10-2057-2017","http://dx.doi.org/10.5194/gmd-10-2057-2017")</f>
        <v>http://dx.doi.org/10.5194/gmd-10-2057-2017</v>
      </c>
      <c r="BG174" t="s">
        <v>74</v>
      </c>
      <c r="BH174" t="s">
        <v>74</v>
      </c>
      <c r="BI174">
        <v>60</v>
      </c>
      <c r="BJ174" t="s">
        <v>437</v>
      </c>
      <c r="BK174" t="s">
        <v>103</v>
      </c>
      <c r="BL174" t="s">
        <v>438</v>
      </c>
      <c r="BM174" t="s">
        <v>3542</v>
      </c>
      <c r="BN174" t="s">
        <v>74</v>
      </c>
      <c r="BO174" t="s">
        <v>3543</v>
      </c>
      <c r="BP174" t="s">
        <v>2243</v>
      </c>
      <c r="BQ174" t="s">
        <v>2244</v>
      </c>
      <c r="BR174" t="s">
        <v>106</v>
      </c>
      <c r="BS174" t="s">
        <v>3544</v>
      </c>
      <c r="BT174" t="str">
        <f>HYPERLINK("https%3A%2F%2Fwww.webofscience.com%2Fwos%2Fwoscc%2Ffull-record%2FWOS:000402419000002","View Full Record in Web of Science")</f>
        <v>View Full Record in Web of Science</v>
      </c>
    </row>
    <row r="175" spans="1:72" x14ac:dyDescent="0.15">
      <c r="A175" t="s">
        <v>72</v>
      </c>
      <c r="B175" t="s">
        <v>3545</v>
      </c>
      <c r="C175" t="s">
        <v>74</v>
      </c>
      <c r="D175" t="s">
        <v>74</v>
      </c>
      <c r="E175" t="s">
        <v>74</v>
      </c>
      <c r="F175" t="s">
        <v>3546</v>
      </c>
      <c r="G175" t="s">
        <v>74</v>
      </c>
      <c r="H175" t="s">
        <v>74</v>
      </c>
      <c r="I175" t="s">
        <v>3547</v>
      </c>
      <c r="J175" t="s">
        <v>3548</v>
      </c>
      <c r="K175" t="s">
        <v>74</v>
      </c>
      <c r="L175" t="s">
        <v>74</v>
      </c>
      <c r="M175" t="s">
        <v>78</v>
      </c>
      <c r="N175" t="s">
        <v>79</v>
      </c>
      <c r="O175" t="s">
        <v>74</v>
      </c>
      <c r="P175" t="s">
        <v>74</v>
      </c>
      <c r="Q175" t="s">
        <v>74</v>
      </c>
      <c r="R175" t="s">
        <v>74</v>
      </c>
      <c r="S175" t="s">
        <v>74</v>
      </c>
      <c r="T175" t="s">
        <v>3549</v>
      </c>
      <c r="U175" t="s">
        <v>3550</v>
      </c>
      <c r="V175" t="s">
        <v>3551</v>
      </c>
      <c r="W175" t="s">
        <v>3552</v>
      </c>
      <c r="X175" t="s">
        <v>3553</v>
      </c>
      <c r="Y175" t="s">
        <v>3554</v>
      </c>
      <c r="Z175" t="s">
        <v>3555</v>
      </c>
      <c r="AA175" t="s">
        <v>3556</v>
      </c>
      <c r="AB175" t="s">
        <v>3557</v>
      </c>
      <c r="AC175" t="s">
        <v>3558</v>
      </c>
      <c r="AD175" t="s">
        <v>3559</v>
      </c>
      <c r="AE175" t="s">
        <v>3560</v>
      </c>
      <c r="AF175" t="s">
        <v>74</v>
      </c>
      <c r="AG175">
        <v>46</v>
      </c>
      <c r="AH175">
        <v>9</v>
      </c>
      <c r="AI175">
        <v>9</v>
      </c>
      <c r="AJ175">
        <v>2</v>
      </c>
      <c r="AK175">
        <v>11</v>
      </c>
      <c r="AL175" t="s">
        <v>729</v>
      </c>
      <c r="AM175" t="s">
        <v>730</v>
      </c>
      <c r="AN175" t="s">
        <v>731</v>
      </c>
      <c r="AO175" t="s">
        <v>3561</v>
      </c>
      <c r="AP175" t="s">
        <v>3562</v>
      </c>
      <c r="AQ175" t="s">
        <v>74</v>
      </c>
      <c r="AR175" t="s">
        <v>3548</v>
      </c>
      <c r="AS175" t="s">
        <v>3563</v>
      </c>
      <c r="AT175" t="s">
        <v>3564</v>
      </c>
      <c r="AU175">
        <v>2017</v>
      </c>
      <c r="AV175">
        <v>7</v>
      </c>
      <c r="AW175" t="s">
        <v>74</v>
      </c>
      <c r="AX175" t="s">
        <v>74</v>
      </c>
      <c r="AY175" t="s">
        <v>74</v>
      </c>
      <c r="AZ175" t="s">
        <v>74</v>
      </c>
      <c r="BA175" t="s">
        <v>74</v>
      </c>
      <c r="BB175" t="s">
        <v>74</v>
      </c>
      <c r="BC175" t="s">
        <v>74</v>
      </c>
      <c r="BD175">
        <v>107</v>
      </c>
      <c r="BE175" t="s">
        <v>3565</v>
      </c>
      <c r="BF175" t="str">
        <f>HYPERLINK("http://dx.doi.org/10.1007/s13205-017-0724-7","http://dx.doi.org/10.1007/s13205-017-0724-7")</f>
        <v>http://dx.doi.org/10.1007/s13205-017-0724-7</v>
      </c>
      <c r="BG175" t="s">
        <v>74</v>
      </c>
      <c r="BH175" t="s">
        <v>74</v>
      </c>
      <c r="BI175">
        <v>10</v>
      </c>
      <c r="BJ175" t="s">
        <v>3566</v>
      </c>
      <c r="BK175" t="s">
        <v>103</v>
      </c>
      <c r="BL175" t="s">
        <v>3566</v>
      </c>
      <c r="BM175" t="s">
        <v>3567</v>
      </c>
      <c r="BN175">
        <v>28560647</v>
      </c>
      <c r="BO175" t="s">
        <v>2390</v>
      </c>
      <c r="BP175" t="s">
        <v>74</v>
      </c>
      <c r="BQ175" t="s">
        <v>74</v>
      </c>
      <c r="BR175" t="s">
        <v>106</v>
      </c>
      <c r="BS175" t="s">
        <v>3568</v>
      </c>
      <c r="BT175" t="str">
        <f>HYPERLINK("https%3A%2F%2Fwww.webofscience.com%2Fwos%2Fwoscc%2Ffull-record%2FWOS:000402544500011","View Full Record in Web of Science")</f>
        <v>View Full Record in Web of Science</v>
      </c>
    </row>
    <row r="176" spans="1:72" x14ac:dyDescent="0.15">
      <c r="A176" t="s">
        <v>72</v>
      </c>
      <c r="B176" t="s">
        <v>3569</v>
      </c>
      <c r="C176" t="s">
        <v>74</v>
      </c>
      <c r="D176" t="s">
        <v>74</v>
      </c>
      <c r="E176" t="s">
        <v>74</v>
      </c>
      <c r="F176" t="s">
        <v>3570</v>
      </c>
      <c r="G176" t="s">
        <v>74</v>
      </c>
      <c r="H176" t="s">
        <v>74</v>
      </c>
      <c r="I176" t="s">
        <v>3571</v>
      </c>
      <c r="J176" t="s">
        <v>3572</v>
      </c>
      <c r="K176" t="s">
        <v>74</v>
      </c>
      <c r="L176" t="s">
        <v>74</v>
      </c>
      <c r="M176" t="s">
        <v>78</v>
      </c>
      <c r="N176" t="s">
        <v>79</v>
      </c>
      <c r="O176" t="s">
        <v>74</v>
      </c>
      <c r="P176" t="s">
        <v>74</v>
      </c>
      <c r="Q176" t="s">
        <v>74</v>
      </c>
      <c r="R176" t="s">
        <v>74</v>
      </c>
      <c r="S176" t="s">
        <v>74</v>
      </c>
      <c r="T176" t="s">
        <v>3573</v>
      </c>
      <c r="U176" t="s">
        <v>3574</v>
      </c>
      <c r="V176" t="s">
        <v>3575</v>
      </c>
      <c r="W176" t="s">
        <v>3576</v>
      </c>
      <c r="X176" t="s">
        <v>3577</v>
      </c>
      <c r="Y176" t="s">
        <v>3578</v>
      </c>
      <c r="Z176" t="s">
        <v>3579</v>
      </c>
      <c r="AA176" t="s">
        <v>3580</v>
      </c>
      <c r="AB176" t="s">
        <v>3581</v>
      </c>
      <c r="AC176" t="s">
        <v>3582</v>
      </c>
      <c r="AD176" t="s">
        <v>3583</v>
      </c>
      <c r="AE176" t="s">
        <v>3584</v>
      </c>
      <c r="AF176" t="s">
        <v>74</v>
      </c>
      <c r="AG176">
        <v>95</v>
      </c>
      <c r="AH176">
        <v>19</v>
      </c>
      <c r="AI176">
        <v>19</v>
      </c>
      <c r="AJ176">
        <v>0</v>
      </c>
      <c r="AK176">
        <v>18</v>
      </c>
      <c r="AL176" t="s">
        <v>3585</v>
      </c>
      <c r="AM176" t="s">
        <v>403</v>
      </c>
      <c r="AN176" t="s">
        <v>3586</v>
      </c>
      <c r="AO176" t="s">
        <v>3587</v>
      </c>
      <c r="AP176" t="s">
        <v>74</v>
      </c>
      <c r="AQ176" t="s">
        <v>74</v>
      </c>
      <c r="AR176" t="s">
        <v>3588</v>
      </c>
      <c r="AS176" t="s">
        <v>3589</v>
      </c>
      <c r="AT176" t="s">
        <v>3564</v>
      </c>
      <c r="AU176">
        <v>2017</v>
      </c>
      <c r="AV176">
        <v>17</v>
      </c>
      <c r="AW176" t="s">
        <v>74</v>
      </c>
      <c r="AX176" t="s">
        <v>74</v>
      </c>
      <c r="AY176" t="s">
        <v>74</v>
      </c>
      <c r="AZ176" t="s">
        <v>74</v>
      </c>
      <c r="BA176" t="s">
        <v>74</v>
      </c>
      <c r="BB176" t="s">
        <v>74</v>
      </c>
      <c r="BC176" t="s">
        <v>74</v>
      </c>
      <c r="BD176">
        <v>120</v>
      </c>
      <c r="BE176" t="s">
        <v>3590</v>
      </c>
      <c r="BF176" t="str">
        <f>HYPERLINK("http://dx.doi.org/10.1186/s12862-017-0968-1","http://dx.doi.org/10.1186/s12862-017-0968-1")</f>
        <v>http://dx.doi.org/10.1186/s12862-017-0968-1</v>
      </c>
      <c r="BG176" t="s">
        <v>74</v>
      </c>
      <c r="BH176" t="s">
        <v>74</v>
      </c>
      <c r="BI176">
        <v>14</v>
      </c>
      <c r="BJ176" t="s">
        <v>3591</v>
      </c>
      <c r="BK176" t="s">
        <v>103</v>
      </c>
      <c r="BL176" t="s">
        <v>3591</v>
      </c>
      <c r="BM176" t="s">
        <v>3592</v>
      </c>
      <c r="BN176">
        <v>28558672</v>
      </c>
      <c r="BO176" t="s">
        <v>2009</v>
      </c>
      <c r="BP176" t="s">
        <v>74</v>
      </c>
      <c r="BQ176" t="s">
        <v>74</v>
      </c>
      <c r="BR176" t="s">
        <v>106</v>
      </c>
      <c r="BS176" t="s">
        <v>3593</v>
      </c>
      <c r="BT176" t="str">
        <f>HYPERLINK("https%3A%2F%2Fwww.webofscience.com%2Fwos%2Fwoscc%2Ffull-record%2FWOS:000402641000001","View Full Record in Web of Science")</f>
        <v>View Full Record in Web of Science</v>
      </c>
    </row>
    <row r="177" spans="1:72" x14ac:dyDescent="0.15">
      <c r="A177" t="s">
        <v>72</v>
      </c>
      <c r="B177" t="s">
        <v>3594</v>
      </c>
      <c r="C177" t="s">
        <v>74</v>
      </c>
      <c r="D177" t="s">
        <v>74</v>
      </c>
      <c r="E177" t="s">
        <v>74</v>
      </c>
      <c r="F177" t="s">
        <v>3595</v>
      </c>
      <c r="G177" t="s">
        <v>74</v>
      </c>
      <c r="H177" t="s">
        <v>74</v>
      </c>
      <c r="I177" t="s">
        <v>3596</v>
      </c>
      <c r="J177" t="s">
        <v>3597</v>
      </c>
      <c r="K177" t="s">
        <v>74</v>
      </c>
      <c r="L177" t="s">
        <v>74</v>
      </c>
      <c r="M177" t="s">
        <v>78</v>
      </c>
      <c r="N177" t="s">
        <v>79</v>
      </c>
      <c r="O177" t="s">
        <v>74</v>
      </c>
      <c r="P177" t="s">
        <v>74</v>
      </c>
      <c r="Q177" t="s">
        <v>74</v>
      </c>
      <c r="R177" t="s">
        <v>74</v>
      </c>
      <c r="S177" t="s">
        <v>74</v>
      </c>
      <c r="T177" t="s">
        <v>74</v>
      </c>
      <c r="U177" t="s">
        <v>3598</v>
      </c>
      <c r="V177" t="s">
        <v>3599</v>
      </c>
      <c r="W177" t="s">
        <v>3600</v>
      </c>
      <c r="X177" t="s">
        <v>3601</v>
      </c>
      <c r="Y177" t="s">
        <v>3602</v>
      </c>
      <c r="Z177" t="s">
        <v>3603</v>
      </c>
      <c r="AA177" t="s">
        <v>3604</v>
      </c>
      <c r="AB177" t="s">
        <v>3605</v>
      </c>
      <c r="AC177" t="s">
        <v>3606</v>
      </c>
      <c r="AD177" t="s">
        <v>3607</v>
      </c>
      <c r="AE177" t="s">
        <v>3608</v>
      </c>
      <c r="AF177" t="s">
        <v>74</v>
      </c>
      <c r="AG177">
        <v>95</v>
      </c>
      <c r="AH177">
        <v>20</v>
      </c>
      <c r="AI177">
        <v>21</v>
      </c>
      <c r="AJ177">
        <v>0</v>
      </c>
      <c r="AK177">
        <v>13</v>
      </c>
      <c r="AL177" t="s">
        <v>3534</v>
      </c>
      <c r="AM177" t="s">
        <v>3535</v>
      </c>
      <c r="AN177" t="s">
        <v>3536</v>
      </c>
      <c r="AO177" t="s">
        <v>3609</v>
      </c>
      <c r="AP177" t="s">
        <v>3610</v>
      </c>
      <c r="AQ177" t="s">
        <v>74</v>
      </c>
      <c r="AR177" t="s">
        <v>3611</v>
      </c>
      <c r="AS177" t="s">
        <v>3612</v>
      </c>
      <c r="AT177" t="s">
        <v>3564</v>
      </c>
      <c r="AU177">
        <v>2017</v>
      </c>
      <c r="AV177">
        <v>17</v>
      </c>
      <c r="AW177">
        <v>10</v>
      </c>
      <c r="AX177" t="s">
        <v>74</v>
      </c>
      <c r="AY177" t="s">
        <v>74</v>
      </c>
      <c r="AZ177" t="s">
        <v>74</v>
      </c>
      <c r="BA177" t="s">
        <v>74</v>
      </c>
      <c r="BB177">
        <v>6455</v>
      </c>
      <c r="BC177">
        <v>6476</v>
      </c>
      <c r="BD177" t="s">
        <v>74</v>
      </c>
      <c r="BE177" t="s">
        <v>3613</v>
      </c>
      <c r="BF177" t="str">
        <f>HYPERLINK("http://dx.doi.org/10.5194/acp-17-6455-2017","http://dx.doi.org/10.5194/acp-17-6455-2017")</f>
        <v>http://dx.doi.org/10.5194/acp-17-6455-2017</v>
      </c>
      <c r="BG177" t="s">
        <v>74</v>
      </c>
      <c r="BH177" t="s">
        <v>74</v>
      </c>
      <c r="BI177">
        <v>22</v>
      </c>
      <c r="BJ177" t="s">
        <v>3614</v>
      </c>
      <c r="BK177" t="s">
        <v>103</v>
      </c>
      <c r="BL177" t="s">
        <v>3615</v>
      </c>
      <c r="BM177" t="s">
        <v>3616</v>
      </c>
      <c r="BN177" t="s">
        <v>74</v>
      </c>
      <c r="BO177" t="s">
        <v>3617</v>
      </c>
      <c r="BP177" t="s">
        <v>74</v>
      </c>
      <c r="BQ177" t="s">
        <v>74</v>
      </c>
      <c r="BR177" t="s">
        <v>106</v>
      </c>
      <c r="BS177" t="s">
        <v>3618</v>
      </c>
      <c r="BT177" t="str">
        <f>HYPERLINK("https%3A%2F%2Fwww.webofscience.com%2Fwos%2Fwoscc%2Ffull-record%2FWOS:000402320300004","View Full Record in Web of Science")</f>
        <v>View Full Record in Web of Science</v>
      </c>
    </row>
    <row r="178" spans="1:72" x14ac:dyDescent="0.15">
      <c r="A178" t="s">
        <v>72</v>
      </c>
      <c r="B178" t="s">
        <v>3619</v>
      </c>
      <c r="C178" t="s">
        <v>74</v>
      </c>
      <c r="D178" t="s">
        <v>74</v>
      </c>
      <c r="E178" t="s">
        <v>74</v>
      </c>
      <c r="F178" t="s">
        <v>3620</v>
      </c>
      <c r="G178" t="s">
        <v>74</v>
      </c>
      <c r="H178" t="s">
        <v>74</v>
      </c>
      <c r="I178" t="s">
        <v>3621</v>
      </c>
      <c r="J178" t="s">
        <v>3572</v>
      </c>
      <c r="K178" t="s">
        <v>74</v>
      </c>
      <c r="L178" t="s">
        <v>74</v>
      </c>
      <c r="M178" t="s">
        <v>78</v>
      </c>
      <c r="N178" t="s">
        <v>79</v>
      </c>
      <c r="O178" t="s">
        <v>74</v>
      </c>
      <c r="P178" t="s">
        <v>74</v>
      </c>
      <c r="Q178" t="s">
        <v>74</v>
      </c>
      <c r="R178" t="s">
        <v>74</v>
      </c>
      <c r="S178" t="s">
        <v>74</v>
      </c>
      <c r="T178" t="s">
        <v>3622</v>
      </c>
      <c r="U178" t="s">
        <v>3623</v>
      </c>
      <c r="V178" t="s">
        <v>3624</v>
      </c>
      <c r="W178" t="s">
        <v>3625</v>
      </c>
      <c r="X178" t="s">
        <v>3626</v>
      </c>
      <c r="Y178" t="s">
        <v>3627</v>
      </c>
      <c r="Z178" t="s">
        <v>3628</v>
      </c>
      <c r="AA178" t="s">
        <v>3629</v>
      </c>
      <c r="AB178" t="s">
        <v>3630</v>
      </c>
      <c r="AC178" t="s">
        <v>3631</v>
      </c>
      <c r="AD178" t="s">
        <v>3632</v>
      </c>
      <c r="AE178" t="s">
        <v>3633</v>
      </c>
      <c r="AF178" t="s">
        <v>74</v>
      </c>
      <c r="AG178">
        <v>82</v>
      </c>
      <c r="AH178">
        <v>16</v>
      </c>
      <c r="AI178">
        <v>18</v>
      </c>
      <c r="AJ178">
        <v>0</v>
      </c>
      <c r="AK178">
        <v>23</v>
      </c>
      <c r="AL178" t="s">
        <v>3585</v>
      </c>
      <c r="AM178" t="s">
        <v>403</v>
      </c>
      <c r="AN178" t="s">
        <v>3586</v>
      </c>
      <c r="AO178" t="s">
        <v>3587</v>
      </c>
      <c r="AP178" t="s">
        <v>74</v>
      </c>
      <c r="AQ178" t="s">
        <v>74</v>
      </c>
      <c r="AR178" t="s">
        <v>3588</v>
      </c>
      <c r="AS178" t="s">
        <v>3589</v>
      </c>
      <c r="AT178" t="s">
        <v>3564</v>
      </c>
      <c r="AU178">
        <v>2017</v>
      </c>
      <c r="AV178">
        <v>17</v>
      </c>
      <c r="AW178" t="s">
        <v>74</v>
      </c>
      <c r="AX178" t="s">
        <v>74</v>
      </c>
      <c r="AY178" t="s">
        <v>74</v>
      </c>
      <c r="AZ178" t="s">
        <v>74</v>
      </c>
      <c r="BA178" t="s">
        <v>74</v>
      </c>
      <c r="BB178" t="s">
        <v>74</v>
      </c>
      <c r="BC178" t="s">
        <v>74</v>
      </c>
      <c r="BD178">
        <v>121</v>
      </c>
      <c r="BE178" t="s">
        <v>3634</v>
      </c>
      <c r="BF178" t="str">
        <f>HYPERLINK("http://dx.doi.org/10.1186/s12862-017-0966-3","http://dx.doi.org/10.1186/s12862-017-0966-3")</f>
        <v>http://dx.doi.org/10.1186/s12862-017-0966-3</v>
      </c>
      <c r="BG178" t="s">
        <v>74</v>
      </c>
      <c r="BH178" t="s">
        <v>74</v>
      </c>
      <c r="BI178">
        <v>16</v>
      </c>
      <c r="BJ178" t="s">
        <v>3591</v>
      </c>
      <c r="BK178" t="s">
        <v>103</v>
      </c>
      <c r="BL178" t="s">
        <v>3591</v>
      </c>
      <c r="BM178" t="s">
        <v>3592</v>
      </c>
      <c r="BN178">
        <v>28558648</v>
      </c>
      <c r="BO178" t="s">
        <v>3118</v>
      </c>
      <c r="BP178" t="s">
        <v>74</v>
      </c>
      <c r="BQ178" t="s">
        <v>74</v>
      </c>
      <c r="BR178" t="s">
        <v>106</v>
      </c>
      <c r="BS178" t="s">
        <v>3635</v>
      </c>
      <c r="BT178" t="str">
        <f>HYPERLINK("https%3A%2F%2Fwww.webofscience.com%2Fwos%2Fwoscc%2Ffull-record%2FWOS:000402641000002","View Full Record in Web of Science")</f>
        <v>View Full Record in Web of Science</v>
      </c>
    </row>
    <row r="179" spans="1:72" x14ac:dyDescent="0.15">
      <c r="A179" t="s">
        <v>72</v>
      </c>
      <c r="B179" t="s">
        <v>3636</v>
      </c>
      <c r="C179" t="s">
        <v>74</v>
      </c>
      <c r="D179" t="s">
        <v>74</v>
      </c>
      <c r="E179" t="s">
        <v>74</v>
      </c>
      <c r="F179" t="s">
        <v>3637</v>
      </c>
      <c r="G179" t="s">
        <v>74</v>
      </c>
      <c r="H179" t="s">
        <v>74</v>
      </c>
      <c r="I179" t="s">
        <v>3638</v>
      </c>
      <c r="J179" t="s">
        <v>3639</v>
      </c>
      <c r="K179" t="s">
        <v>74</v>
      </c>
      <c r="L179" t="s">
        <v>74</v>
      </c>
      <c r="M179" t="s">
        <v>78</v>
      </c>
      <c r="N179" t="s">
        <v>79</v>
      </c>
      <c r="O179" t="s">
        <v>74</v>
      </c>
      <c r="P179" t="s">
        <v>74</v>
      </c>
      <c r="Q179" t="s">
        <v>74</v>
      </c>
      <c r="R179" t="s">
        <v>74</v>
      </c>
      <c r="S179" t="s">
        <v>74</v>
      </c>
      <c r="T179" t="s">
        <v>3640</v>
      </c>
      <c r="U179" t="s">
        <v>3641</v>
      </c>
      <c r="V179" t="s">
        <v>3642</v>
      </c>
      <c r="W179" t="s">
        <v>3643</v>
      </c>
      <c r="X179" t="s">
        <v>3644</v>
      </c>
      <c r="Y179" t="s">
        <v>3645</v>
      </c>
      <c r="Z179" t="s">
        <v>3646</v>
      </c>
      <c r="AA179" t="s">
        <v>3647</v>
      </c>
      <c r="AB179" t="s">
        <v>3648</v>
      </c>
      <c r="AC179" t="s">
        <v>3649</v>
      </c>
      <c r="AD179" t="s">
        <v>3650</v>
      </c>
      <c r="AE179" t="s">
        <v>3651</v>
      </c>
      <c r="AF179" t="s">
        <v>74</v>
      </c>
      <c r="AG179">
        <v>41</v>
      </c>
      <c r="AH179">
        <v>26</v>
      </c>
      <c r="AI179">
        <v>30</v>
      </c>
      <c r="AJ179">
        <v>6</v>
      </c>
      <c r="AK179">
        <v>70</v>
      </c>
      <c r="AL179" t="s">
        <v>3585</v>
      </c>
      <c r="AM179" t="s">
        <v>403</v>
      </c>
      <c r="AN179" t="s">
        <v>3586</v>
      </c>
      <c r="AO179" t="s">
        <v>3652</v>
      </c>
      <c r="AP179" t="s">
        <v>74</v>
      </c>
      <c r="AQ179" t="s">
        <v>74</v>
      </c>
      <c r="AR179" t="s">
        <v>3653</v>
      </c>
      <c r="AS179" t="s">
        <v>3654</v>
      </c>
      <c r="AT179" t="s">
        <v>3564</v>
      </c>
      <c r="AU179">
        <v>2017</v>
      </c>
      <c r="AV179">
        <v>17</v>
      </c>
      <c r="AW179" t="s">
        <v>74</v>
      </c>
      <c r="AX179" t="s">
        <v>74</v>
      </c>
      <c r="AY179" t="s">
        <v>74</v>
      </c>
      <c r="AZ179" t="s">
        <v>74</v>
      </c>
      <c r="BA179" t="s">
        <v>74</v>
      </c>
      <c r="BB179" t="s">
        <v>74</v>
      </c>
      <c r="BC179" t="s">
        <v>74</v>
      </c>
      <c r="BD179">
        <v>129</v>
      </c>
      <c r="BE179" t="s">
        <v>3655</v>
      </c>
      <c r="BF179" t="str">
        <f>HYPERLINK("http://dx.doi.org/10.1186/s12866-017-1028-0","http://dx.doi.org/10.1186/s12866-017-1028-0")</f>
        <v>http://dx.doi.org/10.1186/s12866-017-1028-0</v>
      </c>
      <c r="BG179" t="s">
        <v>74</v>
      </c>
      <c r="BH179" t="s">
        <v>74</v>
      </c>
      <c r="BI179">
        <v>14</v>
      </c>
      <c r="BJ179" t="s">
        <v>410</v>
      </c>
      <c r="BK179" t="s">
        <v>103</v>
      </c>
      <c r="BL179" t="s">
        <v>410</v>
      </c>
      <c r="BM179" t="s">
        <v>3656</v>
      </c>
      <c r="BN179">
        <v>28558650</v>
      </c>
      <c r="BO179" t="s">
        <v>2009</v>
      </c>
      <c r="BP179" t="s">
        <v>74</v>
      </c>
      <c r="BQ179" t="s">
        <v>74</v>
      </c>
      <c r="BR179" t="s">
        <v>106</v>
      </c>
      <c r="BS179" t="s">
        <v>3657</v>
      </c>
      <c r="BT179" t="str">
        <f>HYPERLINK("https%3A%2F%2Fwww.webofscience.com%2Fwos%2Fwoscc%2Ffull-record%2FWOS:000402369500001","View Full Record in Web of Science")</f>
        <v>View Full Record in Web of Science</v>
      </c>
    </row>
    <row r="180" spans="1:72" x14ac:dyDescent="0.15">
      <c r="A180" t="s">
        <v>72</v>
      </c>
      <c r="B180" t="s">
        <v>3658</v>
      </c>
      <c r="C180" t="s">
        <v>74</v>
      </c>
      <c r="D180" t="s">
        <v>74</v>
      </c>
      <c r="E180" t="s">
        <v>74</v>
      </c>
      <c r="F180" t="s">
        <v>3659</v>
      </c>
      <c r="G180" t="s">
        <v>74</v>
      </c>
      <c r="H180" t="s">
        <v>74</v>
      </c>
      <c r="I180" t="s">
        <v>3660</v>
      </c>
      <c r="J180" t="s">
        <v>3661</v>
      </c>
      <c r="K180" t="s">
        <v>74</v>
      </c>
      <c r="L180" t="s">
        <v>74</v>
      </c>
      <c r="M180" t="s">
        <v>78</v>
      </c>
      <c r="N180" t="s">
        <v>79</v>
      </c>
      <c r="O180" t="s">
        <v>74</v>
      </c>
      <c r="P180" t="s">
        <v>74</v>
      </c>
      <c r="Q180" t="s">
        <v>74</v>
      </c>
      <c r="R180" t="s">
        <v>74</v>
      </c>
      <c r="S180" t="s">
        <v>74</v>
      </c>
      <c r="T180" t="s">
        <v>74</v>
      </c>
      <c r="U180" t="s">
        <v>3662</v>
      </c>
      <c r="V180" t="s">
        <v>3663</v>
      </c>
      <c r="W180" t="s">
        <v>3664</v>
      </c>
      <c r="X180" t="s">
        <v>3665</v>
      </c>
      <c r="Y180" t="s">
        <v>3666</v>
      </c>
      <c r="Z180" t="s">
        <v>3667</v>
      </c>
      <c r="AA180" t="s">
        <v>3668</v>
      </c>
      <c r="AB180" t="s">
        <v>3669</v>
      </c>
      <c r="AC180" t="s">
        <v>3670</v>
      </c>
      <c r="AD180" t="s">
        <v>3155</v>
      </c>
      <c r="AE180" t="s">
        <v>74</v>
      </c>
      <c r="AF180" t="s">
        <v>74</v>
      </c>
      <c r="AG180">
        <v>40</v>
      </c>
      <c r="AH180">
        <v>16</v>
      </c>
      <c r="AI180">
        <v>20</v>
      </c>
      <c r="AJ180">
        <v>0</v>
      </c>
      <c r="AK180">
        <v>10</v>
      </c>
      <c r="AL180" t="s">
        <v>3671</v>
      </c>
      <c r="AM180" t="s">
        <v>3672</v>
      </c>
      <c r="AN180" t="s">
        <v>3673</v>
      </c>
      <c r="AO180" t="s">
        <v>3674</v>
      </c>
      <c r="AP180" t="s">
        <v>74</v>
      </c>
      <c r="AQ180" t="s">
        <v>74</v>
      </c>
      <c r="AR180" t="s">
        <v>3675</v>
      </c>
      <c r="AS180" t="s">
        <v>3676</v>
      </c>
      <c r="AT180" t="s">
        <v>3564</v>
      </c>
      <c r="AU180">
        <v>2017</v>
      </c>
      <c r="AV180">
        <v>7</v>
      </c>
      <c r="AW180" t="s">
        <v>74</v>
      </c>
      <c r="AX180" t="s">
        <v>74</v>
      </c>
      <c r="AY180" t="s">
        <v>74</v>
      </c>
      <c r="AZ180" t="s">
        <v>74</v>
      </c>
      <c r="BA180" t="s">
        <v>74</v>
      </c>
      <c r="BB180" t="s">
        <v>74</v>
      </c>
      <c r="BC180" t="s">
        <v>74</v>
      </c>
      <c r="BD180">
        <v>2481</v>
      </c>
      <c r="BE180" t="s">
        <v>3677</v>
      </c>
      <c r="BF180" t="str">
        <f>HYPERLINK("http://dx.doi.org/10.1038/s41598-017-02624-0","http://dx.doi.org/10.1038/s41598-017-02624-0")</f>
        <v>http://dx.doi.org/10.1038/s41598-017-02624-0</v>
      </c>
      <c r="BG180" t="s">
        <v>74</v>
      </c>
      <c r="BH180" t="s">
        <v>74</v>
      </c>
      <c r="BI180">
        <v>11</v>
      </c>
      <c r="BJ180" t="s">
        <v>1617</v>
      </c>
      <c r="BK180" t="s">
        <v>103</v>
      </c>
      <c r="BL180" t="s">
        <v>1618</v>
      </c>
      <c r="BM180" t="s">
        <v>3678</v>
      </c>
      <c r="BN180">
        <v>28559544</v>
      </c>
      <c r="BO180" t="s">
        <v>3679</v>
      </c>
      <c r="BP180" t="s">
        <v>74</v>
      </c>
      <c r="BQ180" t="s">
        <v>74</v>
      </c>
      <c r="BR180" t="s">
        <v>106</v>
      </c>
      <c r="BS180" t="s">
        <v>3680</v>
      </c>
      <c r="BT180" t="str">
        <f>HYPERLINK("https%3A%2F%2Fwww.webofscience.com%2Fwos%2Fwoscc%2Ffull-record%2FWOS:000402310700010","View Full Record in Web of Science")</f>
        <v>View Full Record in Web of Science</v>
      </c>
    </row>
    <row r="181" spans="1:72" x14ac:dyDescent="0.15">
      <c r="A181" t="s">
        <v>72</v>
      </c>
      <c r="B181" t="s">
        <v>3681</v>
      </c>
      <c r="C181" t="s">
        <v>74</v>
      </c>
      <c r="D181" t="s">
        <v>74</v>
      </c>
      <c r="E181" t="s">
        <v>74</v>
      </c>
      <c r="F181" t="s">
        <v>3682</v>
      </c>
      <c r="G181" t="s">
        <v>74</v>
      </c>
      <c r="H181" t="s">
        <v>74</v>
      </c>
      <c r="I181" t="s">
        <v>3683</v>
      </c>
      <c r="J181" t="s">
        <v>3684</v>
      </c>
      <c r="K181" t="s">
        <v>74</v>
      </c>
      <c r="L181" t="s">
        <v>74</v>
      </c>
      <c r="M181" t="s">
        <v>78</v>
      </c>
      <c r="N181" t="s">
        <v>79</v>
      </c>
      <c r="O181" t="s">
        <v>74</v>
      </c>
      <c r="P181" t="s">
        <v>74</v>
      </c>
      <c r="Q181" t="s">
        <v>74</v>
      </c>
      <c r="R181" t="s">
        <v>74</v>
      </c>
      <c r="S181" t="s">
        <v>74</v>
      </c>
      <c r="T181" t="s">
        <v>74</v>
      </c>
      <c r="U181" t="s">
        <v>3685</v>
      </c>
      <c r="V181" t="s">
        <v>3686</v>
      </c>
      <c r="W181" t="s">
        <v>3687</v>
      </c>
      <c r="X181" t="s">
        <v>3688</v>
      </c>
      <c r="Y181" t="s">
        <v>3689</v>
      </c>
      <c r="Z181" t="s">
        <v>3690</v>
      </c>
      <c r="AA181" t="s">
        <v>3691</v>
      </c>
      <c r="AB181" t="s">
        <v>3692</v>
      </c>
      <c r="AC181" t="s">
        <v>3693</v>
      </c>
      <c r="AD181" t="s">
        <v>3694</v>
      </c>
      <c r="AE181" t="s">
        <v>3695</v>
      </c>
      <c r="AF181" t="s">
        <v>74</v>
      </c>
      <c r="AG181">
        <v>57</v>
      </c>
      <c r="AH181">
        <v>24</v>
      </c>
      <c r="AI181">
        <v>29</v>
      </c>
      <c r="AJ181">
        <v>1</v>
      </c>
      <c r="AK181">
        <v>27</v>
      </c>
      <c r="AL181" t="s">
        <v>222</v>
      </c>
      <c r="AM181" t="s">
        <v>223</v>
      </c>
      <c r="AN181" t="s">
        <v>224</v>
      </c>
      <c r="AO181" t="s">
        <v>3696</v>
      </c>
      <c r="AP181" t="s">
        <v>3697</v>
      </c>
      <c r="AQ181" t="s">
        <v>74</v>
      </c>
      <c r="AR181" t="s">
        <v>3698</v>
      </c>
      <c r="AS181" t="s">
        <v>3699</v>
      </c>
      <c r="AT181" t="s">
        <v>3700</v>
      </c>
      <c r="AU181">
        <v>2017</v>
      </c>
      <c r="AV181">
        <v>44</v>
      </c>
      <c r="AW181">
        <v>10</v>
      </c>
      <c r="AX181" t="s">
        <v>74</v>
      </c>
      <c r="AY181" t="s">
        <v>74</v>
      </c>
      <c r="AZ181" t="s">
        <v>74</v>
      </c>
      <c r="BA181" t="s">
        <v>74</v>
      </c>
      <c r="BB181">
        <v>5133</v>
      </c>
      <c r="BC181">
        <v>5141</v>
      </c>
      <c r="BD181" t="s">
        <v>74</v>
      </c>
      <c r="BE181" t="s">
        <v>3701</v>
      </c>
      <c r="BF181" t="str">
        <f>HYPERLINK("http://dx.doi.org/10.1002/2017GL072845","http://dx.doi.org/10.1002/2017GL072845")</f>
        <v>http://dx.doi.org/10.1002/2017GL072845</v>
      </c>
      <c r="BG181" t="s">
        <v>74</v>
      </c>
      <c r="BH181" t="s">
        <v>74</v>
      </c>
      <c r="BI181">
        <v>9</v>
      </c>
      <c r="BJ181" t="s">
        <v>437</v>
      </c>
      <c r="BK181" t="s">
        <v>103</v>
      </c>
      <c r="BL181" t="s">
        <v>438</v>
      </c>
      <c r="BM181" t="s">
        <v>3702</v>
      </c>
      <c r="BN181">
        <v>28943678</v>
      </c>
      <c r="BO181" t="s">
        <v>2390</v>
      </c>
      <c r="BP181" t="s">
        <v>74</v>
      </c>
      <c r="BQ181" t="s">
        <v>74</v>
      </c>
      <c r="BR181" t="s">
        <v>106</v>
      </c>
      <c r="BS181" t="s">
        <v>3703</v>
      </c>
      <c r="BT181" t="str">
        <f>HYPERLINK("https%3A%2F%2Fwww.webofscience.com%2Fwos%2Fwoscc%2Ffull-record%2FWOS:000404131900089","View Full Record in Web of Science")</f>
        <v>View Full Record in Web of Science</v>
      </c>
    </row>
    <row r="182" spans="1:72" x14ac:dyDescent="0.15">
      <c r="A182" t="s">
        <v>72</v>
      </c>
      <c r="B182" t="s">
        <v>3704</v>
      </c>
      <c r="C182" t="s">
        <v>74</v>
      </c>
      <c r="D182" t="s">
        <v>74</v>
      </c>
      <c r="E182" t="s">
        <v>74</v>
      </c>
      <c r="F182" t="s">
        <v>3705</v>
      </c>
      <c r="G182" t="s">
        <v>74</v>
      </c>
      <c r="H182" t="s">
        <v>74</v>
      </c>
      <c r="I182" t="s">
        <v>3706</v>
      </c>
      <c r="J182" t="s">
        <v>3684</v>
      </c>
      <c r="K182" t="s">
        <v>74</v>
      </c>
      <c r="L182" t="s">
        <v>74</v>
      </c>
      <c r="M182" t="s">
        <v>78</v>
      </c>
      <c r="N182" t="s">
        <v>79</v>
      </c>
      <c r="O182" t="s">
        <v>74</v>
      </c>
      <c r="P182" t="s">
        <v>74</v>
      </c>
      <c r="Q182" t="s">
        <v>74</v>
      </c>
      <c r="R182" t="s">
        <v>74</v>
      </c>
      <c r="S182" t="s">
        <v>74</v>
      </c>
      <c r="T182" t="s">
        <v>74</v>
      </c>
      <c r="U182" t="s">
        <v>3707</v>
      </c>
      <c r="V182" t="s">
        <v>3708</v>
      </c>
      <c r="W182" t="s">
        <v>3709</v>
      </c>
      <c r="X182" t="s">
        <v>3710</v>
      </c>
      <c r="Y182" t="s">
        <v>3711</v>
      </c>
      <c r="Z182" t="s">
        <v>3712</v>
      </c>
      <c r="AA182" t="s">
        <v>3713</v>
      </c>
      <c r="AB182" t="s">
        <v>3714</v>
      </c>
      <c r="AC182" t="s">
        <v>3715</v>
      </c>
      <c r="AD182" t="s">
        <v>3716</v>
      </c>
      <c r="AE182" t="s">
        <v>3717</v>
      </c>
      <c r="AF182" t="s">
        <v>74</v>
      </c>
      <c r="AG182">
        <v>54</v>
      </c>
      <c r="AH182">
        <v>73</v>
      </c>
      <c r="AI182">
        <v>80</v>
      </c>
      <c r="AJ182">
        <v>2</v>
      </c>
      <c r="AK182">
        <v>55</v>
      </c>
      <c r="AL182" t="s">
        <v>222</v>
      </c>
      <c r="AM182" t="s">
        <v>223</v>
      </c>
      <c r="AN182" t="s">
        <v>224</v>
      </c>
      <c r="AO182" t="s">
        <v>3696</v>
      </c>
      <c r="AP182" t="s">
        <v>3697</v>
      </c>
      <c r="AQ182" t="s">
        <v>74</v>
      </c>
      <c r="AR182" t="s">
        <v>3698</v>
      </c>
      <c r="AS182" t="s">
        <v>3699</v>
      </c>
      <c r="AT182" t="s">
        <v>3700</v>
      </c>
      <c r="AU182">
        <v>2017</v>
      </c>
      <c r="AV182">
        <v>44</v>
      </c>
      <c r="AW182">
        <v>10</v>
      </c>
      <c r="AX182" t="s">
        <v>74</v>
      </c>
      <c r="AY182" t="s">
        <v>74</v>
      </c>
      <c r="AZ182" t="s">
        <v>74</v>
      </c>
      <c r="BA182" t="s">
        <v>74</v>
      </c>
      <c r="BB182">
        <v>5016</v>
      </c>
      <c r="BC182">
        <v>5024</v>
      </c>
      <c r="BD182" t="s">
        <v>74</v>
      </c>
      <c r="BE182" t="s">
        <v>3718</v>
      </c>
      <c r="BF182" t="str">
        <f>HYPERLINK("http://dx.doi.org/10.1002/2016GL072428","http://dx.doi.org/10.1002/2016GL072428")</f>
        <v>http://dx.doi.org/10.1002/2016GL072428</v>
      </c>
      <c r="BG182" t="s">
        <v>74</v>
      </c>
      <c r="BH182" t="s">
        <v>74</v>
      </c>
      <c r="BI182">
        <v>9</v>
      </c>
      <c r="BJ182" t="s">
        <v>437</v>
      </c>
      <c r="BK182" t="s">
        <v>103</v>
      </c>
      <c r="BL182" t="s">
        <v>438</v>
      </c>
      <c r="BM182" t="s">
        <v>3702</v>
      </c>
      <c r="BN182" t="s">
        <v>74</v>
      </c>
      <c r="BO182" t="s">
        <v>1538</v>
      </c>
      <c r="BP182" t="s">
        <v>74</v>
      </c>
      <c r="BQ182" t="s">
        <v>74</v>
      </c>
      <c r="BR182" t="s">
        <v>106</v>
      </c>
      <c r="BS182" t="s">
        <v>3719</v>
      </c>
      <c r="BT182" t="str">
        <f>HYPERLINK("https%3A%2F%2Fwww.webofscience.com%2Fwos%2Fwoscc%2Ffull-record%2FWOS:000404131900076","View Full Record in Web of Science")</f>
        <v>View Full Record in Web of Science</v>
      </c>
    </row>
    <row r="183" spans="1:72" x14ac:dyDescent="0.15">
      <c r="A183" t="s">
        <v>72</v>
      </c>
      <c r="B183" t="s">
        <v>3720</v>
      </c>
      <c r="C183" t="s">
        <v>74</v>
      </c>
      <c r="D183" t="s">
        <v>74</v>
      </c>
      <c r="E183" t="s">
        <v>74</v>
      </c>
      <c r="F183" t="s">
        <v>3721</v>
      </c>
      <c r="G183" t="s">
        <v>74</v>
      </c>
      <c r="H183" t="s">
        <v>74</v>
      </c>
      <c r="I183" t="s">
        <v>3722</v>
      </c>
      <c r="J183" t="s">
        <v>3723</v>
      </c>
      <c r="K183" t="s">
        <v>74</v>
      </c>
      <c r="L183" t="s">
        <v>74</v>
      </c>
      <c r="M183" t="s">
        <v>78</v>
      </c>
      <c r="N183" t="s">
        <v>79</v>
      </c>
      <c r="O183" t="s">
        <v>74</v>
      </c>
      <c r="P183" t="s">
        <v>74</v>
      </c>
      <c r="Q183" t="s">
        <v>74</v>
      </c>
      <c r="R183" t="s">
        <v>74</v>
      </c>
      <c r="S183" t="s">
        <v>74</v>
      </c>
      <c r="T183" t="s">
        <v>74</v>
      </c>
      <c r="U183" t="s">
        <v>3724</v>
      </c>
      <c r="V183" t="s">
        <v>3725</v>
      </c>
      <c r="W183" t="s">
        <v>3726</v>
      </c>
      <c r="X183" t="s">
        <v>3727</v>
      </c>
      <c r="Y183" t="s">
        <v>3728</v>
      </c>
      <c r="Z183" t="s">
        <v>525</v>
      </c>
      <c r="AA183" t="s">
        <v>3729</v>
      </c>
      <c r="AB183" t="s">
        <v>3730</v>
      </c>
      <c r="AC183" t="s">
        <v>3731</v>
      </c>
      <c r="AD183" t="s">
        <v>3732</v>
      </c>
      <c r="AE183" t="s">
        <v>3733</v>
      </c>
      <c r="AF183" t="s">
        <v>74</v>
      </c>
      <c r="AG183">
        <v>83</v>
      </c>
      <c r="AH183">
        <v>45</v>
      </c>
      <c r="AI183">
        <v>49</v>
      </c>
      <c r="AJ183">
        <v>0</v>
      </c>
      <c r="AK183">
        <v>10</v>
      </c>
      <c r="AL183" t="s">
        <v>222</v>
      </c>
      <c r="AM183" t="s">
        <v>223</v>
      </c>
      <c r="AN183" t="s">
        <v>224</v>
      </c>
      <c r="AO183" t="s">
        <v>3734</v>
      </c>
      <c r="AP183" t="s">
        <v>3735</v>
      </c>
      <c r="AQ183" t="s">
        <v>74</v>
      </c>
      <c r="AR183" t="s">
        <v>3736</v>
      </c>
      <c r="AS183" t="s">
        <v>3737</v>
      </c>
      <c r="AT183" t="s">
        <v>3738</v>
      </c>
      <c r="AU183">
        <v>2017</v>
      </c>
      <c r="AV183">
        <v>122</v>
      </c>
      <c r="AW183">
        <v>10</v>
      </c>
      <c r="AX183" t="s">
        <v>74</v>
      </c>
      <c r="AY183" t="s">
        <v>74</v>
      </c>
      <c r="AZ183" t="s">
        <v>74</v>
      </c>
      <c r="BA183" t="s">
        <v>74</v>
      </c>
      <c r="BB183">
        <v>5041</v>
      </c>
      <c r="BC183">
        <v>5062</v>
      </c>
      <c r="BD183" t="s">
        <v>74</v>
      </c>
      <c r="BE183" t="s">
        <v>3739</v>
      </c>
      <c r="BF183" t="str">
        <f>HYPERLINK("http://dx.doi.org/10.1002/2016JD026368","http://dx.doi.org/10.1002/2016JD026368")</f>
        <v>http://dx.doi.org/10.1002/2016JD026368</v>
      </c>
      <c r="BG183" t="s">
        <v>74</v>
      </c>
      <c r="BH183" t="s">
        <v>74</v>
      </c>
      <c r="BI183">
        <v>22</v>
      </c>
      <c r="BJ183" t="s">
        <v>1261</v>
      </c>
      <c r="BK183" t="s">
        <v>103</v>
      </c>
      <c r="BL183" t="s">
        <v>1261</v>
      </c>
      <c r="BM183" t="s">
        <v>3740</v>
      </c>
      <c r="BN183" t="s">
        <v>74</v>
      </c>
      <c r="BO183" t="s">
        <v>3741</v>
      </c>
      <c r="BP183" t="s">
        <v>74</v>
      </c>
      <c r="BQ183" t="s">
        <v>74</v>
      </c>
      <c r="BR183" t="s">
        <v>106</v>
      </c>
      <c r="BS183" t="s">
        <v>3742</v>
      </c>
      <c r="BT183" t="str">
        <f>HYPERLINK("https%3A%2F%2Fwww.webofscience.com%2Fwos%2Fwoscc%2Ffull-record%2FWOS:000404131500001","View Full Record in Web of Science")</f>
        <v>View Full Record in Web of Science</v>
      </c>
    </row>
    <row r="184" spans="1:72" x14ac:dyDescent="0.15">
      <c r="A184" t="s">
        <v>72</v>
      </c>
      <c r="B184" t="s">
        <v>3743</v>
      </c>
      <c r="C184" t="s">
        <v>74</v>
      </c>
      <c r="D184" t="s">
        <v>74</v>
      </c>
      <c r="E184" t="s">
        <v>74</v>
      </c>
      <c r="F184" t="s">
        <v>3744</v>
      </c>
      <c r="G184" t="s">
        <v>74</v>
      </c>
      <c r="H184" t="s">
        <v>74</v>
      </c>
      <c r="I184" t="s">
        <v>3745</v>
      </c>
      <c r="J184" t="s">
        <v>3746</v>
      </c>
      <c r="K184" t="s">
        <v>74</v>
      </c>
      <c r="L184" t="s">
        <v>74</v>
      </c>
      <c r="M184" t="s">
        <v>78</v>
      </c>
      <c r="N184" t="s">
        <v>2082</v>
      </c>
      <c r="O184" t="s">
        <v>74</v>
      </c>
      <c r="P184" t="s">
        <v>74</v>
      </c>
      <c r="Q184" t="s">
        <v>74</v>
      </c>
      <c r="R184" t="s">
        <v>74</v>
      </c>
      <c r="S184" t="s">
        <v>74</v>
      </c>
      <c r="T184" t="s">
        <v>74</v>
      </c>
      <c r="U184" t="s">
        <v>3747</v>
      </c>
      <c r="V184" t="s">
        <v>3748</v>
      </c>
      <c r="W184" t="s">
        <v>3749</v>
      </c>
      <c r="X184" t="s">
        <v>3750</v>
      </c>
      <c r="Y184" t="s">
        <v>3751</v>
      </c>
      <c r="Z184" t="s">
        <v>3752</v>
      </c>
      <c r="AA184" t="s">
        <v>3753</v>
      </c>
      <c r="AB184" t="s">
        <v>3754</v>
      </c>
      <c r="AC184" t="s">
        <v>3755</v>
      </c>
      <c r="AD184" t="s">
        <v>3109</v>
      </c>
      <c r="AE184" t="s">
        <v>74</v>
      </c>
      <c r="AF184" t="s">
        <v>74</v>
      </c>
      <c r="AG184">
        <v>15</v>
      </c>
      <c r="AH184">
        <v>6</v>
      </c>
      <c r="AI184">
        <v>7</v>
      </c>
      <c r="AJ184">
        <v>4</v>
      </c>
      <c r="AK184">
        <v>27</v>
      </c>
      <c r="AL184" t="s">
        <v>3156</v>
      </c>
      <c r="AM184" t="s">
        <v>223</v>
      </c>
      <c r="AN184" t="s">
        <v>3157</v>
      </c>
      <c r="AO184" t="s">
        <v>3756</v>
      </c>
      <c r="AP184" t="s">
        <v>3757</v>
      </c>
      <c r="AQ184" t="s">
        <v>74</v>
      </c>
      <c r="AR184" t="s">
        <v>3746</v>
      </c>
      <c r="AS184" t="s">
        <v>3758</v>
      </c>
      <c r="AT184" t="s">
        <v>3759</v>
      </c>
      <c r="AU184">
        <v>2017</v>
      </c>
      <c r="AV184">
        <v>356</v>
      </c>
      <c r="AW184">
        <v>6340</v>
      </c>
      <c r="AX184" t="s">
        <v>74</v>
      </c>
      <c r="AY184" t="s">
        <v>74</v>
      </c>
      <c r="AZ184" t="s">
        <v>74</v>
      </c>
      <c r="BA184" t="s">
        <v>74</v>
      </c>
      <c r="BB184" t="s">
        <v>74</v>
      </c>
      <c r="BC184" t="s">
        <v>74</v>
      </c>
      <c r="BD184" t="s">
        <v>74</v>
      </c>
      <c r="BE184" t="s">
        <v>3760</v>
      </c>
      <c r="BF184" t="str">
        <f>HYPERLINK("http://dx.doi.org/10.1126/science.aam6039","http://dx.doi.org/10.1126/science.aam6039")</f>
        <v>http://dx.doi.org/10.1126/science.aam6039</v>
      </c>
      <c r="BG184" t="s">
        <v>74</v>
      </c>
      <c r="BH184" t="s">
        <v>74</v>
      </c>
      <c r="BI184">
        <v>2</v>
      </c>
      <c r="BJ184" t="s">
        <v>1617</v>
      </c>
      <c r="BK184" t="s">
        <v>103</v>
      </c>
      <c r="BL184" t="s">
        <v>1618</v>
      </c>
      <c r="BM184" t="s">
        <v>3761</v>
      </c>
      <c r="BN184">
        <v>28546181</v>
      </c>
      <c r="BO184" t="s">
        <v>412</v>
      </c>
      <c r="BP184" t="s">
        <v>74</v>
      </c>
      <c r="BQ184" t="s">
        <v>74</v>
      </c>
      <c r="BR184" t="s">
        <v>106</v>
      </c>
      <c r="BS184" t="s">
        <v>3762</v>
      </c>
      <c r="BT184" t="str">
        <f>HYPERLINK("https%3A%2F%2Fwww.webofscience.com%2Fwos%2Fwoscc%2Ffull-record%2FWOS:000401957900029","View Full Record in Web of Science")</f>
        <v>View Full Record in Web of Science</v>
      </c>
    </row>
    <row r="185" spans="1:72" x14ac:dyDescent="0.15">
      <c r="A185" t="s">
        <v>72</v>
      </c>
      <c r="B185" t="s">
        <v>3763</v>
      </c>
      <c r="C185" t="s">
        <v>74</v>
      </c>
      <c r="D185" t="s">
        <v>74</v>
      </c>
      <c r="E185" t="s">
        <v>74</v>
      </c>
      <c r="F185" t="s">
        <v>3764</v>
      </c>
      <c r="G185" t="s">
        <v>74</v>
      </c>
      <c r="H185" t="s">
        <v>74</v>
      </c>
      <c r="I185" t="s">
        <v>3765</v>
      </c>
      <c r="J185" t="s">
        <v>3746</v>
      </c>
      <c r="K185" t="s">
        <v>74</v>
      </c>
      <c r="L185" t="s">
        <v>74</v>
      </c>
      <c r="M185" t="s">
        <v>78</v>
      </c>
      <c r="N185" t="s">
        <v>2082</v>
      </c>
      <c r="O185" t="s">
        <v>74</v>
      </c>
      <c r="P185" t="s">
        <v>74</v>
      </c>
      <c r="Q185" t="s">
        <v>74</v>
      </c>
      <c r="R185" t="s">
        <v>74</v>
      </c>
      <c r="S185" t="s">
        <v>74</v>
      </c>
      <c r="T185" t="s">
        <v>74</v>
      </c>
      <c r="U185" t="s">
        <v>3766</v>
      </c>
      <c r="V185" t="s">
        <v>3767</v>
      </c>
      <c r="W185" t="s">
        <v>3768</v>
      </c>
      <c r="X185" t="s">
        <v>3769</v>
      </c>
      <c r="Y185" t="s">
        <v>3770</v>
      </c>
      <c r="Z185" t="s">
        <v>3771</v>
      </c>
      <c r="AA185" t="s">
        <v>3772</v>
      </c>
      <c r="AB185" t="s">
        <v>3773</v>
      </c>
      <c r="AC185" t="s">
        <v>3774</v>
      </c>
      <c r="AD185" t="s">
        <v>3775</v>
      </c>
      <c r="AE185" t="s">
        <v>3776</v>
      </c>
      <c r="AF185" t="s">
        <v>74</v>
      </c>
      <c r="AG185">
        <v>13</v>
      </c>
      <c r="AH185">
        <v>4</v>
      </c>
      <c r="AI185">
        <v>4</v>
      </c>
      <c r="AJ185">
        <v>4</v>
      </c>
      <c r="AK185">
        <v>38</v>
      </c>
      <c r="AL185" t="s">
        <v>3156</v>
      </c>
      <c r="AM185" t="s">
        <v>223</v>
      </c>
      <c r="AN185" t="s">
        <v>3157</v>
      </c>
      <c r="AO185" t="s">
        <v>3756</v>
      </c>
      <c r="AP185" t="s">
        <v>3757</v>
      </c>
      <c r="AQ185" t="s">
        <v>74</v>
      </c>
      <c r="AR185" t="s">
        <v>3746</v>
      </c>
      <c r="AS185" t="s">
        <v>3758</v>
      </c>
      <c r="AT185" t="s">
        <v>3759</v>
      </c>
      <c r="AU185">
        <v>2017</v>
      </c>
      <c r="AV185">
        <v>356</v>
      </c>
      <c r="AW185">
        <v>6340</v>
      </c>
      <c r="AX185" t="s">
        <v>74</v>
      </c>
      <c r="AY185" t="s">
        <v>74</v>
      </c>
      <c r="AZ185" t="s">
        <v>74</v>
      </c>
      <c r="BA185" t="s">
        <v>74</v>
      </c>
      <c r="BB185" t="s">
        <v>74</v>
      </c>
      <c r="BC185" t="s">
        <v>74</v>
      </c>
      <c r="BD185" t="s">
        <v>74</v>
      </c>
      <c r="BE185" t="s">
        <v>3777</v>
      </c>
      <c r="BF185" t="str">
        <f>HYPERLINK("http://dx.doi.org/10.1126/science.aam6328","http://dx.doi.org/10.1126/science.aam6328")</f>
        <v>http://dx.doi.org/10.1126/science.aam6328</v>
      </c>
      <c r="BG185" t="s">
        <v>74</v>
      </c>
      <c r="BH185" t="s">
        <v>74</v>
      </c>
      <c r="BI185">
        <v>2</v>
      </c>
      <c r="BJ185" t="s">
        <v>1617</v>
      </c>
      <c r="BK185" t="s">
        <v>103</v>
      </c>
      <c r="BL185" t="s">
        <v>1618</v>
      </c>
      <c r="BM185" t="s">
        <v>3761</v>
      </c>
      <c r="BN185">
        <v>28546182</v>
      </c>
      <c r="BO185" t="s">
        <v>2510</v>
      </c>
      <c r="BP185" t="s">
        <v>74</v>
      </c>
      <c r="BQ185" t="s">
        <v>74</v>
      </c>
      <c r="BR185" t="s">
        <v>106</v>
      </c>
      <c r="BS185" t="s">
        <v>3778</v>
      </c>
      <c r="BT185" t="str">
        <f>HYPERLINK("https%3A%2F%2Fwww.webofscience.com%2Fwos%2Fwoscc%2Ffull-record%2FWOS:000401957900030","View Full Record in Web of Science")</f>
        <v>View Full Record in Web of Science</v>
      </c>
    </row>
    <row r="186" spans="1:72" x14ac:dyDescent="0.15">
      <c r="A186" t="s">
        <v>72</v>
      </c>
      <c r="B186" t="s">
        <v>3779</v>
      </c>
      <c r="C186" t="s">
        <v>74</v>
      </c>
      <c r="D186" t="s">
        <v>74</v>
      </c>
      <c r="E186" t="s">
        <v>74</v>
      </c>
      <c r="F186" t="s">
        <v>3780</v>
      </c>
      <c r="G186" t="s">
        <v>74</v>
      </c>
      <c r="H186" t="s">
        <v>74</v>
      </c>
      <c r="I186" t="s">
        <v>3781</v>
      </c>
      <c r="J186" t="s">
        <v>3782</v>
      </c>
      <c r="K186" t="s">
        <v>74</v>
      </c>
      <c r="L186" t="s">
        <v>74</v>
      </c>
      <c r="M186" t="s">
        <v>78</v>
      </c>
      <c r="N186" t="s">
        <v>79</v>
      </c>
      <c r="O186" t="s">
        <v>74</v>
      </c>
      <c r="P186" t="s">
        <v>74</v>
      </c>
      <c r="Q186" t="s">
        <v>74</v>
      </c>
      <c r="R186" t="s">
        <v>74</v>
      </c>
      <c r="S186" t="s">
        <v>74</v>
      </c>
      <c r="T186" t="s">
        <v>3783</v>
      </c>
      <c r="U186" t="s">
        <v>3784</v>
      </c>
      <c r="V186" t="s">
        <v>3785</v>
      </c>
      <c r="W186" t="s">
        <v>3786</v>
      </c>
      <c r="X186" t="s">
        <v>3787</v>
      </c>
      <c r="Y186" t="s">
        <v>3788</v>
      </c>
      <c r="Z186" t="s">
        <v>3789</v>
      </c>
      <c r="AA186" t="s">
        <v>3790</v>
      </c>
      <c r="AB186" t="s">
        <v>3791</v>
      </c>
      <c r="AC186" t="s">
        <v>74</v>
      </c>
      <c r="AD186" t="s">
        <v>74</v>
      </c>
      <c r="AE186" t="s">
        <v>74</v>
      </c>
      <c r="AF186" t="s">
        <v>74</v>
      </c>
      <c r="AG186">
        <v>87</v>
      </c>
      <c r="AH186">
        <v>8</v>
      </c>
      <c r="AI186">
        <v>9</v>
      </c>
      <c r="AJ186">
        <v>0</v>
      </c>
      <c r="AK186">
        <v>12</v>
      </c>
      <c r="AL186" t="s">
        <v>317</v>
      </c>
      <c r="AM186" t="s">
        <v>318</v>
      </c>
      <c r="AN186" t="s">
        <v>319</v>
      </c>
      <c r="AO186" t="s">
        <v>3792</v>
      </c>
      <c r="AP186" t="s">
        <v>3793</v>
      </c>
      <c r="AQ186" t="s">
        <v>74</v>
      </c>
      <c r="AR186" t="s">
        <v>3794</v>
      </c>
      <c r="AS186" t="s">
        <v>3795</v>
      </c>
      <c r="AT186" t="s">
        <v>3796</v>
      </c>
      <c r="AU186">
        <v>2017</v>
      </c>
      <c r="AV186">
        <v>459</v>
      </c>
      <c r="AW186" t="s">
        <v>74</v>
      </c>
      <c r="AX186" t="s">
        <v>74</v>
      </c>
      <c r="AY186" t="s">
        <v>74</v>
      </c>
      <c r="AZ186" t="s">
        <v>74</v>
      </c>
      <c r="BA186" t="s">
        <v>74</v>
      </c>
      <c r="BB186">
        <v>32</v>
      </c>
      <c r="BC186">
        <v>42</v>
      </c>
      <c r="BD186" t="s">
        <v>74</v>
      </c>
      <c r="BE186" t="s">
        <v>3797</v>
      </c>
      <c r="BF186" t="str">
        <f>HYPERLINK("http://dx.doi.org/10.1016/j.chemgeo.2017.04.001","http://dx.doi.org/10.1016/j.chemgeo.2017.04.001")</f>
        <v>http://dx.doi.org/10.1016/j.chemgeo.2017.04.001</v>
      </c>
      <c r="BG186" t="s">
        <v>74</v>
      </c>
      <c r="BH186" t="s">
        <v>74</v>
      </c>
      <c r="BI186">
        <v>11</v>
      </c>
      <c r="BJ186" t="s">
        <v>176</v>
      </c>
      <c r="BK186" t="s">
        <v>103</v>
      </c>
      <c r="BL186" t="s">
        <v>176</v>
      </c>
      <c r="BM186" t="s">
        <v>3798</v>
      </c>
      <c r="BN186" t="s">
        <v>74</v>
      </c>
      <c r="BO186" t="s">
        <v>1538</v>
      </c>
      <c r="BP186" t="s">
        <v>74</v>
      </c>
      <c r="BQ186" t="s">
        <v>74</v>
      </c>
      <c r="BR186" t="s">
        <v>106</v>
      </c>
      <c r="BS186" t="s">
        <v>3799</v>
      </c>
      <c r="BT186" t="str">
        <f>HYPERLINK("https%3A%2F%2Fwww.webofscience.com%2Fwos%2Fwoscc%2Ffull-record%2FWOS:000401878900004","View Full Record in Web of Science")</f>
        <v>View Full Record in Web of Science</v>
      </c>
    </row>
    <row r="187" spans="1:72" x14ac:dyDescent="0.15">
      <c r="A187" t="s">
        <v>72</v>
      </c>
      <c r="B187" t="s">
        <v>3800</v>
      </c>
      <c r="C187" t="s">
        <v>74</v>
      </c>
      <c r="D187" t="s">
        <v>74</v>
      </c>
      <c r="E187" t="s">
        <v>74</v>
      </c>
      <c r="F187" t="s">
        <v>3801</v>
      </c>
      <c r="G187" t="s">
        <v>74</v>
      </c>
      <c r="H187" t="s">
        <v>74</v>
      </c>
      <c r="I187" t="s">
        <v>3802</v>
      </c>
      <c r="J187" t="s">
        <v>3803</v>
      </c>
      <c r="K187" t="s">
        <v>74</v>
      </c>
      <c r="L187" t="s">
        <v>74</v>
      </c>
      <c r="M187" t="s">
        <v>78</v>
      </c>
      <c r="N187" t="s">
        <v>79</v>
      </c>
      <c r="O187" t="s">
        <v>74</v>
      </c>
      <c r="P187" t="s">
        <v>74</v>
      </c>
      <c r="Q187" t="s">
        <v>74</v>
      </c>
      <c r="R187" t="s">
        <v>74</v>
      </c>
      <c r="S187" t="s">
        <v>74</v>
      </c>
      <c r="T187" t="s">
        <v>74</v>
      </c>
      <c r="U187" t="s">
        <v>3804</v>
      </c>
      <c r="V187" t="s">
        <v>3805</v>
      </c>
      <c r="W187" t="s">
        <v>3806</v>
      </c>
      <c r="X187" t="s">
        <v>3807</v>
      </c>
      <c r="Y187" t="s">
        <v>3808</v>
      </c>
      <c r="Z187" t="s">
        <v>3809</v>
      </c>
      <c r="AA187" t="s">
        <v>74</v>
      </c>
      <c r="AB187" t="s">
        <v>3810</v>
      </c>
      <c r="AC187" t="s">
        <v>3811</v>
      </c>
      <c r="AD187" t="s">
        <v>3812</v>
      </c>
      <c r="AE187" t="s">
        <v>3813</v>
      </c>
      <c r="AF187" t="s">
        <v>74</v>
      </c>
      <c r="AG187">
        <v>60</v>
      </c>
      <c r="AH187">
        <v>31</v>
      </c>
      <c r="AI187">
        <v>33</v>
      </c>
      <c r="AJ187">
        <v>7</v>
      </c>
      <c r="AK187">
        <v>30</v>
      </c>
      <c r="AL187" t="s">
        <v>3534</v>
      </c>
      <c r="AM187" t="s">
        <v>3535</v>
      </c>
      <c r="AN187" t="s">
        <v>3536</v>
      </c>
      <c r="AO187" t="s">
        <v>3814</v>
      </c>
      <c r="AP187" t="s">
        <v>3815</v>
      </c>
      <c r="AQ187" t="s">
        <v>74</v>
      </c>
      <c r="AR187" t="s">
        <v>3816</v>
      </c>
      <c r="AS187" t="s">
        <v>3817</v>
      </c>
      <c r="AT187" t="s">
        <v>3818</v>
      </c>
      <c r="AU187">
        <v>2017</v>
      </c>
      <c r="AV187">
        <v>13</v>
      </c>
      <c r="AW187">
        <v>5</v>
      </c>
      <c r="AX187" t="s">
        <v>74</v>
      </c>
      <c r="AY187" t="s">
        <v>74</v>
      </c>
      <c r="AZ187" t="s">
        <v>74</v>
      </c>
      <c r="BA187" t="s">
        <v>74</v>
      </c>
      <c r="BB187">
        <v>533</v>
      </c>
      <c r="BC187">
        <v>544</v>
      </c>
      <c r="BD187" t="s">
        <v>74</v>
      </c>
      <c r="BE187" t="s">
        <v>3819</v>
      </c>
      <c r="BF187" t="str">
        <f>HYPERLINK("http://dx.doi.org/10.5194/cp-13-533-2017","http://dx.doi.org/10.5194/cp-13-533-2017")</f>
        <v>http://dx.doi.org/10.5194/cp-13-533-2017</v>
      </c>
      <c r="BG187" t="s">
        <v>74</v>
      </c>
      <c r="BH187" t="s">
        <v>74</v>
      </c>
      <c r="BI187">
        <v>12</v>
      </c>
      <c r="BJ187" t="s">
        <v>3820</v>
      </c>
      <c r="BK187" t="s">
        <v>103</v>
      </c>
      <c r="BL187" t="s">
        <v>3821</v>
      </c>
      <c r="BM187" t="s">
        <v>3822</v>
      </c>
      <c r="BN187" t="s">
        <v>74</v>
      </c>
      <c r="BO187" t="s">
        <v>205</v>
      </c>
      <c r="BP187" t="s">
        <v>74</v>
      </c>
      <c r="BQ187" t="s">
        <v>74</v>
      </c>
      <c r="BR187" t="s">
        <v>106</v>
      </c>
      <c r="BS187" t="s">
        <v>3823</v>
      </c>
      <c r="BT187" t="str">
        <f>HYPERLINK("https%3A%2F%2Fwww.webofscience.com%2Fwos%2Fwoscc%2Ffull-record%2FWOS:000402002700001","View Full Record in Web of Science")</f>
        <v>View Full Record in Web of Science</v>
      </c>
    </row>
    <row r="188" spans="1:72" x14ac:dyDescent="0.15">
      <c r="A188" t="s">
        <v>72</v>
      </c>
      <c r="B188" t="s">
        <v>3824</v>
      </c>
      <c r="C188" t="s">
        <v>74</v>
      </c>
      <c r="D188" t="s">
        <v>74</v>
      </c>
      <c r="E188" t="s">
        <v>74</v>
      </c>
      <c r="F188" t="s">
        <v>3825</v>
      </c>
      <c r="G188" t="s">
        <v>74</v>
      </c>
      <c r="H188" t="s">
        <v>74</v>
      </c>
      <c r="I188" t="s">
        <v>3826</v>
      </c>
      <c r="J188" t="s">
        <v>3827</v>
      </c>
      <c r="K188" t="s">
        <v>74</v>
      </c>
      <c r="L188" t="s">
        <v>74</v>
      </c>
      <c r="M188" t="s">
        <v>78</v>
      </c>
      <c r="N188" t="s">
        <v>79</v>
      </c>
      <c r="O188" t="s">
        <v>74</v>
      </c>
      <c r="P188" t="s">
        <v>74</v>
      </c>
      <c r="Q188" t="s">
        <v>74</v>
      </c>
      <c r="R188" t="s">
        <v>74</v>
      </c>
      <c r="S188" t="s">
        <v>74</v>
      </c>
      <c r="T188" t="s">
        <v>74</v>
      </c>
      <c r="U188" t="s">
        <v>3828</v>
      </c>
      <c r="V188" t="s">
        <v>3829</v>
      </c>
      <c r="W188" t="s">
        <v>3830</v>
      </c>
      <c r="X188" t="s">
        <v>3831</v>
      </c>
      <c r="Y188" t="s">
        <v>3832</v>
      </c>
      <c r="Z188" t="s">
        <v>3833</v>
      </c>
      <c r="AA188" t="s">
        <v>3834</v>
      </c>
      <c r="AB188" t="s">
        <v>3835</v>
      </c>
      <c r="AC188" t="s">
        <v>3836</v>
      </c>
      <c r="AD188" t="s">
        <v>3837</v>
      </c>
      <c r="AE188" t="s">
        <v>3838</v>
      </c>
      <c r="AF188" t="s">
        <v>74</v>
      </c>
      <c r="AG188">
        <v>75</v>
      </c>
      <c r="AH188">
        <v>45</v>
      </c>
      <c r="AI188">
        <v>53</v>
      </c>
      <c r="AJ188">
        <v>0</v>
      </c>
      <c r="AK188">
        <v>10</v>
      </c>
      <c r="AL188" t="s">
        <v>3534</v>
      </c>
      <c r="AM188" t="s">
        <v>3535</v>
      </c>
      <c r="AN188" t="s">
        <v>3536</v>
      </c>
      <c r="AO188" t="s">
        <v>3839</v>
      </c>
      <c r="AP188" t="s">
        <v>3840</v>
      </c>
      <c r="AQ188" t="s">
        <v>74</v>
      </c>
      <c r="AR188" t="s">
        <v>3827</v>
      </c>
      <c r="AS188" t="s">
        <v>3841</v>
      </c>
      <c r="AT188" t="s">
        <v>3818</v>
      </c>
      <c r="AU188">
        <v>2017</v>
      </c>
      <c r="AV188">
        <v>11</v>
      </c>
      <c r="AW188">
        <v>3</v>
      </c>
      <c r="AX188" t="s">
        <v>74</v>
      </c>
      <c r="AY188" t="s">
        <v>74</v>
      </c>
      <c r="AZ188" t="s">
        <v>74</v>
      </c>
      <c r="BA188" t="s">
        <v>74</v>
      </c>
      <c r="BB188">
        <v>1247</v>
      </c>
      <c r="BC188">
        <v>1264</v>
      </c>
      <c r="BD188" t="s">
        <v>74</v>
      </c>
      <c r="BE188" t="s">
        <v>3842</v>
      </c>
      <c r="BF188" t="str">
        <f>HYPERLINK("http://dx.doi.org/10.5194/tc-11-1247-2017","http://dx.doi.org/10.5194/tc-11-1247-2017")</f>
        <v>http://dx.doi.org/10.5194/tc-11-1247-2017</v>
      </c>
      <c r="BG188" t="s">
        <v>74</v>
      </c>
      <c r="BH188" t="s">
        <v>74</v>
      </c>
      <c r="BI188">
        <v>18</v>
      </c>
      <c r="BJ188" t="s">
        <v>1338</v>
      </c>
      <c r="BK188" t="s">
        <v>103</v>
      </c>
      <c r="BL188" t="s">
        <v>1339</v>
      </c>
      <c r="BM188" t="s">
        <v>3843</v>
      </c>
      <c r="BN188" t="s">
        <v>74</v>
      </c>
      <c r="BO188" t="s">
        <v>3844</v>
      </c>
      <c r="BP188" t="s">
        <v>74</v>
      </c>
      <c r="BQ188" t="s">
        <v>74</v>
      </c>
      <c r="BR188" t="s">
        <v>106</v>
      </c>
      <c r="BS188" t="s">
        <v>3845</v>
      </c>
      <c r="BT188" t="str">
        <f>HYPERLINK("https%3A%2F%2Fwww.webofscience.com%2Fwos%2Fwoscc%2Ffull-record%2FWOS:000402009300001","View Full Record in Web of Science")</f>
        <v>View Full Record in Web of Science</v>
      </c>
    </row>
    <row r="189" spans="1:72" x14ac:dyDescent="0.15">
      <c r="A189" t="s">
        <v>72</v>
      </c>
      <c r="B189" t="s">
        <v>3846</v>
      </c>
      <c r="C189" t="s">
        <v>74</v>
      </c>
      <c r="D189" t="s">
        <v>74</v>
      </c>
      <c r="E189" t="s">
        <v>74</v>
      </c>
      <c r="F189" t="s">
        <v>3847</v>
      </c>
      <c r="G189" t="s">
        <v>74</v>
      </c>
      <c r="H189" t="s">
        <v>74</v>
      </c>
      <c r="I189" t="s">
        <v>3848</v>
      </c>
      <c r="J189" t="s">
        <v>3849</v>
      </c>
      <c r="K189" t="s">
        <v>74</v>
      </c>
      <c r="L189" t="s">
        <v>74</v>
      </c>
      <c r="M189" t="s">
        <v>78</v>
      </c>
      <c r="N189" t="s">
        <v>79</v>
      </c>
      <c r="O189" t="s">
        <v>74</v>
      </c>
      <c r="P189" t="s">
        <v>74</v>
      </c>
      <c r="Q189" t="s">
        <v>74</v>
      </c>
      <c r="R189" t="s">
        <v>74</v>
      </c>
      <c r="S189" t="s">
        <v>74</v>
      </c>
      <c r="T189" t="s">
        <v>74</v>
      </c>
      <c r="U189" t="s">
        <v>3850</v>
      </c>
      <c r="V189" t="s">
        <v>3851</v>
      </c>
      <c r="W189" t="s">
        <v>3852</v>
      </c>
      <c r="X189" t="s">
        <v>3853</v>
      </c>
      <c r="Y189" t="s">
        <v>3854</v>
      </c>
      <c r="Z189" t="s">
        <v>3855</v>
      </c>
      <c r="AA189" t="s">
        <v>3856</v>
      </c>
      <c r="AB189" t="s">
        <v>3857</v>
      </c>
      <c r="AC189" t="s">
        <v>3858</v>
      </c>
      <c r="AD189" t="s">
        <v>3859</v>
      </c>
      <c r="AE189" t="s">
        <v>3860</v>
      </c>
      <c r="AF189" t="s">
        <v>74</v>
      </c>
      <c r="AG189">
        <v>46</v>
      </c>
      <c r="AH189">
        <v>27</v>
      </c>
      <c r="AI189">
        <v>27</v>
      </c>
      <c r="AJ189">
        <v>0</v>
      </c>
      <c r="AK189">
        <v>24</v>
      </c>
      <c r="AL189" t="s">
        <v>3861</v>
      </c>
      <c r="AM189" t="s">
        <v>3862</v>
      </c>
      <c r="AN189" t="s">
        <v>3863</v>
      </c>
      <c r="AO189" t="s">
        <v>3864</v>
      </c>
      <c r="AP189" t="s">
        <v>74</v>
      </c>
      <c r="AQ189" t="s">
        <v>74</v>
      </c>
      <c r="AR189" t="s">
        <v>3849</v>
      </c>
      <c r="AS189" t="s">
        <v>3865</v>
      </c>
      <c r="AT189" t="s">
        <v>3818</v>
      </c>
      <c r="AU189">
        <v>2017</v>
      </c>
      <c r="AV189">
        <v>12</v>
      </c>
      <c r="AW189">
        <v>5</v>
      </c>
      <c r="AX189" t="s">
        <v>74</v>
      </c>
      <c r="AY189" t="s">
        <v>74</v>
      </c>
      <c r="AZ189" t="s">
        <v>74</v>
      </c>
      <c r="BA189" t="s">
        <v>74</v>
      </c>
      <c r="BB189" t="s">
        <v>74</v>
      </c>
      <c r="BC189" t="s">
        <v>74</v>
      </c>
      <c r="BD189" t="s">
        <v>3866</v>
      </c>
      <c r="BE189" t="s">
        <v>3867</v>
      </c>
      <c r="BF189" t="str">
        <f>HYPERLINK("http://dx.doi.org/10.1371/journal.pone.0177216","http://dx.doi.org/10.1371/journal.pone.0177216")</f>
        <v>http://dx.doi.org/10.1371/journal.pone.0177216</v>
      </c>
      <c r="BG189" t="s">
        <v>74</v>
      </c>
      <c r="BH189" t="s">
        <v>74</v>
      </c>
      <c r="BI189">
        <v>26</v>
      </c>
      <c r="BJ189" t="s">
        <v>1617</v>
      </c>
      <c r="BK189" t="s">
        <v>103</v>
      </c>
      <c r="BL189" t="s">
        <v>1618</v>
      </c>
      <c r="BM189" t="s">
        <v>3868</v>
      </c>
      <c r="BN189">
        <v>28542268</v>
      </c>
      <c r="BO189" t="s">
        <v>3679</v>
      </c>
      <c r="BP189" t="s">
        <v>74</v>
      </c>
      <c r="BQ189" t="s">
        <v>74</v>
      </c>
      <c r="BR189" t="s">
        <v>106</v>
      </c>
      <c r="BS189" t="s">
        <v>3869</v>
      </c>
      <c r="BT189" t="str">
        <f>HYPERLINK("https%3A%2F%2Fwww.webofscience.com%2Fwos%2Fwoscc%2Ffull-record%2FWOS:000402061500015","View Full Record in Web of Science")</f>
        <v>View Full Record in Web of Science</v>
      </c>
    </row>
    <row r="190" spans="1:72" x14ac:dyDescent="0.15">
      <c r="A190" t="s">
        <v>72</v>
      </c>
      <c r="B190" t="s">
        <v>3870</v>
      </c>
      <c r="C190" t="s">
        <v>74</v>
      </c>
      <c r="D190" t="s">
        <v>74</v>
      </c>
      <c r="E190" t="s">
        <v>74</v>
      </c>
      <c r="F190" t="s">
        <v>3871</v>
      </c>
      <c r="G190" t="s">
        <v>74</v>
      </c>
      <c r="H190" t="s">
        <v>74</v>
      </c>
      <c r="I190" t="s">
        <v>3872</v>
      </c>
      <c r="J190" t="s">
        <v>3597</v>
      </c>
      <c r="K190" t="s">
        <v>74</v>
      </c>
      <c r="L190" t="s">
        <v>74</v>
      </c>
      <c r="M190" t="s">
        <v>78</v>
      </c>
      <c r="N190" t="s">
        <v>79</v>
      </c>
      <c r="O190" t="s">
        <v>74</v>
      </c>
      <c r="P190" t="s">
        <v>74</v>
      </c>
      <c r="Q190" t="s">
        <v>74</v>
      </c>
      <c r="R190" t="s">
        <v>74</v>
      </c>
      <c r="S190" t="s">
        <v>74</v>
      </c>
      <c r="T190" t="s">
        <v>74</v>
      </c>
      <c r="U190" t="s">
        <v>3873</v>
      </c>
      <c r="V190" t="s">
        <v>3874</v>
      </c>
      <c r="W190" t="s">
        <v>3875</v>
      </c>
      <c r="X190" t="s">
        <v>3876</v>
      </c>
      <c r="Y190" t="s">
        <v>3877</v>
      </c>
      <c r="Z190" t="s">
        <v>3878</v>
      </c>
      <c r="AA190" t="s">
        <v>3879</v>
      </c>
      <c r="AB190" t="s">
        <v>3880</v>
      </c>
      <c r="AC190" t="s">
        <v>3881</v>
      </c>
      <c r="AD190" t="s">
        <v>3882</v>
      </c>
      <c r="AE190" t="s">
        <v>3883</v>
      </c>
      <c r="AF190" t="s">
        <v>74</v>
      </c>
      <c r="AG190">
        <v>85</v>
      </c>
      <c r="AH190">
        <v>34</v>
      </c>
      <c r="AI190">
        <v>37</v>
      </c>
      <c r="AJ190">
        <v>3</v>
      </c>
      <c r="AK190">
        <v>32</v>
      </c>
      <c r="AL190" t="s">
        <v>3534</v>
      </c>
      <c r="AM190" t="s">
        <v>3535</v>
      </c>
      <c r="AN190" t="s">
        <v>3536</v>
      </c>
      <c r="AO190" t="s">
        <v>3609</v>
      </c>
      <c r="AP190" t="s">
        <v>3610</v>
      </c>
      <c r="AQ190" t="s">
        <v>74</v>
      </c>
      <c r="AR190" t="s">
        <v>3611</v>
      </c>
      <c r="AS190" t="s">
        <v>3612</v>
      </c>
      <c r="AT190" t="s">
        <v>3884</v>
      </c>
      <c r="AU190">
        <v>2017</v>
      </c>
      <c r="AV190">
        <v>17</v>
      </c>
      <c r="AW190">
        <v>10</v>
      </c>
      <c r="AX190" t="s">
        <v>74</v>
      </c>
      <c r="AY190" t="s">
        <v>74</v>
      </c>
      <c r="AZ190" t="s">
        <v>74</v>
      </c>
      <c r="BA190" t="s">
        <v>74</v>
      </c>
      <c r="BB190">
        <v>6291</v>
      </c>
      <c r="BC190">
        <v>6303</v>
      </c>
      <c r="BD190" t="s">
        <v>74</v>
      </c>
      <c r="BE190" t="s">
        <v>3885</v>
      </c>
      <c r="BF190" t="str">
        <f>HYPERLINK("http://dx.doi.org/10.5194/acp-17-6291-2017","http://dx.doi.org/10.5194/acp-17-6291-2017")</f>
        <v>http://dx.doi.org/10.5194/acp-17-6291-2017</v>
      </c>
      <c r="BG190" t="s">
        <v>74</v>
      </c>
      <c r="BH190" t="s">
        <v>74</v>
      </c>
      <c r="BI190">
        <v>13</v>
      </c>
      <c r="BJ190" t="s">
        <v>3614</v>
      </c>
      <c r="BK190" t="s">
        <v>103</v>
      </c>
      <c r="BL190" t="s">
        <v>3615</v>
      </c>
      <c r="BM190" t="s">
        <v>3886</v>
      </c>
      <c r="BN190" t="s">
        <v>74</v>
      </c>
      <c r="BO190" t="s">
        <v>3887</v>
      </c>
      <c r="BP190" t="s">
        <v>74</v>
      </c>
      <c r="BQ190" t="s">
        <v>74</v>
      </c>
      <c r="BR190" t="s">
        <v>106</v>
      </c>
      <c r="BS190" t="s">
        <v>3888</v>
      </c>
      <c r="BT190" t="str">
        <f>HYPERLINK("https%3A%2F%2Fwww.webofscience.com%2Fwos%2Fwoscc%2Ffull-record%2FWOS:000401921300001","View Full Record in Web of Science")</f>
        <v>View Full Record in Web of Science</v>
      </c>
    </row>
    <row r="191" spans="1:72" x14ac:dyDescent="0.15">
      <c r="A191" t="s">
        <v>72</v>
      </c>
      <c r="B191" t="s">
        <v>3889</v>
      </c>
      <c r="C191" t="s">
        <v>74</v>
      </c>
      <c r="D191" t="s">
        <v>74</v>
      </c>
      <c r="E191" t="s">
        <v>74</v>
      </c>
      <c r="F191" t="s">
        <v>3890</v>
      </c>
      <c r="G191" t="s">
        <v>74</v>
      </c>
      <c r="H191" t="s">
        <v>74</v>
      </c>
      <c r="I191" t="s">
        <v>3891</v>
      </c>
      <c r="J191" t="s">
        <v>3892</v>
      </c>
      <c r="K191" t="s">
        <v>74</v>
      </c>
      <c r="L191" t="s">
        <v>74</v>
      </c>
      <c r="M191" t="s">
        <v>78</v>
      </c>
      <c r="N191" t="s">
        <v>79</v>
      </c>
      <c r="O191" t="s">
        <v>74</v>
      </c>
      <c r="P191" t="s">
        <v>74</v>
      </c>
      <c r="Q191" t="s">
        <v>74</v>
      </c>
      <c r="R191" t="s">
        <v>74</v>
      </c>
      <c r="S191" t="s">
        <v>74</v>
      </c>
      <c r="T191" t="s">
        <v>3893</v>
      </c>
      <c r="U191" t="s">
        <v>3894</v>
      </c>
      <c r="V191" t="s">
        <v>3895</v>
      </c>
      <c r="W191" t="s">
        <v>3896</v>
      </c>
      <c r="X191" t="s">
        <v>3897</v>
      </c>
      <c r="Y191" t="s">
        <v>3898</v>
      </c>
      <c r="Z191" t="s">
        <v>3899</v>
      </c>
      <c r="AA191" t="s">
        <v>3900</v>
      </c>
      <c r="AB191" t="s">
        <v>3901</v>
      </c>
      <c r="AC191" t="s">
        <v>3902</v>
      </c>
      <c r="AD191" t="s">
        <v>3903</v>
      </c>
      <c r="AE191" t="s">
        <v>3904</v>
      </c>
      <c r="AF191" t="s">
        <v>74</v>
      </c>
      <c r="AG191">
        <v>66</v>
      </c>
      <c r="AH191">
        <v>40</v>
      </c>
      <c r="AI191">
        <v>46</v>
      </c>
      <c r="AJ191">
        <v>2</v>
      </c>
      <c r="AK191">
        <v>48</v>
      </c>
      <c r="AL191" t="s">
        <v>317</v>
      </c>
      <c r="AM191" t="s">
        <v>318</v>
      </c>
      <c r="AN191" t="s">
        <v>319</v>
      </c>
      <c r="AO191" t="s">
        <v>3905</v>
      </c>
      <c r="AP191" t="s">
        <v>3906</v>
      </c>
      <c r="AQ191" t="s">
        <v>74</v>
      </c>
      <c r="AR191" t="s">
        <v>3907</v>
      </c>
      <c r="AS191" t="s">
        <v>3908</v>
      </c>
      <c r="AT191" t="s">
        <v>3909</v>
      </c>
      <c r="AU191">
        <v>2017</v>
      </c>
      <c r="AV191">
        <v>192</v>
      </c>
      <c r="AW191" t="s">
        <v>74</v>
      </c>
      <c r="AX191" t="s">
        <v>74</v>
      </c>
      <c r="AY191" t="s">
        <v>74</v>
      </c>
      <c r="AZ191" t="s">
        <v>74</v>
      </c>
      <c r="BA191" t="s">
        <v>74</v>
      </c>
      <c r="BB191">
        <v>1</v>
      </c>
      <c r="BC191">
        <v>12</v>
      </c>
      <c r="BD191" t="s">
        <v>74</v>
      </c>
      <c r="BE191" t="s">
        <v>3910</v>
      </c>
      <c r="BF191" t="str">
        <f>HYPERLINK("http://dx.doi.org/10.1016/j.marchem.2017.03.004","http://dx.doi.org/10.1016/j.marchem.2017.03.004")</f>
        <v>http://dx.doi.org/10.1016/j.marchem.2017.03.004</v>
      </c>
      <c r="BG191" t="s">
        <v>74</v>
      </c>
      <c r="BH191" t="s">
        <v>74</v>
      </c>
      <c r="BI191">
        <v>12</v>
      </c>
      <c r="BJ191" t="s">
        <v>3911</v>
      </c>
      <c r="BK191" t="s">
        <v>103</v>
      </c>
      <c r="BL191" t="s">
        <v>3912</v>
      </c>
      <c r="BM191" t="s">
        <v>3913</v>
      </c>
      <c r="BN191" t="s">
        <v>74</v>
      </c>
      <c r="BO191" t="s">
        <v>384</v>
      </c>
      <c r="BP191" t="s">
        <v>74</v>
      </c>
      <c r="BQ191" t="s">
        <v>74</v>
      </c>
      <c r="BR191" t="s">
        <v>106</v>
      </c>
      <c r="BS191" t="s">
        <v>3914</v>
      </c>
      <c r="BT191" t="str">
        <f>HYPERLINK("https%3A%2F%2Fwww.webofscience.com%2Fwos%2Fwoscc%2Ffull-record%2FWOS:000403995100001","View Full Record in Web of Science")</f>
        <v>View Full Record in Web of Science</v>
      </c>
    </row>
    <row r="192" spans="1:72" x14ac:dyDescent="0.15">
      <c r="A192" t="s">
        <v>72</v>
      </c>
      <c r="B192" t="s">
        <v>3915</v>
      </c>
      <c r="C192" t="s">
        <v>74</v>
      </c>
      <c r="D192" t="s">
        <v>74</v>
      </c>
      <c r="E192" t="s">
        <v>74</v>
      </c>
      <c r="F192" t="s">
        <v>3916</v>
      </c>
      <c r="G192" t="s">
        <v>74</v>
      </c>
      <c r="H192" t="s">
        <v>74</v>
      </c>
      <c r="I192" t="s">
        <v>3917</v>
      </c>
      <c r="J192" t="s">
        <v>3918</v>
      </c>
      <c r="K192" t="s">
        <v>74</v>
      </c>
      <c r="L192" t="s">
        <v>74</v>
      </c>
      <c r="M192" t="s">
        <v>78</v>
      </c>
      <c r="N192" t="s">
        <v>79</v>
      </c>
      <c r="O192" t="s">
        <v>74</v>
      </c>
      <c r="P192" t="s">
        <v>74</v>
      </c>
      <c r="Q192" t="s">
        <v>74</v>
      </c>
      <c r="R192" t="s">
        <v>74</v>
      </c>
      <c r="S192" t="s">
        <v>74</v>
      </c>
      <c r="T192" t="s">
        <v>74</v>
      </c>
      <c r="U192" t="s">
        <v>3919</v>
      </c>
      <c r="V192" t="s">
        <v>3920</v>
      </c>
      <c r="W192" t="s">
        <v>3921</v>
      </c>
      <c r="X192" t="s">
        <v>3922</v>
      </c>
      <c r="Y192" t="s">
        <v>3923</v>
      </c>
      <c r="Z192" t="s">
        <v>3924</v>
      </c>
      <c r="AA192" t="s">
        <v>3925</v>
      </c>
      <c r="AB192" t="s">
        <v>3926</v>
      </c>
      <c r="AC192" t="s">
        <v>3927</v>
      </c>
      <c r="AD192" t="s">
        <v>3928</v>
      </c>
      <c r="AE192" t="s">
        <v>3929</v>
      </c>
      <c r="AF192" t="s">
        <v>74</v>
      </c>
      <c r="AG192">
        <v>33</v>
      </c>
      <c r="AH192">
        <v>30</v>
      </c>
      <c r="AI192">
        <v>37</v>
      </c>
      <c r="AJ192">
        <v>2</v>
      </c>
      <c r="AK192">
        <v>24</v>
      </c>
      <c r="AL192" t="s">
        <v>3534</v>
      </c>
      <c r="AM192" t="s">
        <v>3535</v>
      </c>
      <c r="AN192" t="s">
        <v>3536</v>
      </c>
      <c r="AO192" t="s">
        <v>3930</v>
      </c>
      <c r="AP192" t="s">
        <v>3931</v>
      </c>
      <c r="AQ192" t="s">
        <v>74</v>
      </c>
      <c r="AR192" t="s">
        <v>3932</v>
      </c>
      <c r="AS192" t="s">
        <v>3933</v>
      </c>
      <c r="AT192" t="s">
        <v>3934</v>
      </c>
      <c r="AU192">
        <v>2017</v>
      </c>
      <c r="AV192">
        <v>8</v>
      </c>
      <c r="AW192">
        <v>2</v>
      </c>
      <c r="AX192" t="s">
        <v>74</v>
      </c>
      <c r="AY192" t="s">
        <v>74</v>
      </c>
      <c r="AZ192" t="s">
        <v>74</v>
      </c>
      <c r="BA192" t="s">
        <v>74</v>
      </c>
      <c r="BB192">
        <v>323</v>
      </c>
      <c r="BC192">
        <v>336</v>
      </c>
      <c r="BD192" t="s">
        <v>74</v>
      </c>
      <c r="BE192" t="s">
        <v>3935</v>
      </c>
      <c r="BF192" t="str">
        <f>HYPERLINK("http://dx.doi.org/10.5194/esd-8-323-2017","http://dx.doi.org/10.5194/esd-8-323-2017")</f>
        <v>http://dx.doi.org/10.5194/esd-8-323-2017</v>
      </c>
      <c r="BG192" t="s">
        <v>74</v>
      </c>
      <c r="BH192" t="s">
        <v>74</v>
      </c>
      <c r="BI192">
        <v>14</v>
      </c>
      <c r="BJ192" t="s">
        <v>437</v>
      </c>
      <c r="BK192" t="s">
        <v>103</v>
      </c>
      <c r="BL192" t="s">
        <v>438</v>
      </c>
      <c r="BM192" t="s">
        <v>3936</v>
      </c>
      <c r="BN192" t="s">
        <v>74</v>
      </c>
      <c r="BO192" t="s">
        <v>205</v>
      </c>
      <c r="BP192" t="s">
        <v>74</v>
      </c>
      <c r="BQ192" t="s">
        <v>74</v>
      </c>
      <c r="BR192" t="s">
        <v>106</v>
      </c>
      <c r="BS192" t="s">
        <v>3937</v>
      </c>
      <c r="BT192" t="str">
        <f>HYPERLINK("https%3A%2F%2Fwww.webofscience.com%2Fwos%2Fwoscc%2Ffull-record%2FWOS:000401648600001","View Full Record in Web of Science")</f>
        <v>View Full Record in Web of Science</v>
      </c>
    </row>
    <row r="193" spans="1:72" x14ac:dyDescent="0.15">
      <c r="A193" t="s">
        <v>72</v>
      </c>
      <c r="B193" t="s">
        <v>3938</v>
      </c>
      <c r="C193" t="s">
        <v>74</v>
      </c>
      <c r="D193" t="s">
        <v>74</v>
      </c>
      <c r="E193" t="s">
        <v>74</v>
      </c>
      <c r="F193" t="s">
        <v>3939</v>
      </c>
      <c r="G193" t="s">
        <v>74</v>
      </c>
      <c r="H193" t="s">
        <v>74</v>
      </c>
      <c r="I193" t="s">
        <v>3940</v>
      </c>
      <c r="J193" t="s">
        <v>77</v>
      </c>
      <c r="K193" t="s">
        <v>74</v>
      </c>
      <c r="L193" t="s">
        <v>74</v>
      </c>
      <c r="M193" t="s">
        <v>78</v>
      </c>
      <c r="N193" t="s">
        <v>79</v>
      </c>
      <c r="O193" t="s">
        <v>74</v>
      </c>
      <c r="P193" t="s">
        <v>74</v>
      </c>
      <c r="Q193" t="s">
        <v>74</v>
      </c>
      <c r="R193" t="s">
        <v>74</v>
      </c>
      <c r="S193" t="s">
        <v>74</v>
      </c>
      <c r="T193" t="s">
        <v>3941</v>
      </c>
      <c r="U193" t="s">
        <v>3942</v>
      </c>
      <c r="V193" t="s">
        <v>3943</v>
      </c>
      <c r="W193" t="s">
        <v>3944</v>
      </c>
      <c r="X193" t="s">
        <v>3945</v>
      </c>
      <c r="Y193" t="s">
        <v>3946</v>
      </c>
      <c r="Z193" t="s">
        <v>3947</v>
      </c>
      <c r="AA193" t="s">
        <v>3948</v>
      </c>
      <c r="AB193" t="s">
        <v>3949</v>
      </c>
      <c r="AC193" t="s">
        <v>3950</v>
      </c>
      <c r="AD193" t="s">
        <v>3951</v>
      </c>
      <c r="AE193" t="s">
        <v>3952</v>
      </c>
      <c r="AF193" t="s">
        <v>74</v>
      </c>
      <c r="AG193">
        <v>78</v>
      </c>
      <c r="AH193">
        <v>33</v>
      </c>
      <c r="AI193">
        <v>35</v>
      </c>
      <c r="AJ193">
        <v>0</v>
      </c>
      <c r="AK193">
        <v>54</v>
      </c>
      <c r="AL193" t="s">
        <v>92</v>
      </c>
      <c r="AM193" t="s">
        <v>93</v>
      </c>
      <c r="AN193" t="s">
        <v>94</v>
      </c>
      <c r="AO193" t="s">
        <v>95</v>
      </c>
      <c r="AP193" t="s">
        <v>96</v>
      </c>
      <c r="AQ193" t="s">
        <v>74</v>
      </c>
      <c r="AR193" t="s">
        <v>97</v>
      </c>
      <c r="AS193" t="s">
        <v>98</v>
      </c>
      <c r="AT193" t="s">
        <v>3953</v>
      </c>
      <c r="AU193">
        <v>2017</v>
      </c>
      <c r="AV193">
        <v>68</v>
      </c>
      <c r="AW193">
        <v>11</v>
      </c>
      <c r="AX193" t="s">
        <v>74</v>
      </c>
      <c r="AY193" t="s">
        <v>74</v>
      </c>
      <c r="AZ193" t="s">
        <v>74</v>
      </c>
      <c r="BA193" t="s">
        <v>74</v>
      </c>
      <c r="BB193">
        <v>2871</v>
      </c>
      <c r="BC193">
        <v>2883</v>
      </c>
      <c r="BD193" t="s">
        <v>74</v>
      </c>
      <c r="BE193" t="s">
        <v>3954</v>
      </c>
      <c r="BF193" t="str">
        <f>HYPERLINK("http://dx.doi.org/10.1093/jxb/erx148","http://dx.doi.org/10.1093/jxb/erx148")</f>
        <v>http://dx.doi.org/10.1093/jxb/erx148</v>
      </c>
      <c r="BG193" t="s">
        <v>74</v>
      </c>
      <c r="BH193" t="s">
        <v>74</v>
      </c>
      <c r="BI193">
        <v>13</v>
      </c>
      <c r="BJ193" t="s">
        <v>102</v>
      </c>
      <c r="BK193" t="s">
        <v>103</v>
      </c>
      <c r="BL193" t="s">
        <v>102</v>
      </c>
      <c r="BM193" t="s">
        <v>3955</v>
      </c>
      <c r="BN193">
        <v>28830100</v>
      </c>
      <c r="BO193" t="s">
        <v>105</v>
      </c>
      <c r="BP193" t="s">
        <v>74</v>
      </c>
      <c r="BQ193" t="s">
        <v>74</v>
      </c>
      <c r="BR193" t="s">
        <v>106</v>
      </c>
      <c r="BS193" t="s">
        <v>3956</v>
      </c>
      <c r="BT193" t="str">
        <f>HYPERLINK("https%3A%2F%2Fwww.webofscience.com%2Fwos%2Fwoscc%2Ffull-record%2FWOS:000405579100020","View Full Record in Web of Science")</f>
        <v>View Full Record in Web of Science</v>
      </c>
    </row>
    <row r="194" spans="1:72" x14ac:dyDescent="0.15">
      <c r="A194" t="s">
        <v>72</v>
      </c>
      <c r="B194" t="s">
        <v>3957</v>
      </c>
      <c r="C194" t="s">
        <v>74</v>
      </c>
      <c r="D194" t="s">
        <v>74</v>
      </c>
      <c r="E194" t="s">
        <v>74</v>
      </c>
      <c r="F194" t="s">
        <v>3958</v>
      </c>
      <c r="G194" t="s">
        <v>74</v>
      </c>
      <c r="H194" t="s">
        <v>74</v>
      </c>
      <c r="I194" t="s">
        <v>3959</v>
      </c>
      <c r="J194" t="s">
        <v>3441</v>
      </c>
      <c r="K194" t="s">
        <v>74</v>
      </c>
      <c r="L194" t="s">
        <v>74</v>
      </c>
      <c r="M194" t="s">
        <v>78</v>
      </c>
      <c r="N194" t="s">
        <v>79</v>
      </c>
      <c r="O194" t="s">
        <v>74</v>
      </c>
      <c r="P194" t="s">
        <v>74</v>
      </c>
      <c r="Q194" t="s">
        <v>74</v>
      </c>
      <c r="R194" t="s">
        <v>74</v>
      </c>
      <c r="S194" t="s">
        <v>74</v>
      </c>
      <c r="T194" t="s">
        <v>3960</v>
      </c>
      <c r="U194" t="s">
        <v>3961</v>
      </c>
      <c r="V194" t="s">
        <v>3962</v>
      </c>
      <c r="W194" t="s">
        <v>3963</v>
      </c>
      <c r="X194" t="s">
        <v>3964</v>
      </c>
      <c r="Y194" t="s">
        <v>3965</v>
      </c>
      <c r="Z194" t="s">
        <v>3966</v>
      </c>
      <c r="AA194" t="s">
        <v>74</v>
      </c>
      <c r="AB194" t="s">
        <v>74</v>
      </c>
      <c r="AC194" t="s">
        <v>3967</v>
      </c>
      <c r="AD194" t="s">
        <v>3968</v>
      </c>
      <c r="AE194" t="s">
        <v>3969</v>
      </c>
      <c r="AF194" t="s">
        <v>74</v>
      </c>
      <c r="AG194">
        <v>70</v>
      </c>
      <c r="AH194">
        <v>10</v>
      </c>
      <c r="AI194">
        <v>11</v>
      </c>
      <c r="AJ194">
        <v>0</v>
      </c>
      <c r="AK194">
        <v>25</v>
      </c>
      <c r="AL194" t="s">
        <v>3454</v>
      </c>
      <c r="AM194" t="s">
        <v>3455</v>
      </c>
      <c r="AN194" t="s">
        <v>3456</v>
      </c>
      <c r="AO194" t="s">
        <v>3457</v>
      </c>
      <c r="AP194" t="s">
        <v>3458</v>
      </c>
      <c r="AQ194" t="s">
        <v>74</v>
      </c>
      <c r="AR194" t="s">
        <v>3459</v>
      </c>
      <c r="AS194" t="s">
        <v>3460</v>
      </c>
      <c r="AT194" t="s">
        <v>3953</v>
      </c>
      <c r="AU194">
        <v>2017</v>
      </c>
      <c r="AV194">
        <v>571</v>
      </c>
      <c r="AW194" t="s">
        <v>74</v>
      </c>
      <c r="AX194" t="s">
        <v>74</v>
      </c>
      <c r="AY194" t="s">
        <v>74</v>
      </c>
      <c r="AZ194" t="s">
        <v>74</v>
      </c>
      <c r="BA194" t="s">
        <v>74</v>
      </c>
      <c r="BB194">
        <v>233</v>
      </c>
      <c r="BC194">
        <v>243</v>
      </c>
      <c r="BD194" t="s">
        <v>74</v>
      </c>
      <c r="BE194" t="s">
        <v>3970</v>
      </c>
      <c r="BF194" t="str">
        <f>HYPERLINK("http://dx.doi.org/10.3354/meps12145","http://dx.doi.org/10.3354/meps12145")</f>
        <v>http://dx.doi.org/10.3354/meps12145</v>
      </c>
      <c r="BG194" t="s">
        <v>74</v>
      </c>
      <c r="BH194" t="s">
        <v>74</v>
      </c>
      <c r="BI194">
        <v>11</v>
      </c>
      <c r="BJ194" t="s">
        <v>3463</v>
      </c>
      <c r="BK194" t="s">
        <v>103</v>
      </c>
      <c r="BL194" t="s">
        <v>3464</v>
      </c>
      <c r="BM194" t="s">
        <v>3971</v>
      </c>
      <c r="BN194" t="s">
        <v>74</v>
      </c>
      <c r="BO194" t="s">
        <v>74</v>
      </c>
      <c r="BP194" t="s">
        <v>74</v>
      </c>
      <c r="BQ194" t="s">
        <v>74</v>
      </c>
      <c r="BR194" t="s">
        <v>106</v>
      </c>
      <c r="BS194" t="s">
        <v>3972</v>
      </c>
      <c r="BT194" t="str">
        <f>HYPERLINK("https%3A%2F%2Fwww.webofscience.com%2Fwos%2Fwoscc%2Ffull-record%2FWOS:000401800100018","View Full Record in Web of Science")</f>
        <v>View Full Record in Web of Science</v>
      </c>
    </row>
    <row r="195" spans="1:72" x14ac:dyDescent="0.15">
      <c r="A195" t="s">
        <v>72</v>
      </c>
      <c r="B195" t="s">
        <v>3973</v>
      </c>
      <c r="C195" t="s">
        <v>74</v>
      </c>
      <c r="D195" t="s">
        <v>74</v>
      </c>
      <c r="E195" t="s">
        <v>74</v>
      </c>
      <c r="F195" t="s">
        <v>3974</v>
      </c>
      <c r="G195" t="s">
        <v>74</v>
      </c>
      <c r="H195" t="s">
        <v>74</v>
      </c>
      <c r="I195" t="s">
        <v>3975</v>
      </c>
      <c r="J195" t="s">
        <v>3827</v>
      </c>
      <c r="K195" t="s">
        <v>74</v>
      </c>
      <c r="L195" t="s">
        <v>74</v>
      </c>
      <c r="M195" t="s">
        <v>78</v>
      </c>
      <c r="N195" t="s">
        <v>79</v>
      </c>
      <c r="O195" t="s">
        <v>74</v>
      </c>
      <c r="P195" t="s">
        <v>74</v>
      </c>
      <c r="Q195" t="s">
        <v>74</v>
      </c>
      <c r="R195" t="s">
        <v>74</v>
      </c>
      <c r="S195" t="s">
        <v>74</v>
      </c>
      <c r="T195" t="s">
        <v>74</v>
      </c>
      <c r="U195" t="s">
        <v>3976</v>
      </c>
      <c r="V195" t="s">
        <v>3977</v>
      </c>
      <c r="W195" t="s">
        <v>3978</v>
      </c>
      <c r="X195" t="s">
        <v>3979</v>
      </c>
      <c r="Y195" t="s">
        <v>3980</v>
      </c>
      <c r="Z195" t="s">
        <v>3981</v>
      </c>
      <c r="AA195" t="s">
        <v>3982</v>
      </c>
      <c r="AB195" t="s">
        <v>3983</v>
      </c>
      <c r="AC195" t="s">
        <v>3984</v>
      </c>
      <c r="AD195" t="s">
        <v>3985</v>
      </c>
      <c r="AE195" t="s">
        <v>3986</v>
      </c>
      <c r="AF195" t="s">
        <v>74</v>
      </c>
      <c r="AG195">
        <v>41</v>
      </c>
      <c r="AH195">
        <v>2</v>
      </c>
      <c r="AI195">
        <v>2</v>
      </c>
      <c r="AJ195">
        <v>0</v>
      </c>
      <c r="AK195">
        <v>11</v>
      </c>
      <c r="AL195" t="s">
        <v>3534</v>
      </c>
      <c r="AM195" t="s">
        <v>3535</v>
      </c>
      <c r="AN195" t="s">
        <v>3536</v>
      </c>
      <c r="AO195" t="s">
        <v>3839</v>
      </c>
      <c r="AP195" t="s">
        <v>3840</v>
      </c>
      <c r="AQ195" t="s">
        <v>74</v>
      </c>
      <c r="AR195" t="s">
        <v>3827</v>
      </c>
      <c r="AS195" t="s">
        <v>3841</v>
      </c>
      <c r="AT195" t="s">
        <v>3953</v>
      </c>
      <c r="AU195">
        <v>2017</v>
      </c>
      <c r="AV195">
        <v>11</v>
      </c>
      <c r="AW195">
        <v>3</v>
      </c>
      <c r="AX195" t="s">
        <v>74</v>
      </c>
      <c r="AY195" t="s">
        <v>74</v>
      </c>
      <c r="AZ195" t="s">
        <v>74</v>
      </c>
      <c r="BA195" t="s">
        <v>74</v>
      </c>
      <c r="BB195">
        <v>1235</v>
      </c>
      <c r="BC195">
        <v>1245</v>
      </c>
      <c r="BD195" t="s">
        <v>74</v>
      </c>
      <c r="BE195" t="s">
        <v>3987</v>
      </c>
      <c r="BF195" t="str">
        <f>HYPERLINK("http://dx.doi.org/10.5194/tc-11-1235-2017","http://dx.doi.org/10.5194/tc-11-1235-2017")</f>
        <v>http://dx.doi.org/10.5194/tc-11-1235-2017</v>
      </c>
      <c r="BG195" t="s">
        <v>74</v>
      </c>
      <c r="BH195" t="s">
        <v>74</v>
      </c>
      <c r="BI195">
        <v>11</v>
      </c>
      <c r="BJ195" t="s">
        <v>1338</v>
      </c>
      <c r="BK195" t="s">
        <v>103</v>
      </c>
      <c r="BL195" t="s">
        <v>1339</v>
      </c>
      <c r="BM195" t="s">
        <v>3988</v>
      </c>
      <c r="BN195" t="s">
        <v>74</v>
      </c>
      <c r="BO195" t="s">
        <v>205</v>
      </c>
      <c r="BP195" t="s">
        <v>74</v>
      </c>
      <c r="BQ195" t="s">
        <v>74</v>
      </c>
      <c r="BR195" t="s">
        <v>106</v>
      </c>
      <c r="BS195" t="s">
        <v>3989</v>
      </c>
      <c r="BT195" t="str">
        <f>HYPERLINK("https%3A%2F%2Fwww.webofscience.com%2Fwos%2Fwoscc%2Ffull-record%2FWOS:000401486300001","View Full Record in Web of Science")</f>
        <v>View Full Record in Web of Science</v>
      </c>
    </row>
    <row r="196" spans="1:72" x14ac:dyDescent="0.15">
      <c r="A196" t="s">
        <v>72</v>
      </c>
      <c r="B196" t="s">
        <v>3990</v>
      </c>
      <c r="C196" t="s">
        <v>74</v>
      </c>
      <c r="D196" t="s">
        <v>74</v>
      </c>
      <c r="E196" t="s">
        <v>74</v>
      </c>
      <c r="F196" t="s">
        <v>3991</v>
      </c>
      <c r="G196" t="s">
        <v>74</v>
      </c>
      <c r="H196" t="s">
        <v>74</v>
      </c>
      <c r="I196" t="s">
        <v>3992</v>
      </c>
      <c r="J196" t="s">
        <v>3661</v>
      </c>
      <c r="K196" t="s">
        <v>74</v>
      </c>
      <c r="L196" t="s">
        <v>74</v>
      </c>
      <c r="M196" t="s">
        <v>78</v>
      </c>
      <c r="N196" t="s">
        <v>79</v>
      </c>
      <c r="O196" t="s">
        <v>74</v>
      </c>
      <c r="P196" t="s">
        <v>74</v>
      </c>
      <c r="Q196" t="s">
        <v>74</v>
      </c>
      <c r="R196" t="s">
        <v>74</v>
      </c>
      <c r="S196" t="s">
        <v>74</v>
      </c>
      <c r="T196" t="s">
        <v>74</v>
      </c>
      <c r="U196" t="s">
        <v>3993</v>
      </c>
      <c r="V196" t="s">
        <v>3994</v>
      </c>
      <c r="W196" t="s">
        <v>3995</v>
      </c>
      <c r="X196" t="s">
        <v>3996</v>
      </c>
      <c r="Y196" t="s">
        <v>3997</v>
      </c>
      <c r="Z196" t="s">
        <v>3998</v>
      </c>
      <c r="AA196" t="s">
        <v>3999</v>
      </c>
      <c r="AB196" t="s">
        <v>4000</v>
      </c>
      <c r="AC196" t="s">
        <v>4001</v>
      </c>
      <c r="AD196" t="s">
        <v>4001</v>
      </c>
      <c r="AE196" t="s">
        <v>4002</v>
      </c>
      <c r="AF196" t="s">
        <v>74</v>
      </c>
      <c r="AG196">
        <v>31</v>
      </c>
      <c r="AH196">
        <v>9</v>
      </c>
      <c r="AI196">
        <v>9</v>
      </c>
      <c r="AJ196">
        <v>1</v>
      </c>
      <c r="AK196">
        <v>7</v>
      </c>
      <c r="AL196" t="s">
        <v>3671</v>
      </c>
      <c r="AM196" t="s">
        <v>3672</v>
      </c>
      <c r="AN196" t="s">
        <v>3673</v>
      </c>
      <c r="AO196" t="s">
        <v>3674</v>
      </c>
      <c r="AP196" t="s">
        <v>74</v>
      </c>
      <c r="AQ196" t="s">
        <v>74</v>
      </c>
      <c r="AR196" t="s">
        <v>3675</v>
      </c>
      <c r="AS196" t="s">
        <v>3676</v>
      </c>
      <c r="AT196" t="s">
        <v>3953</v>
      </c>
      <c r="AU196">
        <v>2017</v>
      </c>
      <c r="AV196">
        <v>7</v>
      </c>
      <c r="AW196" t="s">
        <v>74</v>
      </c>
      <c r="AX196" t="s">
        <v>74</v>
      </c>
      <c r="AY196" t="s">
        <v>74</v>
      </c>
      <c r="AZ196" t="s">
        <v>74</v>
      </c>
      <c r="BA196" t="s">
        <v>74</v>
      </c>
      <c r="BB196" t="s">
        <v>74</v>
      </c>
      <c r="BC196" t="s">
        <v>74</v>
      </c>
      <c r="BD196">
        <v>1998</v>
      </c>
      <c r="BE196" t="s">
        <v>4003</v>
      </c>
      <c r="BF196" t="str">
        <f>HYPERLINK("http://dx.doi.org/10.1038/s41598-017-01878-y","http://dx.doi.org/10.1038/s41598-017-01878-y")</f>
        <v>http://dx.doi.org/10.1038/s41598-017-01878-y</v>
      </c>
      <c r="BG196" t="s">
        <v>74</v>
      </c>
      <c r="BH196" t="s">
        <v>74</v>
      </c>
      <c r="BI196">
        <v>9</v>
      </c>
      <c r="BJ196" t="s">
        <v>1617</v>
      </c>
      <c r="BK196" t="s">
        <v>103</v>
      </c>
      <c r="BL196" t="s">
        <v>1618</v>
      </c>
      <c r="BM196" t="s">
        <v>4004</v>
      </c>
      <c r="BN196">
        <v>28515469</v>
      </c>
      <c r="BO196" t="s">
        <v>1224</v>
      </c>
      <c r="BP196" t="s">
        <v>74</v>
      </c>
      <c r="BQ196" t="s">
        <v>74</v>
      </c>
      <c r="BR196" t="s">
        <v>106</v>
      </c>
      <c r="BS196" t="s">
        <v>4005</v>
      </c>
      <c r="BT196" t="str">
        <f>HYPERLINK("https%3A%2F%2Fwww.webofscience.com%2Fwos%2Fwoscc%2Ffull-record%2FWOS:000401511100005","View Full Record in Web of Science")</f>
        <v>View Full Record in Web of Science</v>
      </c>
    </row>
    <row r="197" spans="1:72" x14ac:dyDescent="0.15">
      <c r="A197" t="s">
        <v>72</v>
      </c>
      <c r="B197" t="s">
        <v>4006</v>
      </c>
      <c r="C197" t="s">
        <v>74</v>
      </c>
      <c r="D197" t="s">
        <v>74</v>
      </c>
      <c r="E197" t="s">
        <v>74</v>
      </c>
      <c r="F197" t="s">
        <v>4007</v>
      </c>
      <c r="G197" t="s">
        <v>74</v>
      </c>
      <c r="H197" t="s">
        <v>74</v>
      </c>
      <c r="I197" t="s">
        <v>4008</v>
      </c>
      <c r="J197" t="s">
        <v>3684</v>
      </c>
      <c r="K197" t="s">
        <v>74</v>
      </c>
      <c r="L197" t="s">
        <v>74</v>
      </c>
      <c r="M197" t="s">
        <v>78</v>
      </c>
      <c r="N197" t="s">
        <v>79</v>
      </c>
      <c r="O197" t="s">
        <v>74</v>
      </c>
      <c r="P197" t="s">
        <v>74</v>
      </c>
      <c r="Q197" t="s">
        <v>74</v>
      </c>
      <c r="R197" t="s">
        <v>74</v>
      </c>
      <c r="S197" t="s">
        <v>74</v>
      </c>
      <c r="T197" t="s">
        <v>4009</v>
      </c>
      <c r="U197" t="s">
        <v>4010</v>
      </c>
      <c r="V197" t="s">
        <v>4011</v>
      </c>
      <c r="W197" t="s">
        <v>4012</v>
      </c>
      <c r="X197" t="s">
        <v>4013</v>
      </c>
      <c r="Y197" t="s">
        <v>4014</v>
      </c>
      <c r="Z197" t="s">
        <v>4015</v>
      </c>
      <c r="AA197" t="s">
        <v>4016</v>
      </c>
      <c r="AB197" t="s">
        <v>4017</v>
      </c>
      <c r="AC197" t="s">
        <v>4018</v>
      </c>
      <c r="AD197" t="s">
        <v>4019</v>
      </c>
      <c r="AE197" t="s">
        <v>4020</v>
      </c>
      <c r="AF197" t="s">
        <v>74</v>
      </c>
      <c r="AG197">
        <v>42</v>
      </c>
      <c r="AH197">
        <v>14</v>
      </c>
      <c r="AI197">
        <v>17</v>
      </c>
      <c r="AJ197">
        <v>0</v>
      </c>
      <c r="AK197">
        <v>25</v>
      </c>
      <c r="AL197" t="s">
        <v>222</v>
      </c>
      <c r="AM197" t="s">
        <v>223</v>
      </c>
      <c r="AN197" t="s">
        <v>224</v>
      </c>
      <c r="AO197" t="s">
        <v>3696</v>
      </c>
      <c r="AP197" t="s">
        <v>3697</v>
      </c>
      <c r="AQ197" t="s">
        <v>74</v>
      </c>
      <c r="AR197" t="s">
        <v>3698</v>
      </c>
      <c r="AS197" t="s">
        <v>3699</v>
      </c>
      <c r="AT197" t="s">
        <v>4021</v>
      </c>
      <c r="AU197">
        <v>2017</v>
      </c>
      <c r="AV197">
        <v>44</v>
      </c>
      <c r="AW197">
        <v>9</v>
      </c>
      <c r="AX197" t="s">
        <v>74</v>
      </c>
      <c r="AY197" t="s">
        <v>74</v>
      </c>
      <c r="AZ197" t="s">
        <v>74</v>
      </c>
      <c r="BA197" t="s">
        <v>74</v>
      </c>
      <c r="BB197">
        <v>4176</v>
      </c>
      <c r="BC197">
        <v>4185</v>
      </c>
      <c r="BD197" t="s">
        <v>74</v>
      </c>
      <c r="BE197" t="s">
        <v>4022</v>
      </c>
      <c r="BF197" t="str">
        <f>HYPERLINK("http://dx.doi.org/10.1002/2016GL072408","http://dx.doi.org/10.1002/2016GL072408")</f>
        <v>http://dx.doi.org/10.1002/2016GL072408</v>
      </c>
      <c r="BG197" t="s">
        <v>74</v>
      </c>
      <c r="BH197" t="s">
        <v>74</v>
      </c>
      <c r="BI197">
        <v>10</v>
      </c>
      <c r="BJ197" t="s">
        <v>437</v>
      </c>
      <c r="BK197" t="s">
        <v>103</v>
      </c>
      <c r="BL197" t="s">
        <v>438</v>
      </c>
      <c r="BM197" t="s">
        <v>4023</v>
      </c>
      <c r="BN197" t="s">
        <v>74</v>
      </c>
      <c r="BO197" t="s">
        <v>412</v>
      </c>
      <c r="BP197" t="s">
        <v>74</v>
      </c>
      <c r="BQ197" t="s">
        <v>74</v>
      </c>
      <c r="BR197" t="s">
        <v>106</v>
      </c>
      <c r="BS197" t="s">
        <v>4024</v>
      </c>
      <c r="BT197" t="str">
        <f>HYPERLINK("https%3A%2F%2Fwww.webofscience.com%2Fwos%2Fwoscc%2Ffull-record%2FWOS:000402143700026","View Full Record in Web of Science")</f>
        <v>View Full Record in Web of Science</v>
      </c>
    </row>
    <row r="198" spans="1:72" x14ac:dyDescent="0.15">
      <c r="A198" t="s">
        <v>72</v>
      </c>
      <c r="B198" t="s">
        <v>4025</v>
      </c>
      <c r="C198" t="s">
        <v>74</v>
      </c>
      <c r="D198" t="s">
        <v>74</v>
      </c>
      <c r="E198" t="s">
        <v>74</v>
      </c>
      <c r="F198" t="s">
        <v>4026</v>
      </c>
      <c r="G198" t="s">
        <v>74</v>
      </c>
      <c r="H198" t="s">
        <v>74</v>
      </c>
      <c r="I198" t="s">
        <v>4027</v>
      </c>
      <c r="J198" t="s">
        <v>3684</v>
      </c>
      <c r="K198" t="s">
        <v>74</v>
      </c>
      <c r="L198" t="s">
        <v>74</v>
      </c>
      <c r="M198" t="s">
        <v>78</v>
      </c>
      <c r="N198" t="s">
        <v>79</v>
      </c>
      <c r="O198" t="s">
        <v>74</v>
      </c>
      <c r="P198" t="s">
        <v>74</v>
      </c>
      <c r="Q198" t="s">
        <v>74</v>
      </c>
      <c r="R198" t="s">
        <v>74</v>
      </c>
      <c r="S198" t="s">
        <v>74</v>
      </c>
      <c r="T198" t="s">
        <v>4028</v>
      </c>
      <c r="U198" t="s">
        <v>4029</v>
      </c>
      <c r="V198" t="s">
        <v>4030</v>
      </c>
      <c r="W198" t="s">
        <v>4031</v>
      </c>
      <c r="X198" t="s">
        <v>4032</v>
      </c>
      <c r="Y198" t="s">
        <v>4033</v>
      </c>
      <c r="Z198" t="s">
        <v>4034</v>
      </c>
      <c r="AA198" t="s">
        <v>74</v>
      </c>
      <c r="AB198" t="s">
        <v>4035</v>
      </c>
      <c r="AC198" t="s">
        <v>4036</v>
      </c>
      <c r="AD198" t="s">
        <v>4037</v>
      </c>
      <c r="AE198" t="s">
        <v>4038</v>
      </c>
      <c r="AF198" t="s">
        <v>74</v>
      </c>
      <c r="AG198">
        <v>47</v>
      </c>
      <c r="AH198">
        <v>35</v>
      </c>
      <c r="AI198">
        <v>42</v>
      </c>
      <c r="AJ198">
        <v>1</v>
      </c>
      <c r="AK198">
        <v>38</v>
      </c>
      <c r="AL198" t="s">
        <v>222</v>
      </c>
      <c r="AM198" t="s">
        <v>223</v>
      </c>
      <c r="AN198" t="s">
        <v>224</v>
      </c>
      <c r="AO198" t="s">
        <v>3696</v>
      </c>
      <c r="AP198" t="s">
        <v>3697</v>
      </c>
      <c r="AQ198" t="s">
        <v>74</v>
      </c>
      <c r="AR198" t="s">
        <v>3698</v>
      </c>
      <c r="AS198" t="s">
        <v>3699</v>
      </c>
      <c r="AT198" t="s">
        <v>4021</v>
      </c>
      <c r="AU198">
        <v>2017</v>
      </c>
      <c r="AV198">
        <v>44</v>
      </c>
      <c r="AW198">
        <v>9</v>
      </c>
      <c r="AX198" t="s">
        <v>74</v>
      </c>
      <c r="AY198" t="s">
        <v>74</v>
      </c>
      <c r="AZ198" t="s">
        <v>74</v>
      </c>
      <c r="BA198" t="s">
        <v>74</v>
      </c>
      <c r="BB198">
        <v>4186</v>
      </c>
      <c r="BC198">
        <v>4194</v>
      </c>
      <c r="BD198" t="s">
        <v>74</v>
      </c>
      <c r="BE198" t="s">
        <v>4039</v>
      </c>
      <c r="BF198" t="str">
        <f>HYPERLINK("http://dx.doi.org/10.1002/2017GL072648","http://dx.doi.org/10.1002/2017GL072648")</f>
        <v>http://dx.doi.org/10.1002/2017GL072648</v>
      </c>
      <c r="BG198" t="s">
        <v>74</v>
      </c>
      <c r="BH198" t="s">
        <v>74</v>
      </c>
      <c r="BI198">
        <v>9</v>
      </c>
      <c r="BJ198" t="s">
        <v>437</v>
      </c>
      <c r="BK198" t="s">
        <v>103</v>
      </c>
      <c r="BL198" t="s">
        <v>438</v>
      </c>
      <c r="BM198" t="s">
        <v>4023</v>
      </c>
      <c r="BN198" t="s">
        <v>74</v>
      </c>
      <c r="BO198" t="s">
        <v>412</v>
      </c>
      <c r="BP198" t="s">
        <v>74</v>
      </c>
      <c r="BQ198" t="s">
        <v>74</v>
      </c>
      <c r="BR198" t="s">
        <v>106</v>
      </c>
      <c r="BS198" t="s">
        <v>4040</v>
      </c>
      <c r="BT198" t="str">
        <f>HYPERLINK("https%3A%2F%2Fwww.webofscience.com%2Fwos%2Fwoscc%2Ffull-record%2FWOS:000402143700027","View Full Record in Web of Science")</f>
        <v>View Full Record in Web of Science</v>
      </c>
    </row>
    <row r="199" spans="1:72" x14ac:dyDescent="0.15">
      <c r="A199" t="s">
        <v>72</v>
      </c>
      <c r="B199" t="s">
        <v>4041</v>
      </c>
      <c r="C199" t="s">
        <v>74</v>
      </c>
      <c r="D199" t="s">
        <v>74</v>
      </c>
      <c r="E199" t="s">
        <v>74</v>
      </c>
      <c r="F199" t="s">
        <v>4042</v>
      </c>
      <c r="G199" t="s">
        <v>74</v>
      </c>
      <c r="H199" t="s">
        <v>74</v>
      </c>
      <c r="I199" t="s">
        <v>4043</v>
      </c>
      <c r="J199" t="s">
        <v>4044</v>
      </c>
      <c r="K199" t="s">
        <v>74</v>
      </c>
      <c r="L199" t="s">
        <v>74</v>
      </c>
      <c r="M199" t="s">
        <v>78</v>
      </c>
      <c r="N199" t="s">
        <v>79</v>
      </c>
      <c r="O199" t="s">
        <v>74</v>
      </c>
      <c r="P199" t="s">
        <v>74</v>
      </c>
      <c r="Q199" t="s">
        <v>74</v>
      </c>
      <c r="R199" t="s">
        <v>74</v>
      </c>
      <c r="S199" t="s">
        <v>74</v>
      </c>
      <c r="T199" t="s">
        <v>4045</v>
      </c>
      <c r="U199" t="s">
        <v>4046</v>
      </c>
      <c r="V199" t="s">
        <v>4047</v>
      </c>
      <c r="W199" t="s">
        <v>4048</v>
      </c>
      <c r="X199" t="s">
        <v>4049</v>
      </c>
      <c r="Y199" t="s">
        <v>4050</v>
      </c>
      <c r="Z199" t="s">
        <v>4051</v>
      </c>
      <c r="AA199" t="s">
        <v>74</v>
      </c>
      <c r="AB199" t="s">
        <v>74</v>
      </c>
      <c r="AC199" t="s">
        <v>74</v>
      </c>
      <c r="AD199" t="s">
        <v>74</v>
      </c>
      <c r="AE199" t="s">
        <v>74</v>
      </c>
      <c r="AF199" t="s">
        <v>74</v>
      </c>
      <c r="AG199">
        <v>20</v>
      </c>
      <c r="AH199">
        <v>4</v>
      </c>
      <c r="AI199">
        <v>4</v>
      </c>
      <c r="AJ199">
        <v>0</v>
      </c>
      <c r="AK199">
        <v>5</v>
      </c>
      <c r="AL199" t="s">
        <v>4052</v>
      </c>
      <c r="AM199" t="s">
        <v>4053</v>
      </c>
      <c r="AN199" t="s">
        <v>4054</v>
      </c>
      <c r="AO199" t="s">
        <v>4055</v>
      </c>
      <c r="AP199" t="s">
        <v>4056</v>
      </c>
      <c r="AQ199" t="s">
        <v>74</v>
      </c>
      <c r="AR199" t="s">
        <v>4044</v>
      </c>
      <c r="AS199" t="s">
        <v>4057</v>
      </c>
      <c r="AT199" t="s">
        <v>4021</v>
      </c>
      <c r="AU199">
        <v>2017</v>
      </c>
      <c r="AV199">
        <v>306</v>
      </c>
      <c r="AW199">
        <v>4</v>
      </c>
      <c r="AX199" t="s">
        <v>74</v>
      </c>
      <c r="AY199" t="s">
        <v>74</v>
      </c>
      <c r="AZ199" t="s">
        <v>74</v>
      </c>
      <c r="BA199" t="s">
        <v>74</v>
      </c>
      <c r="BB199">
        <v>281</v>
      </c>
      <c r="BC199">
        <v>286</v>
      </c>
      <c r="BD199" t="s">
        <v>74</v>
      </c>
      <c r="BE199" t="s">
        <v>4058</v>
      </c>
      <c r="BF199" t="str">
        <f>HYPERLINK("http://dx.doi.org/10.11646/phytotaxa.306.4.4","http://dx.doi.org/10.11646/phytotaxa.306.4.4")</f>
        <v>http://dx.doi.org/10.11646/phytotaxa.306.4.4</v>
      </c>
      <c r="BG199" t="s">
        <v>74</v>
      </c>
      <c r="BH199" t="s">
        <v>74</v>
      </c>
      <c r="BI199">
        <v>6</v>
      </c>
      <c r="BJ199" t="s">
        <v>102</v>
      </c>
      <c r="BK199" t="s">
        <v>103</v>
      </c>
      <c r="BL199" t="s">
        <v>102</v>
      </c>
      <c r="BM199" t="s">
        <v>4059</v>
      </c>
      <c r="BN199" t="s">
        <v>74</v>
      </c>
      <c r="BO199" t="s">
        <v>74</v>
      </c>
      <c r="BP199" t="s">
        <v>74</v>
      </c>
      <c r="BQ199" t="s">
        <v>74</v>
      </c>
      <c r="BR199" t="s">
        <v>106</v>
      </c>
      <c r="BS199" t="s">
        <v>4060</v>
      </c>
      <c r="BT199" t="str">
        <f>HYPERLINK("https%3A%2F%2Fwww.webofscience.com%2Fwos%2Fwoscc%2Ffull-record%2FWOS:000401950200004","View Full Record in Web of Science")</f>
        <v>View Full Record in Web of Science</v>
      </c>
    </row>
    <row r="200" spans="1:72" x14ac:dyDescent="0.15">
      <c r="A200" t="s">
        <v>72</v>
      </c>
      <c r="B200" t="s">
        <v>4061</v>
      </c>
      <c r="C200" t="s">
        <v>74</v>
      </c>
      <c r="D200" t="s">
        <v>74</v>
      </c>
      <c r="E200" t="s">
        <v>74</v>
      </c>
      <c r="F200" t="s">
        <v>4062</v>
      </c>
      <c r="G200" t="s">
        <v>74</v>
      </c>
      <c r="H200" t="s">
        <v>74</v>
      </c>
      <c r="I200" t="s">
        <v>4063</v>
      </c>
      <c r="J200" t="s">
        <v>4064</v>
      </c>
      <c r="K200" t="s">
        <v>74</v>
      </c>
      <c r="L200" t="s">
        <v>74</v>
      </c>
      <c r="M200" t="s">
        <v>78</v>
      </c>
      <c r="N200" t="s">
        <v>79</v>
      </c>
      <c r="O200" t="s">
        <v>74</v>
      </c>
      <c r="P200" t="s">
        <v>74</v>
      </c>
      <c r="Q200" t="s">
        <v>74</v>
      </c>
      <c r="R200" t="s">
        <v>74</v>
      </c>
      <c r="S200" t="s">
        <v>74</v>
      </c>
      <c r="T200" t="s">
        <v>4065</v>
      </c>
      <c r="U200" t="s">
        <v>4066</v>
      </c>
      <c r="V200" t="s">
        <v>4067</v>
      </c>
      <c r="W200" t="s">
        <v>4068</v>
      </c>
      <c r="X200" t="s">
        <v>4069</v>
      </c>
      <c r="Y200" t="s">
        <v>4070</v>
      </c>
      <c r="Z200" t="s">
        <v>4071</v>
      </c>
      <c r="AA200" t="s">
        <v>4072</v>
      </c>
      <c r="AB200" t="s">
        <v>4073</v>
      </c>
      <c r="AC200" t="s">
        <v>4074</v>
      </c>
      <c r="AD200" t="s">
        <v>4075</v>
      </c>
      <c r="AE200" t="s">
        <v>4076</v>
      </c>
      <c r="AF200" t="s">
        <v>74</v>
      </c>
      <c r="AG200">
        <v>61</v>
      </c>
      <c r="AH200">
        <v>48</v>
      </c>
      <c r="AI200">
        <v>50</v>
      </c>
      <c r="AJ200">
        <v>4</v>
      </c>
      <c r="AK200">
        <v>55</v>
      </c>
      <c r="AL200" t="s">
        <v>3510</v>
      </c>
      <c r="AM200" t="s">
        <v>3511</v>
      </c>
      <c r="AN200" t="s">
        <v>3512</v>
      </c>
      <c r="AO200" t="s">
        <v>74</v>
      </c>
      <c r="AP200" t="s">
        <v>4077</v>
      </c>
      <c r="AQ200" t="s">
        <v>74</v>
      </c>
      <c r="AR200" t="s">
        <v>4078</v>
      </c>
      <c r="AS200" t="s">
        <v>4079</v>
      </c>
      <c r="AT200" t="s">
        <v>4021</v>
      </c>
      <c r="AU200">
        <v>2017</v>
      </c>
      <c r="AV200">
        <v>8</v>
      </c>
      <c r="AW200" t="s">
        <v>74</v>
      </c>
      <c r="AX200" t="s">
        <v>74</v>
      </c>
      <c r="AY200" t="s">
        <v>74</v>
      </c>
      <c r="AZ200" t="s">
        <v>74</v>
      </c>
      <c r="BA200" t="s">
        <v>74</v>
      </c>
      <c r="BB200" t="s">
        <v>74</v>
      </c>
      <c r="BC200" t="s">
        <v>74</v>
      </c>
      <c r="BD200">
        <v>867</v>
      </c>
      <c r="BE200" t="s">
        <v>4080</v>
      </c>
      <c r="BF200" t="str">
        <f>HYPERLINK("http://dx.doi.org/10.3389/fmicb.2017.00867","http://dx.doi.org/10.3389/fmicb.2017.00867")</f>
        <v>http://dx.doi.org/10.3389/fmicb.2017.00867</v>
      </c>
      <c r="BG200" t="s">
        <v>74</v>
      </c>
      <c r="BH200" t="s">
        <v>74</v>
      </c>
      <c r="BI200">
        <v>13</v>
      </c>
      <c r="BJ200" t="s">
        <v>410</v>
      </c>
      <c r="BK200" t="s">
        <v>103</v>
      </c>
      <c r="BL200" t="s">
        <v>410</v>
      </c>
      <c r="BM200" t="s">
        <v>4081</v>
      </c>
      <c r="BN200">
        <v>28559886</v>
      </c>
      <c r="BO200" t="s">
        <v>2009</v>
      </c>
      <c r="BP200" t="s">
        <v>74</v>
      </c>
      <c r="BQ200" t="s">
        <v>74</v>
      </c>
      <c r="BR200" t="s">
        <v>106</v>
      </c>
      <c r="BS200" t="s">
        <v>4082</v>
      </c>
      <c r="BT200" t="str">
        <f>HYPERLINK("https%3A%2F%2Fwww.webofscience.com%2Fwos%2Fwoscc%2Ffull-record%2FWOS:000401575300001","View Full Record in Web of Science")</f>
        <v>View Full Record in Web of Science</v>
      </c>
    </row>
    <row r="201" spans="1:72" x14ac:dyDescent="0.15">
      <c r="A201" t="s">
        <v>72</v>
      </c>
      <c r="B201" t="s">
        <v>4083</v>
      </c>
      <c r="C201" t="s">
        <v>74</v>
      </c>
      <c r="D201" t="s">
        <v>74</v>
      </c>
      <c r="E201" t="s">
        <v>74</v>
      </c>
      <c r="F201" t="s">
        <v>4084</v>
      </c>
      <c r="G201" t="s">
        <v>74</v>
      </c>
      <c r="H201" t="s">
        <v>74</v>
      </c>
      <c r="I201" t="s">
        <v>4085</v>
      </c>
      <c r="J201" t="s">
        <v>3684</v>
      </c>
      <c r="K201" t="s">
        <v>74</v>
      </c>
      <c r="L201" t="s">
        <v>74</v>
      </c>
      <c r="M201" t="s">
        <v>78</v>
      </c>
      <c r="N201" t="s">
        <v>79</v>
      </c>
      <c r="O201" t="s">
        <v>74</v>
      </c>
      <c r="P201" t="s">
        <v>74</v>
      </c>
      <c r="Q201" t="s">
        <v>74</v>
      </c>
      <c r="R201" t="s">
        <v>74</v>
      </c>
      <c r="S201" t="s">
        <v>74</v>
      </c>
      <c r="T201" t="s">
        <v>4086</v>
      </c>
      <c r="U201" t="s">
        <v>4087</v>
      </c>
      <c r="V201" t="s">
        <v>4088</v>
      </c>
      <c r="W201" t="s">
        <v>4089</v>
      </c>
      <c r="X201" t="s">
        <v>4090</v>
      </c>
      <c r="Y201" t="s">
        <v>4091</v>
      </c>
      <c r="Z201" t="s">
        <v>4092</v>
      </c>
      <c r="AA201" t="s">
        <v>4093</v>
      </c>
      <c r="AB201" t="s">
        <v>4094</v>
      </c>
      <c r="AC201" t="s">
        <v>4095</v>
      </c>
      <c r="AD201" t="s">
        <v>4096</v>
      </c>
      <c r="AE201" t="s">
        <v>4097</v>
      </c>
      <c r="AF201" t="s">
        <v>74</v>
      </c>
      <c r="AG201">
        <v>57</v>
      </c>
      <c r="AH201">
        <v>44</v>
      </c>
      <c r="AI201">
        <v>50</v>
      </c>
      <c r="AJ201">
        <v>1</v>
      </c>
      <c r="AK201">
        <v>26</v>
      </c>
      <c r="AL201" t="s">
        <v>222</v>
      </c>
      <c r="AM201" t="s">
        <v>223</v>
      </c>
      <c r="AN201" t="s">
        <v>224</v>
      </c>
      <c r="AO201" t="s">
        <v>3696</v>
      </c>
      <c r="AP201" t="s">
        <v>3697</v>
      </c>
      <c r="AQ201" t="s">
        <v>74</v>
      </c>
      <c r="AR201" t="s">
        <v>3698</v>
      </c>
      <c r="AS201" t="s">
        <v>3699</v>
      </c>
      <c r="AT201" t="s">
        <v>4021</v>
      </c>
      <c r="AU201">
        <v>2017</v>
      </c>
      <c r="AV201">
        <v>44</v>
      </c>
      <c r="AW201">
        <v>9</v>
      </c>
      <c r="AX201" t="s">
        <v>74</v>
      </c>
      <c r="AY201" t="s">
        <v>74</v>
      </c>
      <c r="AZ201" t="s">
        <v>74</v>
      </c>
      <c r="BA201" t="s">
        <v>74</v>
      </c>
      <c r="BB201">
        <v>4159</v>
      </c>
      <c r="BC201">
        <v>4167</v>
      </c>
      <c r="BD201" t="s">
        <v>74</v>
      </c>
      <c r="BE201" t="s">
        <v>4098</v>
      </c>
      <c r="BF201" t="str">
        <f>HYPERLINK("http://dx.doi.org/10.1002/2016GL072110","http://dx.doi.org/10.1002/2016GL072110")</f>
        <v>http://dx.doi.org/10.1002/2016GL072110</v>
      </c>
      <c r="BG201" t="s">
        <v>74</v>
      </c>
      <c r="BH201" t="s">
        <v>74</v>
      </c>
      <c r="BI201">
        <v>9</v>
      </c>
      <c r="BJ201" t="s">
        <v>437</v>
      </c>
      <c r="BK201" t="s">
        <v>103</v>
      </c>
      <c r="BL201" t="s">
        <v>438</v>
      </c>
      <c r="BM201" t="s">
        <v>4023</v>
      </c>
      <c r="BN201" t="s">
        <v>74</v>
      </c>
      <c r="BO201" t="s">
        <v>995</v>
      </c>
      <c r="BP201" t="s">
        <v>74</v>
      </c>
      <c r="BQ201" t="s">
        <v>74</v>
      </c>
      <c r="BR201" t="s">
        <v>106</v>
      </c>
      <c r="BS201" t="s">
        <v>4099</v>
      </c>
      <c r="BT201" t="str">
        <f>HYPERLINK("https%3A%2F%2Fwww.webofscience.com%2Fwos%2Fwoscc%2Ffull-record%2FWOS:000402143700024","View Full Record in Web of Science")</f>
        <v>View Full Record in Web of Science</v>
      </c>
    </row>
    <row r="202" spans="1:72" x14ac:dyDescent="0.15">
      <c r="A202" t="s">
        <v>72</v>
      </c>
      <c r="B202" t="s">
        <v>4100</v>
      </c>
      <c r="C202" t="s">
        <v>74</v>
      </c>
      <c r="D202" t="s">
        <v>74</v>
      </c>
      <c r="E202" t="s">
        <v>74</v>
      </c>
      <c r="F202" t="s">
        <v>4101</v>
      </c>
      <c r="G202" t="s">
        <v>74</v>
      </c>
      <c r="H202" t="s">
        <v>74</v>
      </c>
      <c r="I202" t="s">
        <v>4102</v>
      </c>
      <c r="J202" t="s">
        <v>4103</v>
      </c>
      <c r="K202" t="s">
        <v>74</v>
      </c>
      <c r="L202" t="s">
        <v>74</v>
      </c>
      <c r="M202" t="s">
        <v>78</v>
      </c>
      <c r="N202" t="s">
        <v>79</v>
      </c>
      <c r="O202" t="s">
        <v>74</v>
      </c>
      <c r="P202" t="s">
        <v>74</v>
      </c>
      <c r="Q202" t="s">
        <v>74</v>
      </c>
      <c r="R202" t="s">
        <v>74</v>
      </c>
      <c r="S202" t="s">
        <v>74</v>
      </c>
      <c r="T202" t="s">
        <v>4104</v>
      </c>
      <c r="U202" t="s">
        <v>4105</v>
      </c>
      <c r="V202" t="s">
        <v>4106</v>
      </c>
      <c r="W202" t="s">
        <v>4107</v>
      </c>
      <c r="X202" t="s">
        <v>4108</v>
      </c>
      <c r="Y202" t="s">
        <v>4109</v>
      </c>
      <c r="Z202" t="s">
        <v>4110</v>
      </c>
      <c r="AA202" t="s">
        <v>4111</v>
      </c>
      <c r="AB202" t="s">
        <v>4112</v>
      </c>
      <c r="AC202" t="s">
        <v>4113</v>
      </c>
      <c r="AD202" t="s">
        <v>4114</v>
      </c>
      <c r="AE202" t="s">
        <v>4115</v>
      </c>
      <c r="AF202" t="s">
        <v>74</v>
      </c>
      <c r="AG202">
        <v>41</v>
      </c>
      <c r="AH202">
        <v>16</v>
      </c>
      <c r="AI202">
        <v>17</v>
      </c>
      <c r="AJ202">
        <v>1</v>
      </c>
      <c r="AK202">
        <v>32</v>
      </c>
      <c r="AL202" t="s">
        <v>656</v>
      </c>
      <c r="AM202" t="s">
        <v>93</v>
      </c>
      <c r="AN202" t="s">
        <v>657</v>
      </c>
      <c r="AO202" t="s">
        <v>4116</v>
      </c>
      <c r="AP202" t="s">
        <v>4117</v>
      </c>
      <c r="AQ202" t="s">
        <v>74</v>
      </c>
      <c r="AR202" t="s">
        <v>4118</v>
      </c>
      <c r="AS202" t="s">
        <v>4119</v>
      </c>
      <c r="AT202" t="s">
        <v>4120</v>
      </c>
      <c r="AU202">
        <v>2017</v>
      </c>
      <c r="AV202">
        <v>118</v>
      </c>
      <c r="AW202" t="s">
        <v>3410</v>
      </c>
      <c r="AX202" t="s">
        <v>74</v>
      </c>
      <c r="AY202" t="s">
        <v>74</v>
      </c>
      <c r="AZ202" t="s">
        <v>74</v>
      </c>
      <c r="BA202" t="s">
        <v>74</v>
      </c>
      <c r="BB202">
        <v>447</v>
      </c>
      <c r="BC202">
        <v>451</v>
      </c>
      <c r="BD202" t="s">
        <v>74</v>
      </c>
      <c r="BE202" t="s">
        <v>4121</v>
      </c>
      <c r="BF202" t="str">
        <f>HYPERLINK("http://dx.doi.org/10.1016/j.marpolbul.2017.03.031","http://dx.doi.org/10.1016/j.marpolbul.2017.03.031")</f>
        <v>http://dx.doi.org/10.1016/j.marpolbul.2017.03.031</v>
      </c>
      <c r="BG202" t="s">
        <v>74</v>
      </c>
      <c r="BH202" t="s">
        <v>74</v>
      </c>
      <c r="BI202">
        <v>5</v>
      </c>
      <c r="BJ202" t="s">
        <v>4122</v>
      </c>
      <c r="BK202" t="s">
        <v>103</v>
      </c>
      <c r="BL202" t="s">
        <v>3277</v>
      </c>
      <c r="BM202" t="s">
        <v>4123</v>
      </c>
      <c r="BN202">
        <v>28325610</v>
      </c>
      <c r="BO202" t="s">
        <v>74</v>
      </c>
      <c r="BP202" t="s">
        <v>74</v>
      </c>
      <c r="BQ202" t="s">
        <v>74</v>
      </c>
      <c r="BR202" t="s">
        <v>106</v>
      </c>
      <c r="BS202" t="s">
        <v>4124</v>
      </c>
      <c r="BT202" t="str">
        <f>HYPERLINK("https%3A%2F%2Fwww.webofscience.com%2Fwos%2Fwoscc%2Ffull-record%2FWOS:000402217300067","View Full Record in Web of Science")</f>
        <v>View Full Record in Web of Science</v>
      </c>
    </row>
    <row r="203" spans="1:72" x14ac:dyDescent="0.15">
      <c r="A203" t="s">
        <v>72</v>
      </c>
      <c r="B203" t="s">
        <v>4125</v>
      </c>
      <c r="C203" t="s">
        <v>74</v>
      </c>
      <c r="D203" t="s">
        <v>74</v>
      </c>
      <c r="E203" t="s">
        <v>74</v>
      </c>
      <c r="F203" t="s">
        <v>4126</v>
      </c>
      <c r="G203" t="s">
        <v>74</v>
      </c>
      <c r="H203" t="s">
        <v>74</v>
      </c>
      <c r="I203" t="s">
        <v>4127</v>
      </c>
      <c r="J203" t="s">
        <v>1322</v>
      </c>
      <c r="K203" t="s">
        <v>74</v>
      </c>
      <c r="L203" t="s">
        <v>74</v>
      </c>
      <c r="M203" t="s">
        <v>78</v>
      </c>
      <c r="N203" t="s">
        <v>79</v>
      </c>
      <c r="O203" t="s">
        <v>74</v>
      </c>
      <c r="P203" t="s">
        <v>74</v>
      </c>
      <c r="Q203" t="s">
        <v>74</v>
      </c>
      <c r="R203" t="s">
        <v>74</v>
      </c>
      <c r="S203" t="s">
        <v>74</v>
      </c>
      <c r="T203" t="s">
        <v>4128</v>
      </c>
      <c r="U203" t="s">
        <v>4129</v>
      </c>
      <c r="V203" t="s">
        <v>4130</v>
      </c>
      <c r="W203" t="s">
        <v>4131</v>
      </c>
      <c r="X203" t="s">
        <v>4132</v>
      </c>
      <c r="Y203" t="s">
        <v>4133</v>
      </c>
      <c r="Z203" t="s">
        <v>4134</v>
      </c>
      <c r="AA203" t="s">
        <v>4135</v>
      </c>
      <c r="AB203" t="s">
        <v>4136</v>
      </c>
      <c r="AC203" t="s">
        <v>4137</v>
      </c>
      <c r="AD203" t="s">
        <v>4138</v>
      </c>
      <c r="AE203" t="s">
        <v>4139</v>
      </c>
      <c r="AF203" t="s">
        <v>74</v>
      </c>
      <c r="AG203">
        <v>146</v>
      </c>
      <c r="AH203">
        <v>17</v>
      </c>
      <c r="AI203">
        <v>20</v>
      </c>
      <c r="AJ203">
        <v>0</v>
      </c>
      <c r="AK203">
        <v>22</v>
      </c>
      <c r="AL203" t="s">
        <v>656</v>
      </c>
      <c r="AM203" t="s">
        <v>93</v>
      </c>
      <c r="AN203" t="s">
        <v>657</v>
      </c>
      <c r="AO203" t="s">
        <v>1334</v>
      </c>
      <c r="AP203" t="s">
        <v>4140</v>
      </c>
      <c r="AQ203" t="s">
        <v>74</v>
      </c>
      <c r="AR203" t="s">
        <v>1335</v>
      </c>
      <c r="AS203" t="s">
        <v>1336</v>
      </c>
      <c r="AT203" t="s">
        <v>4120</v>
      </c>
      <c r="AU203">
        <v>2017</v>
      </c>
      <c r="AV203">
        <v>164</v>
      </c>
      <c r="AW203" t="s">
        <v>74</v>
      </c>
      <c r="AX203" t="s">
        <v>74</v>
      </c>
      <c r="AY203" t="s">
        <v>74</v>
      </c>
      <c r="AZ203" t="s">
        <v>74</v>
      </c>
      <c r="BA203" t="s">
        <v>74</v>
      </c>
      <c r="BB203">
        <v>95</v>
      </c>
      <c r="BC203">
        <v>109</v>
      </c>
      <c r="BD203" t="s">
        <v>74</v>
      </c>
      <c r="BE203" t="s">
        <v>4141</v>
      </c>
      <c r="BF203" t="str">
        <f>HYPERLINK("http://dx.doi.org/10.1016/j.quascirev.2017.03.026","http://dx.doi.org/10.1016/j.quascirev.2017.03.026")</f>
        <v>http://dx.doi.org/10.1016/j.quascirev.2017.03.026</v>
      </c>
      <c r="BG203" t="s">
        <v>74</v>
      </c>
      <c r="BH203" t="s">
        <v>74</v>
      </c>
      <c r="BI203">
        <v>15</v>
      </c>
      <c r="BJ203" t="s">
        <v>1338</v>
      </c>
      <c r="BK203" t="s">
        <v>103</v>
      </c>
      <c r="BL203" t="s">
        <v>1339</v>
      </c>
      <c r="BM203" t="s">
        <v>4142</v>
      </c>
      <c r="BN203" t="s">
        <v>74</v>
      </c>
      <c r="BO203" t="s">
        <v>74</v>
      </c>
      <c r="BP203" t="s">
        <v>74</v>
      </c>
      <c r="BQ203" t="s">
        <v>74</v>
      </c>
      <c r="BR203" t="s">
        <v>106</v>
      </c>
      <c r="BS203" t="s">
        <v>4143</v>
      </c>
      <c r="BT203" t="str">
        <f>HYPERLINK("https%3A%2F%2Fwww.webofscience.com%2Fwos%2Fwoscc%2Ffull-record%2FWOS:000401679500007","View Full Record in Web of Science")</f>
        <v>View Full Record in Web of Science</v>
      </c>
    </row>
    <row r="204" spans="1:72" x14ac:dyDescent="0.15">
      <c r="A204" t="s">
        <v>72</v>
      </c>
      <c r="B204" t="s">
        <v>4144</v>
      </c>
      <c r="C204" t="s">
        <v>74</v>
      </c>
      <c r="D204" t="s">
        <v>74</v>
      </c>
      <c r="E204" t="s">
        <v>74</v>
      </c>
      <c r="F204" t="s">
        <v>4145</v>
      </c>
      <c r="G204" t="s">
        <v>74</v>
      </c>
      <c r="H204" t="s">
        <v>74</v>
      </c>
      <c r="I204" t="s">
        <v>4146</v>
      </c>
      <c r="J204" t="s">
        <v>4147</v>
      </c>
      <c r="K204" t="s">
        <v>74</v>
      </c>
      <c r="L204" t="s">
        <v>74</v>
      </c>
      <c r="M204" t="s">
        <v>78</v>
      </c>
      <c r="N204" t="s">
        <v>79</v>
      </c>
      <c r="O204" t="s">
        <v>74</v>
      </c>
      <c r="P204" t="s">
        <v>74</v>
      </c>
      <c r="Q204" t="s">
        <v>74</v>
      </c>
      <c r="R204" t="s">
        <v>74</v>
      </c>
      <c r="S204" t="s">
        <v>74</v>
      </c>
      <c r="T204" t="s">
        <v>4148</v>
      </c>
      <c r="U204" t="s">
        <v>4149</v>
      </c>
      <c r="V204" t="s">
        <v>4150</v>
      </c>
      <c r="W204" t="s">
        <v>4151</v>
      </c>
      <c r="X204" t="s">
        <v>4152</v>
      </c>
      <c r="Y204" t="s">
        <v>4153</v>
      </c>
      <c r="Z204" t="s">
        <v>4154</v>
      </c>
      <c r="AA204" t="s">
        <v>4155</v>
      </c>
      <c r="AB204" t="s">
        <v>4156</v>
      </c>
      <c r="AC204" t="s">
        <v>4157</v>
      </c>
      <c r="AD204" t="s">
        <v>4158</v>
      </c>
      <c r="AE204" t="s">
        <v>4159</v>
      </c>
      <c r="AF204" t="s">
        <v>74</v>
      </c>
      <c r="AG204">
        <v>53</v>
      </c>
      <c r="AH204">
        <v>25</v>
      </c>
      <c r="AI204">
        <v>26</v>
      </c>
      <c r="AJ204">
        <v>0</v>
      </c>
      <c r="AK204">
        <v>49</v>
      </c>
      <c r="AL204" t="s">
        <v>2779</v>
      </c>
      <c r="AM204" t="s">
        <v>403</v>
      </c>
      <c r="AN204" t="s">
        <v>2780</v>
      </c>
      <c r="AO204" t="s">
        <v>4160</v>
      </c>
      <c r="AP204" t="s">
        <v>4161</v>
      </c>
      <c r="AQ204" t="s">
        <v>74</v>
      </c>
      <c r="AR204" t="s">
        <v>4162</v>
      </c>
      <c r="AS204" t="s">
        <v>4163</v>
      </c>
      <c r="AT204" t="s">
        <v>4120</v>
      </c>
      <c r="AU204">
        <v>2017</v>
      </c>
      <c r="AV204">
        <v>191</v>
      </c>
      <c r="AW204" t="s">
        <v>74</v>
      </c>
      <c r="AX204" t="s">
        <v>74</v>
      </c>
      <c r="AY204" t="s">
        <v>74</v>
      </c>
      <c r="AZ204" t="s">
        <v>74</v>
      </c>
      <c r="BA204" t="s">
        <v>74</v>
      </c>
      <c r="BB204">
        <v>125</v>
      </c>
      <c r="BC204">
        <v>135</v>
      </c>
      <c r="BD204" t="s">
        <v>74</v>
      </c>
      <c r="BE204" t="s">
        <v>4164</v>
      </c>
      <c r="BF204" t="str">
        <f>HYPERLINK("http://dx.doi.org/10.1016/j.ecss.2017.04.021","http://dx.doi.org/10.1016/j.ecss.2017.04.021")</f>
        <v>http://dx.doi.org/10.1016/j.ecss.2017.04.021</v>
      </c>
      <c r="BG204" t="s">
        <v>74</v>
      </c>
      <c r="BH204" t="s">
        <v>74</v>
      </c>
      <c r="BI204">
        <v>11</v>
      </c>
      <c r="BJ204" t="s">
        <v>4165</v>
      </c>
      <c r="BK204" t="s">
        <v>103</v>
      </c>
      <c r="BL204" t="s">
        <v>4165</v>
      </c>
      <c r="BM204" t="s">
        <v>4166</v>
      </c>
      <c r="BN204" t="s">
        <v>74</v>
      </c>
      <c r="BO204" t="s">
        <v>74</v>
      </c>
      <c r="BP204" t="s">
        <v>74</v>
      </c>
      <c r="BQ204" t="s">
        <v>74</v>
      </c>
      <c r="BR204" t="s">
        <v>106</v>
      </c>
      <c r="BS204" t="s">
        <v>4167</v>
      </c>
      <c r="BT204" t="str">
        <f>HYPERLINK("https%3A%2F%2Fwww.webofscience.com%2Fwos%2Fwoscc%2Ffull-record%2FWOS:000402494100013","View Full Record in Web of Science")</f>
        <v>View Full Record in Web of Science</v>
      </c>
    </row>
    <row r="205" spans="1:72" x14ac:dyDescent="0.15">
      <c r="A205" t="s">
        <v>72</v>
      </c>
      <c r="B205" t="s">
        <v>4168</v>
      </c>
      <c r="C205" t="s">
        <v>74</v>
      </c>
      <c r="D205" t="s">
        <v>74</v>
      </c>
      <c r="E205" t="s">
        <v>74</v>
      </c>
      <c r="F205" t="s">
        <v>4169</v>
      </c>
      <c r="G205" t="s">
        <v>74</v>
      </c>
      <c r="H205" t="s">
        <v>74</v>
      </c>
      <c r="I205" t="s">
        <v>4170</v>
      </c>
      <c r="J205" t="s">
        <v>1299</v>
      </c>
      <c r="K205" t="s">
        <v>74</v>
      </c>
      <c r="L205" t="s">
        <v>74</v>
      </c>
      <c r="M205" t="s">
        <v>78</v>
      </c>
      <c r="N205" t="s">
        <v>79</v>
      </c>
      <c r="O205" t="s">
        <v>74</v>
      </c>
      <c r="P205" t="s">
        <v>74</v>
      </c>
      <c r="Q205" t="s">
        <v>74</v>
      </c>
      <c r="R205" t="s">
        <v>74</v>
      </c>
      <c r="S205" t="s">
        <v>74</v>
      </c>
      <c r="T205" t="s">
        <v>4171</v>
      </c>
      <c r="U205" t="s">
        <v>4172</v>
      </c>
      <c r="V205" t="s">
        <v>4173</v>
      </c>
      <c r="W205" t="s">
        <v>4174</v>
      </c>
      <c r="X205" t="s">
        <v>4175</v>
      </c>
      <c r="Y205" t="s">
        <v>4176</v>
      </c>
      <c r="Z205" t="s">
        <v>4177</v>
      </c>
      <c r="AA205" t="s">
        <v>4178</v>
      </c>
      <c r="AB205" t="s">
        <v>4179</v>
      </c>
      <c r="AC205" t="s">
        <v>4180</v>
      </c>
      <c r="AD205" t="s">
        <v>4181</v>
      </c>
      <c r="AE205" t="s">
        <v>4182</v>
      </c>
      <c r="AF205" t="s">
        <v>74</v>
      </c>
      <c r="AG205">
        <v>91</v>
      </c>
      <c r="AH205">
        <v>19</v>
      </c>
      <c r="AI205">
        <v>22</v>
      </c>
      <c r="AJ205">
        <v>0</v>
      </c>
      <c r="AK205">
        <v>8</v>
      </c>
      <c r="AL205" t="s">
        <v>656</v>
      </c>
      <c r="AM205" t="s">
        <v>93</v>
      </c>
      <c r="AN205" t="s">
        <v>657</v>
      </c>
      <c r="AO205" t="s">
        <v>1312</v>
      </c>
      <c r="AP205" t="s">
        <v>1313</v>
      </c>
      <c r="AQ205" t="s">
        <v>74</v>
      </c>
      <c r="AR205" t="s">
        <v>1314</v>
      </c>
      <c r="AS205" t="s">
        <v>1315</v>
      </c>
      <c r="AT205" t="s">
        <v>4120</v>
      </c>
      <c r="AU205">
        <v>2017</v>
      </c>
      <c r="AV205">
        <v>205</v>
      </c>
      <c r="AW205" t="s">
        <v>74</v>
      </c>
      <c r="AX205" t="s">
        <v>74</v>
      </c>
      <c r="AY205" t="s">
        <v>74</v>
      </c>
      <c r="AZ205" t="s">
        <v>74</v>
      </c>
      <c r="BA205" t="s">
        <v>74</v>
      </c>
      <c r="BB205">
        <v>295</v>
      </c>
      <c r="BC205">
        <v>312</v>
      </c>
      <c r="BD205" t="s">
        <v>74</v>
      </c>
      <c r="BE205" t="s">
        <v>4183</v>
      </c>
      <c r="BF205" t="str">
        <f>HYPERLINK("http://dx.doi.org/10.1016/j.gca.2017.02.012","http://dx.doi.org/10.1016/j.gca.2017.02.012")</f>
        <v>http://dx.doi.org/10.1016/j.gca.2017.02.012</v>
      </c>
      <c r="BG205" t="s">
        <v>74</v>
      </c>
      <c r="BH205" t="s">
        <v>74</v>
      </c>
      <c r="BI205">
        <v>18</v>
      </c>
      <c r="BJ205" t="s">
        <v>176</v>
      </c>
      <c r="BK205" t="s">
        <v>103</v>
      </c>
      <c r="BL205" t="s">
        <v>176</v>
      </c>
      <c r="BM205" t="s">
        <v>4184</v>
      </c>
      <c r="BN205" t="s">
        <v>74</v>
      </c>
      <c r="BO205" t="s">
        <v>384</v>
      </c>
      <c r="BP205" t="s">
        <v>74</v>
      </c>
      <c r="BQ205" t="s">
        <v>74</v>
      </c>
      <c r="BR205" t="s">
        <v>106</v>
      </c>
      <c r="BS205" t="s">
        <v>4185</v>
      </c>
      <c r="BT205" t="str">
        <f>HYPERLINK("https%3A%2F%2Fwww.webofscience.com%2Fwos%2Fwoscc%2Ffull-record%2FWOS:000402487700017","View Full Record in Web of Science")</f>
        <v>View Full Record in Web of Science</v>
      </c>
    </row>
    <row r="206" spans="1:72" x14ac:dyDescent="0.15">
      <c r="A206" t="s">
        <v>72</v>
      </c>
      <c r="B206" t="s">
        <v>4186</v>
      </c>
      <c r="C206" t="s">
        <v>74</v>
      </c>
      <c r="D206" t="s">
        <v>74</v>
      </c>
      <c r="E206" t="s">
        <v>74</v>
      </c>
      <c r="F206" t="s">
        <v>4187</v>
      </c>
      <c r="G206" t="s">
        <v>74</v>
      </c>
      <c r="H206" t="s">
        <v>74</v>
      </c>
      <c r="I206" t="s">
        <v>4188</v>
      </c>
      <c r="J206" t="s">
        <v>4189</v>
      </c>
      <c r="K206" t="s">
        <v>74</v>
      </c>
      <c r="L206" t="s">
        <v>74</v>
      </c>
      <c r="M206" t="s">
        <v>78</v>
      </c>
      <c r="N206" t="s">
        <v>79</v>
      </c>
      <c r="O206" t="s">
        <v>74</v>
      </c>
      <c r="P206" t="s">
        <v>74</v>
      </c>
      <c r="Q206" t="s">
        <v>74</v>
      </c>
      <c r="R206" t="s">
        <v>74</v>
      </c>
      <c r="S206" t="s">
        <v>74</v>
      </c>
      <c r="T206" t="s">
        <v>4190</v>
      </c>
      <c r="U206" t="s">
        <v>4191</v>
      </c>
      <c r="V206" t="s">
        <v>4192</v>
      </c>
      <c r="W206" t="s">
        <v>4193</v>
      </c>
      <c r="X206" t="s">
        <v>4194</v>
      </c>
      <c r="Y206" t="s">
        <v>4195</v>
      </c>
      <c r="Z206" t="s">
        <v>4196</v>
      </c>
      <c r="AA206" t="s">
        <v>74</v>
      </c>
      <c r="AB206" t="s">
        <v>74</v>
      </c>
      <c r="AC206" t="s">
        <v>4197</v>
      </c>
      <c r="AD206" t="s">
        <v>4198</v>
      </c>
      <c r="AE206" t="s">
        <v>4199</v>
      </c>
      <c r="AF206" t="s">
        <v>74</v>
      </c>
      <c r="AG206">
        <v>123</v>
      </c>
      <c r="AH206">
        <v>27</v>
      </c>
      <c r="AI206">
        <v>27</v>
      </c>
      <c r="AJ206">
        <v>0</v>
      </c>
      <c r="AK206">
        <v>5</v>
      </c>
      <c r="AL206" t="s">
        <v>317</v>
      </c>
      <c r="AM206" t="s">
        <v>318</v>
      </c>
      <c r="AN206" t="s">
        <v>319</v>
      </c>
      <c r="AO206" t="s">
        <v>4200</v>
      </c>
      <c r="AP206" t="s">
        <v>4201</v>
      </c>
      <c r="AQ206" t="s">
        <v>74</v>
      </c>
      <c r="AR206" t="s">
        <v>4202</v>
      </c>
      <c r="AS206" t="s">
        <v>4203</v>
      </c>
      <c r="AT206" t="s">
        <v>4120</v>
      </c>
      <c r="AU206">
        <v>2017</v>
      </c>
      <c r="AV206">
        <v>338</v>
      </c>
      <c r="AW206" t="s">
        <v>74</v>
      </c>
      <c r="AX206" t="s">
        <v>74</v>
      </c>
      <c r="AY206" t="s">
        <v>74</v>
      </c>
      <c r="AZ206" t="s">
        <v>74</v>
      </c>
      <c r="BA206" t="s">
        <v>74</v>
      </c>
      <c r="BB206">
        <v>101</v>
      </c>
      <c r="BC206">
        <v>120</v>
      </c>
      <c r="BD206" t="s">
        <v>74</v>
      </c>
      <c r="BE206" t="s">
        <v>4204</v>
      </c>
      <c r="BF206" t="str">
        <f>HYPERLINK("http://dx.doi.org/10.1016/j.jvolgeores.2017.03.016","http://dx.doi.org/10.1016/j.jvolgeores.2017.03.016")</f>
        <v>http://dx.doi.org/10.1016/j.jvolgeores.2017.03.016</v>
      </c>
      <c r="BG206" t="s">
        <v>74</v>
      </c>
      <c r="BH206" t="s">
        <v>74</v>
      </c>
      <c r="BI206">
        <v>20</v>
      </c>
      <c r="BJ206" t="s">
        <v>437</v>
      </c>
      <c r="BK206" t="s">
        <v>103</v>
      </c>
      <c r="BL206" t="s">
        <v>438</v>
      </c>
      <c r="BM206" t="s">
        <v>4205</v>
      </c>
      <c r="BN206" t="s">
        <v>74</v>
      </c>
      <c r="BO206" t="s">
        <v>74</v>
      </c>
      <c r="BP206" t="s">
        <v>74</v>
      </c>
      <c r="BQ206" t="s">
        <v>74</v>
      </c>
      <c r="BR206" t="s">
        <v>106</v>
      </c>
      <c r="BS206" t="s">
        <v>4206</v>
      </c>
      <c r="BT206" t="str">
        <f>HYPERLINK("https%3A%2F%2Fwww.webofscience.com%2Fwos%2Fwoscc%2Ffull-record%2FWOS:000402944500007","View Full Record in Web of Science")</f>
        <v>View Full Record in Web of Science</v>
      </c>
    </row>
    <row r="207" spans="1:72" x14ac:dyDescent="0.15">
      <c r="A207" t="s">
        <v>72</v>
      </c>
      <c r="B207" t="s">
        <v>4207</v>
      </c>
      <c r="C207" t="s">
        <v>74</v>
      </c>
      <c r="D207" t="s">
        <v>74</v>
      </c>
      <c r="E207" t="s">
        <v>74</v>
      </c>
      <c r="F207" t="s">
        <v>4208</v>
      </c>
      <c r="G207" t="s">
        <v>74</v>
      </c>
      <c r="H207" t="s">
        <v>74</v>
      </c>
      <c r="I207" t="s">
        <v>4209</v>
      </c>
      <c r="J207" t="s">
        <v>1322</v>
      </c>
      <c r="K207" t="s">
        <v>74</v>
      </c>
      <c r="L207" t="s">
        <v>74</v>
      </c>
      <c r="M207" t="s">
        <v>78</v>
      </c>
      <c r="N207" t="s">
        <v>518</v>
      </c>
      <c r="O207" t="s">
        <v>74</v>
      </c>
      <c r="P207" t="s">
        <v>74</v>
      </c>
      <c r="Q207" t="s">
        <v>74</v>
      </c>
      <c r="R207" t="s">
        <v>74</v>
      </c>
      <c r="S207" t="s">
        <v>74</v>
      </c>
      <c r="T207" t="s">
        <v>4210</v>
      </c>
      <c r="U207" t="s">
        <v>4211</v>
      </c>
      <c r="V207" t="s">
        <v>4212</v>
      </c>
      <c r="W207" t="s">
        <v>4213</v>
      </c>
      <c r="X207" t="s">
        <v>4214</v>
      </c>
      <c r="Y207" t="s">
        <v>4215</v>
      </c>
      <c r="Z207" t="s">
        <v>4216</v>
      </c>
      <c r="AA207" t="s">
        <v>74</v>
      </c>
      <c r="AB207" t="s">
        <v>4217</v>
      </c>
      <c r="AC207" t="s">
        <v>4218</v>
      </c>
      <c r="AD207" t="s">
        <v>4219</v>
      </c>
      <c r="AE207" t="s">
        <v>4220</v>
      </c>
      <c r="AF207" t="s">
        <v>74</v>
      </c>
      <c r="AG207">
        <v>143</v>
      </c>
      <c r="AH207">
        <v>43</v>
      </c>
      <c r="AI207">
        <v>46</v>
      </c>
      <c r="AJ207">
        <v>4</v>
      </c>
      <c r="AK207">
        <v>32</v>
      </c>
      <c r="AL207" t="s">
        <v>656</v>
      </c>
      <c r="AM207" t="s">
        <v>93</v>
      </c>
      <c r="AN207" t="s">
        <v>657</v>
      </c>
      <c r="AO207" t="s">
        <v>1334</v>
      </c>
      <c r="AP207" t="s">
        <v>4140</v>
      </c>
      <c r="AQ207" t="s">
        <v>74</v>
      </c>
      <c r="AR207" t="s">
        <v>1335</v>
      </c>
      <c r="AS207" t="s">
        <v>1336</v>
      </c>
      <c r="AT207" t="s">
        <v>4120</v>
      </c>
      <c r="AU207">
        <v>2017</v>
      </c>
      <c r="AV207">
        <v>164</v>
      </c>
      <c r="AW207" t="s">
        <v>74</v>
      </c>
      <c r="AX207" t="s">
        <v>74</v>
      </c>
      <c r="AY207" t="s">
        <v>74</v>
      </c>
      <c r="AZ207" t="s">
        <v>74</v>
      </c>
      <c r="BA207" t="s">
        <v>74</v>
      </c>
      <c r="BB207">
        <v>1</v>
      </c>
      <c r="BC207">
        <v>24</v>
      </c>
      <c r="BD207" t="s">
        <v>74</v>
      </c>
      <c r="BE207" t="s">
        <v>4221</v>
      </c>
      <c r="BF207" t="str">
        <f>HYPERLINK("http://dx.doi.org/10.1016/j.quascirev.2017.03.009","http://dx.doi.org/10.1016/j.quascirev.2017.03.009")</f>
        <v>http://dx.doi.org/10.1016/j.quascirev.2017.03.009</v>
      </c>
      <c r="BG207" t="s">
        <v>74</v>
      </c>
      <c r="BH207" t="s">
        <v>74</v>
      </c>
      <c r="BI207">
        <v>24</v>
      </c>
      <c r="BJ207" t="s">
        <v>1338</v>
      </c>
      <c r="BK207" t="s">
        <v>103</v>
      </c>
      <c r="BL207" t="s">
        <v>1339</v>
      </c>
      <c r="BM207" t="s">
        <v>4142</v>
      </c>
      <c r="BN207" t="s">
        <v>74</v>
      </c>
      <c r="BO207" t="s">
        <v>1538</v>
      </c>
      <c r="BP207" t="s">
        <v>74</v>
      </c>
      <c r="BQ207" t="s">
        <v>74</v>
      </c>
      <c r="BR207" t="s">
        <v>106</v>
      </c>
      <c r="BS207" t="s">
        <v>4222</v>
      </c>
      <c r="BT207" t="str">
        <f>HYPERLINK("https%3A%2F%2Fwww.webofscience.com%2Fwos%2Fwoscc%2Ffull-record%2FWOS:000401679500001","View Full Record in Web of Science")</f>
        <v>View Full Record in Web of Science</v>
      </c>
    </row>
    <row r="208" spans="1:72" x14ac:dyDescent="0.15">
      <c r="A208" t="s">
        <v>72</v>
      </c>
      <c r="B208" t="s">
        <v>4223</v>
      </c>
      <c r="C208" t="s">
        <v>74</v>
      </c>
      <c r="D208" t="s">
        <v>74</v>
      </c>
      <c r="E208" t="s">
        <v>74</v>
      </c>
      <c r="F208" t="s">
        <v>4224</v>
      </c>
      <c r="G208" t="s">
        <v>74</v>
      </c>
      <c r="H208" t="s">
        <v>74</v>
      </c>
      <c r="I208" t="s">
        <v>4225</v>
      </c>
      <c r="J208" t="s">
        <v>1322</v>
      </c>
      <c r="K208" t="s">
        <v>74</v>
      </c>
      <c r="L208" t="s">
        <v>74</v>
      </c>
      <c r="M208" t="s">
        <v>78</v>
      </c>
      <c r="N208" t="s">
        <v>79</v>
      </c>
      <c r="O208" t="s">
        <v>74</v>
      </c>
      <c r="P208" t="s">
        <v>74</v>
      </c>
      <c r="Q208" t="s">
        <v>74</v>
      </c>
      <c r="R208" t="s">
        <v>74</v>
      </c>
      <c r="S208" t="s">
        <v>74</v>
      </c>
      <c r="T208" t="s">
        <v>4226</v>
      </c>
      <c r="U208" t="s">
        <v>4227</v>
      </c>
      <c r="V208" t="s">
        <v>4228</v>
      </c>
      <c r="W208" t="s">
        <v>4229</v>
      </c>
      <c r="X208" t="s">
        <v>4230</v>
      </c>
      <c r="Y208" t="s">
        <v>4231</v>
      </c>
      <c r="Z208" t="s">
        <v>4232</v>
      </c>
      <c r="AA208" t="s">
        <v>4233</v>
      </c>
      <c r="AB208" t="s">
        <v>4234</v>
      </c>
      <c r="AC208" t="s">
        <v>4235</v>
      </c>
      <c r="AD208" t="s">
        <v>4236</v>
      </c>
      <c r="AE208" t="s">
        <v>4237</v>
      </c>
      <c r="AF208" t="s">
        <v>74</v>
      </c>
      <c r="AG208">
        <v>91</v>
      </c>
      <c r="AH208">
        <v>30</v>
      </c>
      <c r="AI208">
        <v>34</v>
      </c>
      <c r="AJ208">
        <v>0</v>
      </c>
      <c r="AK208">
        <v>17</v>
      </c>
      <c r="AL208" t="s">
        <v>656</v>
      </c>
      <c r="AM208" t="s">
        <v>93</v>
      </c>
      <c r="AN208" t="s">
        <v>657</v>
      </c>
      <c r="AO208" t="s">
        <v>1334</v>
      </c>
      <c r="AP208" t="s">
        <v>74</v>
      </c>
      <c r="AQ208" t="s">
        <v>74</v>
      </c>
      <c r="AR208" t="s">
        <v>1335</v>
      </c>
      <c r="AS208" t="s">
        <v>1336</v>
      </c>
      <c r="AT208" t="s">
        <v>4120</v>
      </c>
      <c r="AU208">
        <v>2017</v>
      </c>
      <c r="AV208">
        <v>164</v>
      </c>
      <c r="AW208" t="s">
        <v>74</v>
      </c>
      <c r="AX208" t="s">
        <v>74</v>
      </c>
      <c r="AY208" t="s">
        <v>74</v>
      </c>
      <c r="AZ208" t="s">
        <v>74</v>
      </c>
      <c r="BA208" t="s">
        <v>74</v>
      </c>
      <c r="BB208">
        <v>77</v>
      </c>
      <c r="BC208">
        <v>94</v>
      </c>
      <c r="BD208" t="s">
        <v>74</v>
      </c>
      <c r="BE208" t="s">
        <v>4238</v>
      </c>
      <c r="BF208" t="str">
        <f>HYPERLINK("http://dx.doi.org/10.1016/j.quascirev.2017.03.023","http://dx.doi.org/10.1016/j.quascirev.2017.03.023")</f>
        <v>http://dx.doi.org/10.1016/j.quascirev.2017.03.023</v>
      </c>
      <c r="BG208" t="s">
        <v>74</v>
      </c>
      <c r="BH208" t="s">
        <v>74</v>
      </c>
      <c r="BI208">
        <v>18</v>
      </c>
      <c r="BJ208" t="s">
        <v>1338</v>
      </c>
      <c r="BK208" t="s">
        <v>103</v>
      </c>
      <c r="BL208" t="s">
        <v>1339</v>
      </c>
      <c r="BM208" t="s">
        <v>4142</v>
      </c>
      <c r="BN208" t="s">
        <v>74</v>
      </c>
      <c r="BO208" t="s">
        <v>3209</v>
      </c>
      <c r="BP208" t="s">
        <v>74</v>
      </c>
      <c r="BQ208" t="s">
        <v>74</v>
      </c>
      <c r="BR208" t="s">
        <v>106</v>
      </c>
      <c r="BS208" t="s">
        <v>4239</v>
      </c>
      <c r="BT208" t="str">
        <f>HYPERLINK("https%3A%2F%2Fwww.webofscience.com%2Fwos%2Fwoscc%2Ffull-record%2FWOS:000401679500006","View Full Record in Web of Science")</f>
        <v>View Full Record in Web of Science</v>
      </c>
    </row>
    <row r="209" spans="1:72" x14ac:dyDescent="0.15">
      <c r="A209" t="s">
        <v>72</v>
      </c>
      <c r="B209" t="s">
        <v>4240</v>
      </c>
      <c r="C209" t="s">
        <v>74</v>
      </c>
      <c r="D209" t="s">
        <v>74</v>
      </c>
      <c r="E209" t="s">
        <v>74</v>
      </c>
      <c r="F209" t="s">
        <v>4241</v>
      </c>
      <c r="G209" t="s">
        <v>74</v>
      </c>
      <c r="H209" t="s">
        <v>74</v>
      </c>
      <c r="I209" t="s">
        <v>4242</v>
      </c>
      <c r="J209" t="s">
        <v>4243</v>
      </c>
      <c r="K209" t="s">
        <v>74</v>
      </c>
      <c r="L209" t="s">
        <v>74</v>
      </c>
      <c r="M209" t="s">
        <v>78</v>
      </c>
      <c r="N209" t="s">
        <v>79</v>
      </c>
      <c r="O209" t="s">
        <v>74</v>
      </c>
      <c r="P209" t="s">
        <v>74</v>
      </c>
      <c r="Q209" t="s">
        <v>74</v>
      </c>
      <c r="R209" t="s">
        <v>74</v>
      </c>
      <c r="S209" t="s">
        <v>74</v>
      </c>
      <c r="T209" t="s">
        <v>4244</v>
      </c>
      <c r="U209" t="s">
        <v>4245</v>
      </c>
      <c r="V209" t="s">
        <v>4246</v>
      </c>
      <c r="W209" t="s">
        <v>4247</v>
      </c>
      <c r="X209" t="s">
        <v>4248</v>
      </c>
      <c r="Y209" t="s">
        <v>4249</v>
      </c>
      <c r="Z209" t="s">
        <v>4250</v>
      </c>
      <c r="AA209" t="s">
        <v>4251</v>
      </c>
      <c r="AB209" t="s">
        <v>4252</v>
      </c>
      <c r="AC209" t="s">
        <v>4253</v>
      </c>
      <c r="AD209" t="s">
        <v>4253</v>
      </c>
      <c r="AE209" t="s">
        <v>4254</v>
      </c>
      <c r="AF209" t="s">
        <v>74</v>
      </c>
      <c r="AG209">
        <v>48</v>
      </c>
      <c r="AH209">
        <v>6</v>
      </c>
      <c r="AI209">
        <v>9</v>
      </c>
      <c r="AJ209">
        <v>0</v>
      </c>
      <c r="AK209">
        <v>2</v>
      </c>
      <c r="AL209" t="s">
        <v>4255</v>
      </c>
      <c r="AM209" t="s">
        <v>403</v>
      </c>
      <c r="AN209" t="s">
        <v>4256</v>
      </c>
      <c r="AO209" t="s">
        <v>4257</v>
      </c>
      <c r="AP209" t="s">
        <v>74</v>
      </c>
      <c r="AQ209" t="s">
        <v>74</v>
      </c>
      <c r="AR209" t="s">
        <v>4258</v>
      </c>
      <c r="AS209" t="s">
        <v>4259</v>
      </c>
      <c r="AT209" t="s">
        <v>4260</v>
      </c>
      <c r="AU209">
        <v>2017</v>
      </c>
      <c r="AV209">
        <v>10</v>
      </c>
      <c r="AW209" t="s">
        <v>74</v>
      </c>
      <c r="AX209" t="s">
        <v>74</v>
      </c>
      <c r="AY209" t="s">
        <v>74</v>
      </c>
      <c r="AZ209" t="s">
        <v>74</v>
      </c>
      <c r="BA209" t="s">
        <v>74</v>
      </c>
      <c r="BB209" t="s">
        <v>74</v>
      </c>
      <c r="BC209" t="s">
        <v>74</v>
      </c>
      <c r="BD209">
        <v>235</v>
      </c>
      <c r="BE209" t="s">
        <v>4261</v>
      </c>
      <c r="BF209" t="str">
        <f>HYPERLINK("http://dx.doi.org/10.1186/s13071-017-2176-7","http://dx.doi.org/10.1186/s13071-017-2176-7")</f>
        <v>http://dx.doi.org/10.1186/s13071-017-2176-7</v>
      </c>
      <c r="BG209" t="s">
        <v>74</v>
      </c>
      <c r="BH209" t="s">
        <v>74</v>
      </c>
      <c r="BI209">
        <v>9</v>
      </c>
      <c r="BJ209" t="s">
        <v>4262</v>
      </c>
      <c r="BK209" t="s">
        <v>103</v>
      </c>
      <c r="BL209" t="s">
        <v>4262</v>
      </c>
      <c r="BM209" t="s">
        <v>4263</v>
      </c>
      <c r="BN209">
        <v>28499435</v>
      </c>
      <c r="BO209" t="s">
        <v>3118</v>
      </c>
      <c r="BP209" t="s">
        <v>74</v>
      </c>
      <c r="BQ209" t="s">
        <v>74</v>
      </c>
      <c r="BR209" t="s">
        <v>106</v>
      </c>
      <c r="BS209" t="s">
        <v>4264</v>
      </c>
      <c r="BT209" t="str">
        <f>HYPERLINK("https%3A%2F%2Fwww.webofscience.com%2Fwos%2Fwoscc%2Ffull-record%2FWOS:000401666000001","View Full Record in Web of Science")</f>
        <v>View Full Record in Web of Science</v>
      </c>
    </row>
    <row r="210" spans="1:72" x14ac:dyDescent="0.15">
      <c r="A210" t="s">
        <v>72</v>
      </c>
      <c r="B210" t="s">
        <v>4265</v>
      </c>
      <c r="C210" t="s">
        <v>74</v>
      </c>
      <c r="D210" t="s">
        <v>74</v>
      </c>
      <c r="E210" t="s">
        <v>74</v>
      </c>
      <c r="F210" t="s">
        <v>4266</v>
      </c>
      <c r="G210" t="s">
        <v>74</v>
      </c>
      <c r="H210" t="s">
        <v>74</v>
      </c>
      <c r="I210" t="s">
        <v>4267</v>
      </c>
      <c r="J210" t="s">
        <v>3803</v>
      </c>
      <c r="K210" t="s">
        <v>74</v>
      </c>
      <c r="L210" t="s">
        <v>74</v>
      </c>
      <c r="M210" t="s">
        <v>78</v>
      </c>
      <c r="N210" t="s">
        <v>79</v>
      </c>
      <c r="O210" t="s">
        <v>74</v>
      </c>
      <c r="P210" t="s">
        <v>74</v>
      </c>
      <c r="Q210" t="s">
        <v>74</v>
      </c>
      <c r="R210" t="s">
        <v>74</v>
      </c>
      <c r="S210" t="s">
        <v>74</v>
      </c>
      <c r="T210" t="s">
        <v>74</v>
      </c>
      <c r="U210" t="s">
        <v>4268</v>
      </c>
      <c r="V210" t="s">
        <v>4269</v>
      </c>
      <c r="W210" t="s">
        <v>4270</v>
      </c>
      <c r="X210" t="s">
        <v>4271</v>
      </c>
      <c r="Y210" t="s">
        <v>4272</v>
      </c>
      <c r="Z210" t="s">
        <v>4273</v>
      </c>
      <c r="AA210" t="s">
        <v>4274</v>
      </c>
      <c r="AB210" t="s">
        <v>4275</v>
      </c>
      <c r="AC210" t="s">
        <v>4276</v>
      </c>
      <c r="AD210" t="s">
        <v>4277</v>
      </c>
      <c r="AE210" t="s">
        <v>4278</v>
      </c>
      <c r="AF210" t="s">
        <v>74</v>
      </c>
      <c r="AG210">
        <v>45</v>
      </c>
      <c r="AH210">
        <v>16</v>
      </c>
      <c r="AI210">
        <v>18</v>
      </c>
      <c r="AJ210">
        <v>0</v>
      </c>
      <c r="AK210">
        <v>7</v>
      </c>
      <c r="AL210" t="s">
        <v>3534</v>
      </c>
      <c r="AM210" t="s">
        <v>3535</v>
      </c>
      <c r="AN210" t="s">
        <v>3536</v>
      </c>
      <c r="AO210" t="s">
        <v>3814</v>
      </c>
      <c r="AP210" t="s">
        <v>3815</v>
      </c>
      <c r="AQ210" t="s">
        <v>74</v>
      </c>
      <c r="AR210" t="s">
        <v>3816</v>
      </c>
      <c r="AS210" t="s">
        <v>3817</v>
      </c>
      <c r="AT210" t="s">
        <v>4260</v>
      </c>
      <c r="AU210">
        <v>2017</v>
      </c>
      <c r="AV210">
        <v>13</v>
      </c>
      <c r="AW210">
        <v>5</v>
      </c>
      <c r="AX210" t="s">
        <v>74</v>
      </c>
      <c r="AY210" t="s">
        <v>74</v>
      </c>
      <c r="AZ210" t="s">
        <v>74</v>
      </c>
      <c r="BA210" t="s">
        <v>74</v>
      </c>
      <c r="BB210">
        <v>473</v>
      </c>
      <c r="BC210">
        <v>489</v>
      </c>
      <c r="BD210" t="s">
        <v>74</v>
      </c>
      <c r="BE210" t="s">
        <v>4279</v>
      </c>
      <c r="BF210" t="str">
        <f>HYPERLINK("http://dx.doi.org/10.5194/cp-13-473-2017","http://dx.doi.org/10.5194/cp-13-473-2017")</f>
        <v>http://dx.doi.org/10.5194/cp-13-473-2017</v>
      </c>
      <c r="BG210" t="s">
        <v>74</v>
      </c>
      <c r="BH210" t="s">
        <v>74</v>
      </c>
      <c r="BI210">
        <v>17</v>
      </c>
      <c r="BJ210" t="s">
        <v>3820</v>
      </c>
      <c r="BK210" t="s">
        <v>103</v>
      </c>
      <c r="BL210" t="s">
        <v>3821</v>
      </c>
      <c r="BM210" t="s">
        <v>4280</v>
      </c>
      <c r="BN210" t="s">
        <v>74</v>
      </c>
      <c r="BO210" t="s">
        <v>205</v>
      </c>
      <c r="BP210" t="s">
        <v>74</v>
      </c>
      <c r="BQ210" t="s">
        <v>74</v>
      </c>
      <c r="BR210" t="s">
        <v>106</v>
      </c>
      <c r="BS210" t="s">
        <v>4281</v>
      </c>
      <c r="BT210" t="str">
        <f>HYPERLINK("https%3A%2F%2Fwww.webofscience.com%2Fwos%2Fwoscc%2Ffull-record%2FWOS:000401324800002","View Full Record in Web of Science")</f>
        <v>View Full Record in Web of Science</v>
      </c>
    </row>
    <row r="211" spans="1:72" x14ac:dyDescent="0.15">
      <c r="A211" t="s">
        <v>72</v>
      </c>
      <c r="B211" t="s">
        <v>4282</v>
      </c>
      <c r="C211" t="s">
        <v>74</v>
      </c>
      <c r="D211" t="s">
        <v>74</v>
      </c>
      <c r="E211" t="s">
        <v>74</v>
      </c>
      <c r="F211" t="s">
        <v>4283</v>
      </c>
      <c r="G211" t="s">
        <v>74</v>
      </c>
      <c r="H211" t="s">
        <v>74</v>
      </c>
      <c r="I211" t="s">
        <v>4284</v>
      </c>
      <c r="J211" t="s">
        <v>3827</v>
      </c>
      <c r="K211" t="s">
        <v>74</v>
      </c>
      <c r="L211" t="s">
        <v>74</v>
      </c>
      <c r="M211" t="s">
        <v>78</v>
      </c>
      <c r="N211" t="s">
        <v>79</v>
      </c>
      <c r="O211" t="s">
        <v>74</v>
      </c>
      <c r="P211" t="s">
        <v>74</v>
      </c>
      <c r="Q211" t="s">
        <v>74</v>
      </c>
      <c r="R211" t="s">
        <v>74</v>
      </c>
      <c r="S211" t="s">
        <v>74</v>
      </c>
      <c r="T211" t="s">
        <v>74</v>
      </c>
      <c r="U211" t="s">
        <v>4285</v>
      </c>
      <c r="V211" t="s">
        <v>4286</v>
      </c>
      <c r="W211" t="s">
        <v>4287</v>
      </c>
      <c r="X211" t="s">
        <v>4288</v>
      </c>
      <c r="Y211" t="s">
        <v>4289</v>
      </c>
      <c r="Z211" t="s">
        <v>4290</v>
      </c>
      <c r="AA211" t="s">
        <v>633</v>
      </c>
      <c r="AB211" t="s">
        <v>4291</v>
      </c>
      <c r="AC211" t="s">
        <v>4292</v>
      </c>
      <c r="AD211" t="s">
        <v>4293</v>
      </c>
      <c r="AE211" t="s">
        <v>4294</v>
      </c>
      <c r="AF211" t="s">
        <v>74</v>
      </c>
      <c r="AG211">
        <v>62</v>
      </c>
      <c r="AH211">
        <v>12</v>
      </c>
      <c r="AI211">
        <v>12</v>
      </c>
      <c r="AJ211">
        <v>1</v>
      </c>
      <c r="AK211">
        <v>18</v>
      </c>
      <c r="AL211" t="s">
        <v>3534</v>
      </c>
      <c r="AM211" t="s">
        <v>3535</v>
      </c>
      <c r="AN211" t="s">
        <v>3536</v>
      </c>
      <c r="AO211" t="s">
        <v>3839</v>
      </c>
      <c r="AP211" t="s">
        <v>3840</v>
      </c>
      <c r="AQ211" t="s">
        <v>74</v>
      </c>
      <c r="AR211" t="s">
        <v>3827</v>
      </c>
      <c r="AS211" t="s">
        <v>3841</v>
      </c>
      <c r="AT211" t="s">
        <v>4260</v>
      </c>
      <c r="AU211">
        <v>2017</v>
      </c>
      <c r="AV211">
        <v>11</v>
      </c>
      <c r="AW211">
        <v>3</v>
      </c>
      <c r="AX211" t="s">
        <v>74</v>
      </c>
      <c r="AY211" t="s">
        <v>74</v>
      </c>
      <c r="AZ211" t="s">
        <v>74</v>
      </c>
      <c r="BA211" t="s">
        <v>74</v>
      </c>
      <c r="BB211">
        <v>1199</v>
      </c>
      <c r="BC211">
        <v>1211</v>
      </c>
      <c r="BD211" t="s">
        <v>74</v>
      </c>
      <c r="BE211" t="s">
        <v>4295</v>
      </c>
      <c r="BF211" t="str">
        <f>HYPERLINK("http://dx.doi.org/10.5194/tc-11-1199-2017","http://dx.doi.org/10.5194/tc-11-1199-2017")</f>
        <v>http://dx.doi.org/10.5194/tc-11-1199-2017</v>
      </c>
      <c r="BG211" t="s">
        <v>74</v>
      </c>
      <c r="BH211" t="s">
        <v>74</v>
      </c>
      <c r="BI211">
        <v>13</v>
      </c>
      <c r="BJ211" t="s">
        <v>1338</v>
      </c>
      <c r="BK211" t="s">
        <v>103</v>
      </c>
      <c r="BL211" t="s">
        <v>1339</v>
      </c>
      <c r="BM211" t="s">
        <v>4296</v>
      </c>
      <c r="BN211" t="s">
        <v>74</v>
      </c>
      <c r="BO211" t="s">
        <v>3617</v>
      </c>
      <c r="BP211" t="s">
        <v>74</v>
      </c>
      <c r="BQ211" t="s">
        <v>74</v>
      </c>
      <c r="BR211" t="s">
        <v>106</v>
      </c>
      <c r="BS211" t="s">
        <v>4297</v>
      </c>
      <c r="BT211" t="str">
        <f>HYPERLINK("https%3A%2F%2Fwww.webofscience.com%2Fwos%2Fwoscc%2Ffull-record%2FWOS:000401328200001","View Full Record in Web of Science")</f>
        <v>View Full Record in Web of Science</v>
      </c>
    </row>
    <row r="212" spans="1:72" x14ac:dyDescent="0.15">
      <c r="A212" t="s">
        <v>72</v>
      </c>
      <c r="B212" t="s">
        <v>4298</v>
      </c>
      <c r="C212" t="s">
        <v>74</v>
      </c>
      <c r="D212" t="s">
        <v>74</v>
      </c>
      <c r="E212" t="s">
        <v>74</v>
      </c>
      <c r="F212" t="s">
        <v>4299</v>
      </c>
      <c r="G212" t="s">
        <v>74</v>
      </c>
      <c r="H212" t="s">
        <v>74</v>
      </c>
      <c r="I212" t="s">
        <v>4300</v>
      </c>
      <c r="J212" t="s">
        <v>4301</v>
      </c>
      <c r="K212" t="s">
        <v>74</v>
      </c>
      <c r="L212" t="s">
        <v>74</v>
      </c>
      <c r="M212" t="s">
        <v>78</v>
      </c>
      <c r="N212" t="s">
        <v>79</v>
      </c>
      <c r="O212" t="s">
        <v>74</v>
      </c>
      <c r="P212" t="s">
        <v>74</v>
      </c>
      <c r="Q212" t="s">
        <v>74</v>
      </c>
      <c r="R212" t="s">
        <v>74</v>
      </c>
      <c r="S212" t="s">
        <v>74</v>
      </c>
      <c r="T212" t="s">
        <v>74</v>
      </c>
      <c r="U212" t="s">
        <v>4302</v>
      </c>
      <c r="V212" t="s">
        <v>4303</v>
      </c>
      <c r="W212" t="s">
        <v>4304</v>
      </c>
      <c r="X212" t="s">
        <v>4305</v>
      </c>
      <c r="Y212" t="s">
        <v>4306</v>
      </c>
      <c r="Z212" t="s">
        <v>4307</v>
      </c>
      <c r="AA212" t="s">
        <v>4308</v>
      </c>
      <c r="AB212" t="s">
        <v>4309</v>
      </c>
      <c r="AC212" t="s">
        <v>4310</v>
      </c>
      <c r="AD212" t="s">
        <v>4311</v>
      </c>
      <c r="AE212" t="s">
        <v>4312</v>
      </c>
      <c r="AF212" t="s">
        <v>74</v>
      </c>
      <c r="AG212">
        <v>23</v>
      </c>
      <c r="AH212">
        <v>0</v>
      </c>
      <c r="AI212">
        <v>0</v>
      </c>
      <c r="AJ212">
        <v>0</v>
      </c>
      <c r="AK212">
        <v>3</v>
      </c>
      <c r="AL212" t="s">
        <v>4313</v>
      </c>
      <c r="AM212" t="s">
        <v>4314</v>
      </c>
      <c r="AN212" t="s">
        <v>4315</v>
      </c>
      <c r="AO212" t="s">
        <v>4316</v>
      </c>
      <c r="AP212" t="s">
        <v>4317</v>
      </c>
      <c r="AQ212" t="s">
        <v>74</v>
      </c>
      <c r="AR212" t="s">
        <v>4318</v>
      </c>
      <c r="AS212" t="s">
        <v>4319</v>
      </c>
      <c r="AT212" t="s">
        <v>4320</v>
      </c>
      <c r="AU212">
        <v>2017</v>
      </c>
      <c r="AV212">
        <v>11</v>
      </c>
      <c r="AW212">
        <v>7</v>
      </c>
      <c r="AX212" t="s">
        <v>74</v>
      </c>
      <c r="AY212" t="s">
        <v>74</v>
      </c>
      <c r="AZ212" t="s">
        <v>74</v>
      </c>
      <c r="BA212" t="s">
        <v>74</v>
      </c>
      <c r="BB212">
        <v>1165</v>
      </c>
      <c r="BC212">
        <v>1172</v>
      </c>
      <c r="BD212" t="s">
        <v>74</v>
      </c>
      <c r="BE212" t="s">
        <v>4321</v>
      </c>
      <c r="BF212" t="str">
        <f>HYPERLINK("http://dx.doi.org/10.1049/iet-com.2016.1221","http://dx.doi.org/10.1049/iet-com.2016.1221")</f>
        <v>http://dx.doi.org/10.1049/iet-com.2016.1221</v>
      </c>
      <c r="BG212" t="s">
        <v>74</v>
      </c>
      <c r="BH212" t="s">
        <v>74</v>
      </c>
      <c r="BI212">
        <v>8</v>
      </c>
      <c r="BJ212" t="s">
        <v>4322</v>
      </c>
      <c r="BK212" t="s">
        <v>103</v>
      </c>
      <c r="BL212" t="s">
        <v>3233</v>
      </c>
      <c r="BM212" t="s">
        <v>4323</v>
      </c>
      <c r="BN212" t="s">
        <v>74</v>
      </c>
      <c r="BO212" t="s">
        <v>74</v>
      </c>
      <c r="BP212" t="s">
        <v>74</v>
      </c>
      <c r="BQ212" t="s">
        <v>74</v>
      </c>
      <c r="BR212" t="s">
        <v>106</v>
      </c>
      <c r="BS212" t="s">
        <v>4324</v>
      </c>
      <c r="BT212" t="str">
        <f>HYPERLINK("https%3A%2F%2Fwww.webofscience.com%2Fwos%2Fwoscc%2Ffull-record%2FWOS:000401991200025","View Full Record in Web of Science")</f>
        <v>View Full Record in Web of Science</v>
      </c>
    </row>
    <row r="213" spans="1:72" x14ac:dyDescent="0.15">
      <c r="A213" t="s">
        <v>72</v>
      </c>
      <c r="B213" t="s">
        <v>4325</v>
      </c>
      <c r="C213" t="s">
        <v>74</v>
      </c>
      <c r="D213" t="s">
        <v>74</v>
      </c>
      <c r="E213" t="s">
        <v>74</v>
      </c>
      <c r="F213" t="s">
        <v>4326</v>
      </c>
      <c r="G213" t="s">
        <v>74</v>
      </c>
      <c r="H213" t="s">
        <v>74</v>
      </c>
      <c r="I213" t="s">
        <v>4327</v>
      </c>
      <c r="J213" t="s">
        <v>4328</v>
      </c>
      <c r="K213" t="s">
        <v>74</v>
      </c>
      <c r="L213" t="s">
        <v>74</v>
      </c>
      <c r="M213" t="s">
        <v>78</v>
      </c>
      <c r="N213" t="s">
        <v>4329</v>
      </c>
      <c r="O213" t="s">
        <v>74</v>
      </c>
      <c r="P213" t="s">
        <v>74</v>
      </c>
      <c r="Q213" t="s">
        <v>74</v>
      </c>
      <c r="R213" t="s">
        <v>74</v>
      </c>
      <c r="S213" t="s">
        <v>74</v>
      </c>
      <c r="T213" t="s">
        <v>74</v>
      </c>
      <c r="U213" t="s">
        <v>4330</v>
      </c>
      <c r="V213" t="s">
        <v>4331</v>
      </c>
      <c r="W213" t="s">
        <v>4332</v>
      </c>
      <c r="X213" t="s">
        <v>2399</v>
      </c>
      <c r="Y213" t="s">
        <v>4333</v>
      </c>
      <c r="Z213" t="s">
        <v>4334</v>
      </c>
      <c r="AA213" t="s">
        <v>4335</v>
      </c>
      <c r="AB213" t="s">
        <v>74</v>
      </c>
      <c r="AC213" t="s">
        <v>4336</v>
      </c>
      <c r="AD213" t="s">
        <v>3155</v>
      </c>
      <c r="AE213" t="s">
        <v>74</v>
      </c>
      <c r="AF213" t="s">
        <v>74</v>
      </c>
      <c r="AG213">
        <v>44</v>
      </c>
      <c r="AH213">
        <v>138</v>
      </c>
      <c r="AI213">
        <v>156</v>
      </c>
      <c r="AJ213">
        <v>5</v>
      </c>
      <c r="AK213">
        <v>132</v>
      </c>
      <c r="AL213" t="s">
        <v>3671</v>
      </c>
      <c r="AM213" t="s">
        <v>3672</v>
      </c>
      <c r="AN213" t="s">
        <v>3673</v>
      </c>
      <c r="AO213" t="s">
        <v>4337</v>
      </c>
      <c r="AP213" t="s">
        <v>4338</v>
      </c>
      <c r="AQ213" t="s">
        <v>74</v>
      </c>
      <c r="AR213" t="s">
        <v>4328</v>
      </c>
      <c r="AS213" t="s">
        <v>4339</v>
      </c>
      <c r="AT213" t="s">
        <v>4320</v>
      </c>
      <c r="AU213">
        <v>2017</v>
      </c>
      <c r="AV213">
        <v>545</v>
      </c>
      <c r="AW213">
        <v>7653</v>
      </c>
      <c r="AX213" t="s">
        <v>74</v>
      </c>
      <c r="AY213" t="s">
        <v>74</v>
      </c>
      <c r="AZ213" t="s">
        <v>74</v>
      </c>
      <c r="BA213" t="s">
        <v>74</v>
      </c>
      <c r="BB213">
        <v>169</v>
      </c>
      <c r="BC213" t="s">
        <v>1485</v>
      </c>
      <c r="BD213" t="s">
        <v>74</v>
      </c>
      <c r="BE213" t="s">
        <v>4340</v>
      </c>
      <c r="BF213" t="str">
        <f>HYPERLINK("http://dx.doi.org/10.1038/nature22062","http://dx.doi.org/10.1038/nature22062")</f>
        <v>http://dx.doi.org/10.1038/nature22062</v>
      </c>
      <c r="BG213" t="s">
        <v>74</v>
      </c>
      <c r="BH213" t="s">
        <v>74</v>
      </c>
      <c r="BI213">
        <v>19</v>
      </c>
      <c r="BJ213" t="s">
        <v>1617</v>
      </c>
      <c r="BK213" t="s">
        <v>103</v>
      </c>
      <c r="BL213" t="s">
        <v>1618</v>
      </c>
      <c r="BM213" t="s">
        <v>4341</v>
      </c>
      <c r="BN213">
        <v>28492255</v>
      </c>
      <c r="BO213" t="s">
        <v>74</v>
      </c>
      <c r="BP213" t="s">
        <v>74</v>
      </c>
      <c r="BQ213" t="s">
        <v>74</v>
      </c>
      <c r="BR213" t="s">
        <v>106</v>
      </c>
      <c r="BS213" t="s">
        <v>4342</v>
      </c>
      <c r="BT213" t="str">
        <f>HYPERLINK("https%3A%2F%2Fwww.webofscience.com%2Fwos%2Fwoscc%2Ffull-record%2FWOS:000400963800024","View Full Record in Web of Science")</f>
        <v>View Full Record in Web of Science</v>
      </c>
    </row>
    <row r="214" spans="1:72" x14ac:dyDescent="0.15">
      <c r="A214" t="s">
        <v>72</v>
      </c>
      <c r="B214" t="s">
        <v>4343</v>
      </c>
      <c r="C214" t="s">
        <v>74</v>
      </c>
      <c r="D214" t="s">
        <v>74</v>
      </c>
      <c r="E214" t="s">
        <v>74</v>
      </c>
      <c r="F214" t="s">
        <v>4344</v>
      </c>
      <c r="G214" t="s">
        <v>74</v>
      </c>
      <c r="H214" t="s">
        <v>74</v>
      </c>
      <c r="I214" t="s">
        <v>4345</v>
      </c>
      <c r="J214" t="s">
        <v>3849</v>
      </c>
      <c r="K214" t="s">
        <v>74</v>
      </c>
      <c r="L214" t="s">
        <v>74</v>
      </c>
      <c r="M214" t="s">
        <v>78</v>
      </c>
      <c r="N214" t="s">
        <v>79</v>
      </c>
      <c r="O214" t="s">
        <v>74</v>
      </c>
      <c r="P214" t="s">
        <v>74</v>
      </c>
      <c r="Q214" t="s">
        <v>74</v>
      </c>
      <c r="R214" t="s">
        <v>74</v>
      </c>
      <c r="S214" t="s">
        <v>74</v>
      </c>
      <c r="T214" t="s">
        <v>74</v>
      </c>
      <c r="U214" t="s">
        <v>4346</v>
      </c>
      <c r="V214" t="s">
        <v>4347</v>
      </c>
      <c r="W214" t="s">
        <v>4348</v>
      </c>
      <c r="X214" t="s">
        <v>4349</v>
      </c>
      <c r="Y214" t="s">
        <v>4350</v>
      </c>
      <c r="Z214" t="s">
        <v>4351</v>
      </c>
      <c r="AA214" t="s">
        <v>4352</v>
      </c>
      <c r="AB214" t="s">
        <v>4353</v>
      </c>
      <c r="AC214" t="s">
        <v>4354</v>
      </c>
      <c r="AD214" t="s">
        <v>4355</v>
      </c>
      <c r="AE214" t="s">
        <v>4356</v>
      </c>
      <c r="AF214" t="s">
        <v>74</v>
      </c>
      <c r="AG214">
        <v>68</v>
      </c>
      <c r="AH214">
        <v>18</v>
      </c>
      <c r="AI214">
        <v>18</v>
      </c>
      <c r="AJ214">
        <v>2</v>
      </c>
      <c r="AK214">
        <v>20</v>
      </c>
      <c r="AL214" t="s">
        <v>3861</v>
      </c>
      <c r="AM214" t="s">
        <v>3862</v>
      </c>
      <c r="AN214" t="s">
        <v>3863</v>
      </c>
      <c r="AO214" t="s">
        <v>3864</v>
      </c>
      <c r="AP214" t="s">
        <v>74</v>
      </c>
      <c r="AQ214" t="s">
        <v>74</v>
      </c>
      <c r="AR214" t="s">
        <v>3849</v>
      </c>
      <c r="AS214" t="s">
        <v>3865</v>
      </c>
      <c r="AT214" t="s">
        <v>4320</v>
      </c>
      <c r="AU214">
        <v>2017</v>
      </c>
      <c r="AV214">
        <v>12</v>
      </c>
      <c r="AW214">
        <v>5</v>
      </c>
      <c r="AX214" t="s">
        <v>74</v>
      </c>
      <c r="AY214" t="s">
        <v>74</v>
      </c>
      <c r="AZ214" t="s">
        <v>74</v>
      </c>
      <c r="BA214" t="s">
        <v>74</v>
      </c>
      <c r="BB214" t="s">
        <v>74</v>
      </c>
      <c r="BC214" t="s">
        <v>74</v>
      </c>
      <c r="BD214" t="s">
        <v>4357</v>
      </c>
      <c r="BE214" t="s">
        <v>4358</v>
      </c>
      <c r="BF214" t="str">
        <f>HYPERLINK("http://dx.doi.org/10.1371/journal.pone.0177124","http://dx.doi.org/10.1371/journal.pone.0177124")</f>
        <v>http://dx.doi.org/10.1371/journal.pone.0177124</v>
      </c>
      <c r="BG214" t="s">
        <v>74</v>
      </c>
      <c r="BH214" t="s">
        <v>74</v>
      </c>
      <c r="BI214">
        <v>15</v>
      </c>
      <c r="BJ214" t="s">
        <v>1617</v>
      </c>
      <c r="BK214" t="s">
        <v>103</v>
      </c>
      <c r="BL214" t="s">
        <v>1618</v>
      </c>
      <c r="BM214" t="s">
        <v>4359</v>
      </c>
      <c r="BN214">
        <v>28493935</v>
      </c>
      <c r="BO214" t="s">
        <v>4360</v>
      </c>
      <c r="BP214" t="s">
        <v>74</v>
      </c>
      <c r="BQ214" t="s">
        <v>74</v>
      </c>
      <c r="BR214" t="s">
        <v>106</v>
      </c>
      <c r="BS214" t="s">
        <v>4361</v>
      </c>
      <c r="BT214" t="str">
        <f>HYPERLINK("https%3A%2F%2Fwww.webofscience.com%2Fwos%2Fwoscc%2Ffull-record%2FWOS:000401314300062","View Full Record in Web of Science")</f>
        <v>View Full Record in Web of Science</v>
      </c>
    </row>
    <row r="215" spans="1:72" x14ac:dyDescent="0.15">
      <c r="A215" t="s">
        <v>72</v>
      </c>
      <c r="B215" t="s">
        <v>4362</v>
      </c>
      <c r="C215" t="s">
        <v>74</v>
      </c>
      <c r="D215" t="s">
        <v>74</v>
      </c>
      <c r="E215" t="s">
        <v>74</v>
      </c>
      <c r="F215" t="s">
        <v>4363</v>
      </c>
      <c r="G215" t="s">
        <v>74</v>
      </c>
      <c r="H215" t="s">
        <v>74</v>
      </c>
      <c r="I215" t="s">
        <v>4364</v>
      </c>
      <c r="J215" t="s">
        <v>3782</v>
      </c>
      <c r="K215" t="s">
        <v>74</v>
      </c>
      <c r="L215" t="s">
        <v>74</v>
      </c>
      <c r="M215" t="s">
        <v>78</v>
      </c>
      <c r="N215" t="s">
        <v>79</v>
      </c>
      <c r="O215" t="s">
        <v>74</v>
      </c>
      <c r="P215" t="s">
        <v>74</v>
      </c>
      <c r="Q215" t="s">
        <v>74</v>
      </c>
      <c r="R215" t="s">
        <v>74</v>
      </c>
      <c r="S215" t="s">
        <v>74</v>
      </c>
      <c r="T215" t="s">
        <v>4365</v>
      </c>
      <c r="U215" t="s">
        <v>4366</v>
      </c>
      <c r="V215" t="s">
        <v>4367</v>
      </c>
      <c r="W215" t="s">
        <v>4368</v>
      </c>
      <c r="X215" t="s">
        <v>4369</v>
      </c>
      <c r="Y215" t="s">
        <v>4370</v>
      </c>
      <c r="Z215" t="s">
        <v>4371</v>
      </c>
      <c r="AA215" t="s">
        <v>4372</v>
      </c>
      <c r="AB215" t="s">
        <v>4373</v>
      </c>
      <c r="AC215" t="s">
        <v>4374</v>
      </c>
      <c r="AD215" t="s">
        <v>4375</v>
      </c>
      <c r="AE215" t="s">
        <v>4376</v>
      </c>
      <c r="AF215" t="s">
        <v>74</v>
      </c>
      <c r="AG215">
        <v>174</v>
      </c>
      <c r="AH215">
        <v>73</v>
      </c>
      <c r="AI215">
        <v>81</v>
      </c>
      <c r="AJ215">
        <v>6</v>
      </c>
      <c r="AK215">
        <v>63</v>
      </c>
      <c r="AL215" t="s">
        <v>317</v>
      </c>
      <c r="AM215" t="s">
        <v>318</v>
      </c>
      <c r="AN215" t="s">
        <v>319</v>
      </c>
      <c r="AO215" t="s">
        <v>3792</v>
      </c>
      <c r="AP215" t="s">
        <v>3793</v>
      </c>
      <c r="AQ215" t="s">
        <v>74</v>
      </c>
      <c r="AR215" t="s">
        <v>3794</v>
      </c>
      <c r="AS215" t="s">
        <v>3795</v>
      </c>
      <c r="AT215" t="s">
        <v>4377</v>
      </c>
      <c r="AU215">
        <v>2017</v>
      </c>
      <c r="AV215">
        <v>457</v>
      </c>
      <c r="AW215" t="s">
        <v>74</v>
      </c>
      <c r="AX215" t="s">
        <v>74</v>
      </c>
      <c r="AY215" t="s">
        <v>74</v>
      </c>
      <c r="AZ215" t="s">
        <v>74</v>
      </c>
      <c r="BA215" t="s">
        <v>74</v>
      </c>
      <c r="BB215">
        <v>131</v>
      </c>
      <c r="BC215">
        <v>148</v>
      </c>
      <c r="BD215" t="s">
        <v>74</v>
      </c>
      <c r="BE215" t="s">
        <v>4378</v>
      </c>
      <c r="BF215" t="str">
        <f>HYPERLINK("http://dx.doi.org/10.1016/j.chemgeo.2017.03.018","http://dx.doi.org/10.1016/j.chemgeo.2017.03.018")</f>
        <v>http://dx.doi.org/10.1016/j.chemgeo.2017.03.018</v>
      </c>
      <c r="BG215" t="s">
        <v>74</v>
      </c>
      <c r="BH215" t="s">
        <v>74</v>
      </c>
      <c r="BI215">
        <v>18</v>
      </c>
      <c r="BJ215" t="s">
        <v>176</v>
      </c>
      <c r="BK215" t="s">
        <v>103</v>
      </c>
      <c r="BL215" t="s">
        <v>176</v>
      </c>
      <c r="BM215" t="s">
        <v>4379</v>
      </c>
      <c r="BN215" t="s">
        <v>74</v>
      </c>
      <c r="BO215" t="s">
        <v>231</v>
      </c>
      <c r="BP215" t="s">
        <v>74</v>
      </c>
      <c r="BQ215" t="s">
        <v>74</v>
      </c>
      <c r="BR215" t="s">
        <v>106</v>
      </c>
      <c r="BS215" t="s">
        <v>4380</v>
      </c>
      <c r="BT215" t="str">
        <f>HYPERLINK("https%3A%2F%2Fwww.webofscience.com%2Fwos%2Fwoscc%2Ffull-record%2FWOS:000403516900012","View Full Record in Web of Science")</f>
        <v>View Full Record in Web of Science</v>
      </c>
    </row>
    <row r="216" spans="1:72" x14ac:dyDescent="0.15">
      <c r="A216" t="s">
        <v>72</v>
      </c>
      <c r="B216" t="s">
        <v>4381</v>
      </c>
      <c r="C216" t="s">
        <v>74</v>
      </c>
      <c r="D216" t="s">
        <v>74</v>
      </c>
      <c r="E216" t="s">
        <v>74</v>
      </c>
      <c r="F216" t="s">
        <v>4382</v>
      </c>
      <c r="G216" t="s">
        <v>74</v>
      </c>
      <c r="H216" t="s">
        <v>74</v>
      </c>
      <c r="I216" t="s">
        <v>4383</v>
      </c>
      <c r="J216" t="s">
        <v>4384</v>
      </c>
      <c r="K216" t="s">
        <v>74</v>
      </c>
      <c r="L216" t="s">
        <v>74</v>
      </c>
      <c r="M216" t="s">
        <v>78</v>
      </c>
      <c r="N216" t="s">
        <v>79</v>
      </c>
      <c r="O216" t="s">
        <v>74</v>
      </c>
      <c r="P216" t="s">
        <v>74</v>
      </c>
      <c r="Q216" t="s">
        <v>74</v>
      </c>
      <c r="R216" t="s">
        <v>74</v>
      </c>
      <c r="S216" t="s">
        <v>74</v>
      </c>
      <c r="T216" t="s">
        <v>4385</v>
      </c>
      <c r="U216" t="s">
        <v>4386</v>
      </c>
      <c r="V216" t="s">
        <v>4387</v>
      </c>
      <c r="W216" t="s">
        <v>4388</v>
      </c>
      <c r="X216" t="s">
        <v>4389</v>
      </c>
      <c r="Y216" t="s">
        <v>4390</v>
      </c>
      <c r="Z216" t="s">
        <v>4391</v>
      </c>
      <c r="AA216" t="s">
        <v>4392</v>
      </c>
      <c r="AB216" t="s">
        <v>4393</v>
      </c>
      <c r="AC216" t="s">
        <v>4394</v>
      </c>
      <c r="AD216" t="s">
        <v>4395</v>
      </c>
      <c r="AE216" t="s">
        <v>4396</v>
      </c>
      <c r="AF216" t="s">
        <v>74</v>
      </c>
      <c r="AG216">
        <v>133</v>
      </c>
      <c r="AH216">
        <v>21</v>
      </c>
      <c r="AI216">
        <v>26</v>
      </c>
      <c r="AJ216">
        <v>0</v>
      </c>
      <c r="AK216">
        <v>72</v>
      </c>
      <c r="AL216" t="s">
        <v>1141</v>
      </c>
      <c r="AM216" t="s">
        <v>318</v>
      </c>
      <c r="AN216" t="s">
        <v>1142</v>
      </c>
      <c r="AO216" t="s">
        <v>4397</v>
      </c>
      <c r="AP216" t="s">
        <v>4398</v>
      </c>
      <c r="AQ216" t="s">
        <v>74</v>
      </c>
      <c r="AR216" t="s">
        <v>4399</v>
      </c>
      <c r="AS216" t="s">
        <v>4400</v>
      </c>
      <c r="AT216" t="s">
        <v>4377</v>
      </c>
      <c r="AU216">
        <v>2017</v>
      </c>
      <c r="AV216">
        <v>351</v>
      </c>
      <c r="AW216" t="s">
        <v>74</v>
      </c>
      <c r="AX216" t="s">
        <v>74</v>
      </c>
      <c r="AY216" t="s">
        <v>74</v>
      </c>
      <c r="AZ216" t="s">
        <v>74</v>
      </c>
      <c r="BA216" t="s">
        <v>74</v>
      </c>
      <c r="BB216">
        <v>36</v>
      </c>
      <c r="BC216">
        <v>50</v>
      </c>
      <c r="BD216" t="s">
        <v>74</v>
      </c>
      <c r="BE216" t="s">
        <v>4401</v>
      </c>
      <c r="BF216" t="str">
        <f>HYPERLINK("http://dx.doi.org/10.1016/j.ecolmodel.2017.02.002","http://dx.doi.org/10.1016/j.ecolmodel.2017.02.002")</f>
        <v>http://dx.doi.org/10.1016/j.ecolmodel.2017.02.002</v>
      </c>
      <c r="BG216" t="s">
        <v>74</v>
      </c>
      <c r="BH216" t="s">
        <v>74</v>
      </c>
      <c r="BI216">
        <v>15</v>
      </c>
      <c r="BJ216" t="s">
        <v>992</v>
      </c>
      <c r="BK216" t="s">
        <v>103</v>
      </c>
      <c r="BL216" t="s">
        <v>993</v>
      </c>
      <c r="BM216" t="s">
        <v>4402</v>
      </c>
      <c r="BN216" t="s">
        <v>74</v>
      </c>
      <c r="BO216" t="s">
        <v>2390</v>
      </c>
      <c r="BP216" t="s">
        <v>74</v>
      </c>
      <c r="BQ216" t="s">
        <v>74</v>
      </c>
      <c r="BR216" t="s">
        <v>106</v>
      </c>
      <c r="BS216" t="s">
        <v>4403</v>
      </c>
      <c r="BT216" t="str">
        <f>HYPERLINK("https%3A%2F%2Fwww.webofscience.com%2Fwos%2Fwoscc%2Ffull-record%2FWOS:000399259300004","View Full Record in Web of Science")</f>
        <v>View Full Record in Web of Science</v>
      </c>
    </row>
    <row r="217" spans="1:72" x14ac:dyDescent="0.15">
      <c r="A217" t="s">
        <v>72</v>
      </c>
      <c r="B217" t="s">
        <v>4404</v>
      </c>
      <c r="C217" t="s">
        <v>74</v>
      </c>
      <c r="D217" t="s">
        <v>74</v>
      </c>
      <c r="E217" t="s">
        <v>74</v>
      </c>
      <c r="F217" t="s">
        <v>4405</v>
      </c>
      <c r="G217" t="s">
        <v>74</v>
      </c>
      <c r="H217" t="s">
        <v>74</v>
      </c>
      <c r="I217" t="s">
        <v>4406</v>
      </c>
      <c r="J217" t="s">
        <v>4407</v>
      </c>
      <c r="K217" t="s">
        <v>74</v>
      </c>
      <c r="L217" t="s">
        <v>74</v>
      </c>
      <c r="M217" t="s">
        <v>78</v>
      </c>
      <c r="N217" t="s">
        <v>79</v>
      </c>
      <c r="O217" t="s">
        <v>74</v>
      </c>
      <c r="P217" t="s">
        <v>74</v>
      </c>
      <c r="Q217" t="s">
        <v>74</v>
      </c>
      <c r="R217" t="s">
        <v>74</v>
      </c>
      <c r="S217" t="s">
        <v>74</v>
      </c>
      <c r="T217" t="s">
        <v>4408</v>
      </c>
      <c r="U217" t="s">
        <v>4409</v>
      </c>
      <c r="V217" t="s">
        <v>4410</v>
      </c>
      <c r="W217" t="s">
        <v>4411</v>
      </c>
      <c r="X217" t="s">
        <v>4412</v>
      </c>
      <c r="Y217" t="s">
        <v>4413</v>
      </c>
      <c r="Z217" t="s">
        <v>4414</v>
      </c>
      <c r="AA217" t="s">
        <v>74</v>
      </c>
      <c r="AB217" t="s">
        <v>4415</v>
      </c>
      <c r="AC217" t="s">
        <v>4416</v>
      </c>
      <c r="AD217" t="s">
        <v>1091</v>
      </c>
      <c r="AE217" t="s">
        <v>4417</v>
      </c>
      <c r="AF217" t="s">
        <v>74</v>
      </c>
      <c r="AG217">
        <v>86</v>
      </c>
      <c r="AH217">
        <v>3</v>
      </c>
      <c r="AI217">
        <v>3</v>
      </c>
      <c r="AJ217">
        <v>0</v>
      </c>
      <c r="AK217">
        <v>14</v>
      </c>
      <c r="AL217" t="s">
        <v>803</v>
      </c>
      <c r="AM217" t="s">
        <v>430</v>
      </c>
      <c r="AN217" t="s">
        <v>804</v>
      </c>
      <c r="AO217" t="s">
        <v>4418</v>
      </c>
      <c r="AP217" t="s">
        <v>4419</v>
      </c>
      <c r="AQ217" t="s">
        <v>74</v>
      </c>
      <c r="AR217" t="s">
        <v>4420</v>
      </c>
      <c r="AS217" t="s">
        <v>4421</v>
      </c>
      <c r="AT217" t="s">
        <v>4377</v>
      </c>
      <c r="AU217">
        <v>2017</v>
      </c>
      <c r="AV217">
        <v>818</v>
      </c>
      <c r="AW217" t="s">
        <v>74</v>
      </c>
      <c r="AX217" t="s">
        <v>74</v>
      </c>
      <c r="AY217" t="s">
        <v>74</v>
      </c>
      <c r="AZ217" t="s">
        <v>74</v>
      </c>
      <c r="BA217" t="s">
        <v>74</v>
      </c>
      <c r="BB217">
        <v>382</v>
      </c>
      <c r="BC217">
        <v>406</v>
      </c>
      <c r="BD217" t="s">
        <v>74</v>
      </c>
      <c r="BE217" t="s">
        <v>4422</v>
      </c>
      <c r="BF217" t="str">
        <f>HYPERLINK("http://dx.doi.org/10.1017/jfm.2017.117","http://dx.doi.org/10.1017/jfm.2017.117")</f>
        <v>http://dx.doi.org/10.1017/jfm.2017.117</v>
      </c>
      <c r="BG217" t="s">
        <v>74</v>
      </c>
      <c r="BH217" t="s">
        <v>74</v>
      </c>
      <c r="BI217">
        <v>25</v>
      </c>
      <c r="BJ217" t="s">
        <v>4423</v>
      </c>
      <c r="BK217" t="s">
        <v>103</v>
      </c>
      <c r="BL217" t="s">
        <v>4424</v>
      </c>
      <c r="BM217" t="s">
        <v>4425</v>
      </c>
      <c r="BN217" t="s">
        <v>74</v>
      </c>
      <c r="BO217" t="s">
        <v>74</v>
      </c>
      <c r="BP217" t="s">
        <v>74</v>
      </c>
      <c r="BQ217" t="s">
        <v>74</v>
      </c>
      <c r="BR217" t="s">
        <v>106</v>
      </c>
      <c r="BS217" t="s">
        <v>4426</v>
      </c>
      <c r="BT217" t="str">
        <f>HYPERLINK("https%3A%2F%2Fwww.webofscience.com%2Fwos%2Fwoscc%2Ffull-record%2FWOS:000398508300021","View Full Record in Web of Science")</f>
        <v>View Full Record in Web of Science</v>
      </c>
    </row>
    <row r="218" spans="1:72" x14ac:dyDescent="0.15">
      <c r="A218" t="s">
        <v>72</v>
      </c>
      <c r="B218" t="s">
        <v>4427</v>
      </c>
      <c r="C218" t="s">
        <v>74</v>
      </c>
      <c r="D218" t="s">
        <v>74</v>
      </c>
      <c r="E218" t="s">
        <v>74</v>
      </c>
      <c r="F218" t="s">
        <v>4428</v>
      </c>
      <c r="G218" t="s">
        <v>74</v>
      </c>
      <c r="H218" t="s">
        <v>74</v>
      </c>
      <c r="I218" t="s">
        <v>4429</v>
      </c>
      <c r="J218" t="s">
        <v>4430</v>
      </c>
      <c r="K218" t="s">
        <v>74</v>
      </c>
      <c r="L218" t="s">
        <v>74</v>
      </c>
      <c r="M218" t="s">
        <v>78</v>
      </c>
      <c r="N218" t="s">
        <v>79</v>
      </c>
      <c r="O218" t="s">
        <v>74</v>
      </c>
      <c r="P218" t="s">
        <v>74</v>
      </c>
      <c r="Q218" t="s">
        <v>74</v>
      </c>
      <c r="R218" t="s">
        <v>74</v>
      </c>
      <c r="S218" t="s">
        <v>74</v>
      </c>
      <c r="T218" t="s">
        <v>74</v>
      </c>
      <c r="U218" t="s">
        <v>4431</v>
      </c>
      <c r="V218" t="s">
        <v>4432</v>
      </c>
      <c r="W218" t="s">
        <v>4433</v>
      </c>
      <c r="X218" t="s">
        <v>4434</v>
      </c>
      <c r="Y218" t="s">
        <v>4435</v>
      </c>
      <c r="Z218" t="s">
        <v>4436</v>
      </c>
      <c r="AA218" t="s">
        <v>4437</v>
      </c>
      <c r="AB218" t="s">
        <v>4438</v>
      </c>
      <c r="AC218" t="s">
        <v>4439</v>
      </c>
      <c r="AD218" t="s">
        <v>4440</v>
      </c>
      <c r="AE218" t="s">
        <v>4441</v>
      </c>
      <c r="AF218" t="s">
        <v>74</v>
      </c>
      <c r="AG218">
        <v>26</v>
      </c>
      <c r="AH218">
        <v>7</v>
      </c>
      <c r="AI218">
        <v>9</v>
      </c>
      <c r="AJ218">
        <v>0</v>
      </c>
      <c r="AK218">
        <v>14</v>
      </c>
      <c r="AL218" t="s">
        <v>3534</v>
      </c>
      <c r="AM218" t="s">
        <v>3535</v>
      </c>
      <c r="AN218" t="s">
        <v>3536</v>
      </c>
      <c r="AO218" t="s">
        <v>4442</v>
      </c>
      <c r="AP218" t="s">
        <v>4443</v>
      </c>
      <c r="AQ218" t="s">
        <v>74</v>
      </c>
      <c r="AR218" t="s">
        <v>4444</v>
      </c>
      <c r="AS218" t="s">
        <v>4445</v>
      </c>
      <c r="AT218" t="s">
        <v>4446</v>
      </c>
      <c r="AU218">
        <v>2017</v>
      </c>
      <c r="AV218">
        <v>10</v>
      </c>
      <c r="AW218">
        <v>5</v>
      </c>
      <c r="AX218" t="s">
        <v>74</v>
      </c>
      <c r="AY218" t="s">
        <v>74</v>
      </c>
      <c r="AZ218" t="s">
        <v>74</v>
      </c>
      <c r="BA218" t="s">
        <v>74</v>
      </c>
      <c r="BB218">
        <v>1723</v>
      </c>
      <c r="BC218">
        <v>1737</v>
      </c>
      <c r="BD218" t="s">
        <v>74</v>
      </c>
      <c r="BE218" t="s">
        <v>4447</v>
      </c>
      <c r="BF218" t="str">
        <f>HYPERLINK("http://dx.doi.org/10.5194/amt-10-1723-2017","http://dx.doi.org/10.5194/amt-10-1723-2017")</f>
        <v>http://dx.doi.org/10.5194/amt-10-1723-2017</v>
      </c>
      <c r="BG218" t="s">
        <v>74</v>
      </c>
      <c r="BH218" t="s">
        <v>74</v>
      </c>
      <c r="BI218">
        <v>15</v>
      </c>
      <c r="BJ218" t="s">
        <v>1261</v>
      </c>
      <c r="BK218" t="s">
        <v>103</v>
      </c>
      <c r="BL218" t="s">
        <v>1261</v>
      </c>
      <c r="BM218" t="s">
        <v>4448</v>
      </c>
      <c r="BN218" t="s">
        <v>74</v>
      </c>
      <c r="BO218" t="s">
        <v>4449</v>
      </c>
      <c r="BP218" t="s">
        <v>74</v>
      </c>
      <c r="BQ218" t="s">
        <v>74</v>
      </c>
      <c r="BR218" t="s">
        <v>106</v>
      </c>
      <c r="BS218" t="s">
        <v>4450</v>
      </c>
      <c r="BT218" t="str">
        <f>HYPERLINK("https%3A%2F%2Fwww.webofscience.com%2Fwos%2Fwoscc%2Ffull-record%2FWOS:000409366300001","View Full Record in Web of Science")</f>
        <v>View Full Record in Web of Science</v>
      </c>
    </row>
    <row r="219" spans="1:72" x14ac:dyDescent="0.15">
      <c r="A219" t="s">
        <v>72</v>
      </c>
      <c r="B219" t="s">
        <v>4451</v>
      </c>
      <c r="C219" t="s">
        <v>74</v>
      </c>
      <c r="D219" t="s">
        <v>74</v>
      </c>
      <c r="E219" t="s">
        <v>74</v>
      </c>
      <c r="F219" t="s">
        <v>4452</v>
      </c>
      <c r="G219" t="s">
        <v>74</v>
      </c>
      <c r="H219" t="s">
        <v>74</v>
      </c>
      <c r="I219" t="s">
        <v>4453</v>
      </c>
      <c r="J219" t="s">
        <v>3803</v>
      </c>
      <c r="K219" t="s">
        <v>74</v>
      </c>
      <c r="L219" t="s">
        <v>74</v>
      </c>
      <c r="M219" t="s">
        <v>78</v>
      </c>
      <c r="N219" t="s">
        <v>79</v>
      </c>
      <c r="O219" t="s">
        <v>74</v>
      </c>
      <c r="P219" t="s">
        <v>74</v>
      </c>
      <c r="Q219" t="s">
        <v>74</v>
      </c>
      <c r="R219" t="s">
        <v>74</v>
      </c>
      <c r="S219" t="s">
        <v>74</v>
      </c>
      <c r="T219" t="s">
        <v>74</v>
      </c>
      <c r="U219" t="s">
        <v>4454</v>
      </c>
      <c r="V219" t="s">
        <v>4455</v>
      </c>
      <c r="W219" t="s">
        <v>4456</v>
      </c>
      <c r="X219" t="s">
        <v>4457</v>
      </c>
      <c r="Y219" t="s">
        <v>4458</v>
      </c>
      <c r="Z219" t="s">
        <v>4459</v>
      </c>
      <c r="AA219" t="s">
        <v>4460</v>
      </c>
      <c r="AB219" t="s">
        <v>4461</v>
      </c>
      <c r="AC219" t="s">
        <v>4462</v>
      </c>
      <c r="AD219" t="s">
        <v>4463</v>
      </c>
      <c r="AE219" t="s">
        <v>4464</v>
      </c>
      <c r="AF219" t="s">
        <v>74</v>
      </c>
      <c r="AG219">
        <v>37</v>
      </c>
      <c r="AH219">
        <v>5</v>
      </c>
      <c r="AI219">
        <v>5</v>
      </c>
      <c r="AJ219">
        <v>0</v>
      </c>
      <c r="AK219">
        <v>3</v>
      </c>
      <c r="AL219" t="s">
        <v>3534</v>
      </c>
      <c r="AM219" t="s">
        <v>3535</v>
      </c>
      <c r="AN219" t="s">
        <v>3536</v>
      </c>
      <c r="AO219" t="s">
        <v>3814</v>
      </c>
      <c r="AP219" t="s">
        <v>3815</v>
      </c>
      <c r="AQ219" t="s">
        <v>74</v>
      </c>
      <c r="AR219" t="s">
        <v>3816</v>
      </c>
      <c r="AS219" t="s">
        <v>3817</v>
      </c>
      <c r="AT219" t="s">
        <v>4446</v>
      </c>
      <c r="AU219">
        <v>2017</v>
      </c>
      <c r="AV219">
        <v>13</v>
      </c>
      <c r="AW219">
        <v>5</v>
      </c>
      <c r="AX219" t="s">
        <v>74</v>
      </c>
      <c r="AY219" t="s">
        <v>74</v>
      </c>
      <c r="AZ219" t="s">
        <v>74</v>
      </c>
      <c r="BA219" t="s">
        <v>74</v>
      </c>
      <c r="BB219">
        <v>437</v>
      </c>
      <c r="BC219">
        <v>453</v>
      </c>
      <c r="BD219" t="s">
        <v>74</v>
      </c>
      <c r="BE219" t="s">
        <v>4465</v>
      </c>
      <c r="BF219" t="str">
        <f>HYPERLINK("http://dx.doi.org/10.5194/cp-13-437-2017","http://dx.doi.org/10.5194/cp-13-437-2017")</f>
        <v>http://dx.doi.org/10.5194/cp-13-437-2017</v>
      </c>
      <c r="BG219" t="s">
        <v>74</v>
      </c>
      <c r="BH219" t="s">
        <v>74</v>
      </c>
      <c r="BI219">
        <v>17</v>
      </c>
      <c r="BJ219" t="s">
        <v>3820</v>
      </c>
      <c r="BK219" t="s">
        <v>103</v>
      </c>
      <c r="BL219" t="s">
        <v>3821</v>
      </c>
      <c r="BM219" t="s">
        <v>4466</v>
      </c>
      <c r="BN219" t="s">
        <v>74</v>
      </c>
      <c r="BO219" t="s">
        <v>3844</v>
      </c>
      <c r="BP219" t="s">
        <v>74</v>
      </c>
      <c r="BQ219" t="s">
        <v>74</v>
      </c>
      <c r="BR219" t="s">
        <v>106</v>
      </c>
      <c r="BS219" t="s">
        <v>4467</v>
      </c>
      <c r="BT219" t="str">
        <f>HYPERLINK("https%3A%2F%2Fwww.webofscience.com%2Fwos%2Fwoscc%2Ffull-record%2FWOS:000441341200001","View Full Record in Web of Science")</f>
        <v>View Full Record in Web of Science</v>
      </c>
    </row>
    <row r="220" spans="1:72" x14ac:dyDescent="0.15">
      <c r="A220" t="s">
        <v>72</v>
      </c>
      <c r="B220" t="s">
        <v>4468</v>
      </c>
      <c r="C220" t="s">
        <v>74</v>
      </c>
      <c r="D220" t="s">
        <v>74</v>
      </c>
      <c r="E220" t="s">
        <v>74</v>
      </c>
      <c r="F220" t="s">
        <v>4469</v>
      </c>
      <c r="G220" t="s">
        <v>74</v>
      </c>
      <c r="H220" t="s">
        <v>74</v>
      </c>
      <c r="I220" t="s">
        <v>4470</v>
      </c>
      <c r="J220" t="s">
        <v>1599</v>
      </c>
      <c r="K220" t="s">
        <v>74</v>
      </c>
      <c r="L220" t="s">
        <v>74</v>
      </c>
      <c r="M220" t="s">
        <v>78</v>
      </c>
      <c r="N220" t="s">
        <v>79</v>
      </c>
      <c r="O220" t="s">
        <v>74</v>
      </c>
      <c r="P220" t="s">
        <v>74</v>
      </c>
      <c r="Q220" t="s">
        <v>74</v>
      </c>
      <c r="R220" t="s">
        <v>74</v>
      </c>
      <c r="S220" t="s">
        <v>74</v>
      </c>
      <c r="T220" t="s">
        <v>74</v>
      </c>
      <c r="U220" t="s">
        <v>4471</v>
      </c>
      <c r="V220" t="s">
        <v>4472</v>
      </c>
      <c r="W220" t="s">
        <v>4473</v>
      </c>
      <c r="X220" t="s">
        <v>4474</v>
      </c>
      <c r="Y220" t="s">
        <v>4475</v>
      </c>
      <c r="Z220" t="s">
        <v>4476</v>
      </c>
      <c r="AA220" t="s">
        <v>4477</v>
      </c>
      <c r="AB220" t="s">
        <v>4478</v>
      </c>
      <c r="AC220" t="s">
        <v>4479</v>
      </c>
      <c r="AD220" t="s">
        <v>4480</v>
      </c>
      <c r="AE220" t="s">
        <v>4481</v>
      </c>
      <c r="AF220" t="s">
        <v>74</v>
      </c>
      <c r="AG220">
        <v>58</v>
      </c>
      <c r="AH220">
        <v>27</v>
      </c>
      <c r="AI220">
        <v>31</v>
      </c>
      <c r="AJ220">
        <v>0</v>
      </c>
      <c r="AK220">
        <v>21</v>
      </c>
      <c r="AL220" t="s">
        <v>1611</v>
      </c>
      <c r="AM220" t="s">
        <v>403</v>
      </c>
      <c r="AN220" t="s">
        <v>1612</v>
      </c>
      <c r="AO220" t="s">
        <v>1613</v>
      </c>
      <c r="AP220" t="s">
        <v>74</v>
      </c>
      <c r="AQ220" t="s">
        <v>74</v>
      </c>
      <c r="AR220" t="s">
        <v>1614</v>
      </c>
      <c r="AS220" t="s">
        <v>1615</v>
      </c>
      <c r="AT220" t="s">
        <v>4446</v>
      </c>
      <c r="AU220">
        <v>2017</v>
      </c>
      <c r="AV220">
        <v>8</v>
      </c>
      <c r="AW220" t="s">
        <v>74</v>
      </c>
      <c r="AX220" t="s">
        <v>74</v>
      </c>
      <c r="AY220" t="s">
        <v>74</v>
      </c>
      <c r="AZ220" t="s">
        <v>74</v>
      </c>
      <c r="BA220" t="s">
        <v>74</v>
      </c>
      <c r="BB220" t="s">
        <v>74</v>
      </c>
      <c r="BC220" t="s">
        <v>74</v>
      </c>
      <c r="BD220">
        <v>15228</v>
      </c>
      <c r="BE220" t="s">
        <v>4482</v>
      </c>
      <c r="BF220" t="str">
        <f>HYPERLINK("http://dx.doi.org/10.1038/ncomms15228","http://dx.doi.org/10.1038/ncomms15228")</f>
        <v>http://dx.doi.org/10.1038/ncomms15228</v>
      </c>
      <c r="BG220" t="s">
        <v>74</v>
      </c>
      <c r="BH220" t="s">
        <v>74</v>
      </c>
      <c r="BI220">
        <v>10</v>
      </c>
      <c r="BJ220" t="s">
        <v>1617</v>
      </c>
      <c r="BK220" t="s">
        <v>103</v>
      </c>
      <c r="BL220" t="s">
        <v>1618</v>
      </c>
      <c r="BM220" t="s">
        <v>4483</v>
      </c>
      <c r="BN220">
        <v>28485400</v>
      </c>
      <c r="BO220" t="s">
        <v>4484</v>
      </c>
      <c r="BP220" t="s">
        <v>74</v>
      </c>
      <c r="BQ220" t="s">
        <v>74</v>
      </c>
      <c r="BR220" t="s">
        <v>106</v>
      </c>
      <c r="BS220" t="s">
        <v>4485</v>
      </c>
      <c r="BT220" t="str">
        <f>HYPERLINK("https%3A%2F%2Fwww.webofscience.com%2Fwos%2Fwoscc%2Ffull-record%2FWOS:000400848500001","View Full Record in Web of Science")</f>
        <v>View Full Record in Web of Science</v>
      </c>
    </row>
    <row r="221" spans="1:72" x14ac:dyDescent="0.15">
      <c r="A221" t="s">
        <v>72</v>
      </c>
      <c r="B221" t="s">
        <v>4486</v>
      </c>
      <c r="C221" t="s">
        <v>74</v>
      </c>
      <c r="D221" t="s">
        <v>74</v>
      </c>
      <c r="E221" t="s">
        <v>74</v>
      </c>
      <c r="F221" t="s">
        <v>4487</v>
      </c>
      <c r="G221" t="s">
        <v>74</v>
      </c>
      <c r="H221" t="s">
        <v>74</v>
      </c>
      <c r="I221" t="s">
        <v>4488</v>
      </c>
      <c r="J221" t="s">
        <v>3661</v>
      </c>
      <c r="K221" t="s">
        <v>74</v>
      </c>
      <c r="L221" t="s">
        <v>74</v>
      </c>
      <c r="M221" t="s">
        <v>78</v>
      </c>
      <c r="N221" t="s">
        <v>79</v>
      </c>
      <c r="O221" t="s">
        <v>74</v>
      </c>
      <c r="P221" t="s">
        <v>74</v>
      </c>
      <c r="Q221" t="s">
        <v>74</v>
      </c>
      <c r="R221" t="s">
        <v>74</v>
      </c>
      <c r="S221" t="s">
        <v>74</v>
      </c>
      <c r="T221" t="s">
        <v>74</v>
      </c>
      <c r="U221" t="s">
        <v>4489</v>
      </c>
      <c r="V221" t="s">
        <v>4490</v>
      </c>
      <c r="W221" t="s">
        <v>4491</v>
      </c>
      <c r="X221" t="s">
        <v>4492</v>
      </c>
      <c r="Y221" t="s">
        <v>4493</v>
      </c>
      <c r="Z221" t="s">
        <v>4494</v>
      </c>
      <c r="AA221" t="s">
        <v>4495</v>
      </c>
      <c r="AB221" t="s">
        <v>4496</v>
      </c>
      <c r="AC221" t="s">
        <v>4497</v>
      </c>
      <c r="AD221" t="s">
        <v>4498</v>
      </c>
      <c r="AE221" t="s">
        <v>4499</v>
      </c>
      <c r="AF221" t="s">
        <v>74</v>
      </c>
      <c r="AG221">
        <v>56</v>
      </c>
      <c r="AH221">
        <v>8</v>
      </c>
      <c r="AI221">
        <v>9</v>
      </c>
      <c r="AJ221">
        <v>1</v>
      </c>
      <c r="AK221">
        <v>16</v>
      </c>
      <c r="AL221" t="s">
        <v>3671</v>
      </c>
      <c r="AM221" t="s">
        <v>3672</v>
      </c>
      <c r="AN221" t="s">
        <v>3673</v>
      </c>
      <c r="AO221" t="s">
        <v>3674</v>
      </c>
      <c r="AP221" t="s">
        <v>74</v>
      </c>
      <c r="AQ221" t="s">
        <v>74</v>
      </c>
      <c r="AR221" t="s">
        <v>3675</v>
      </c>
      <c r="AS221" t="s">
        <v>3676</v>
      </c>
      <c r="AT221" t="s">
        <v>4500</v>
      </c>
      <c r="AU221">
        <v>2017</v>
      </c>
      <c r="AV221">
        <v>7</v>
      </c>
      <c r="AW221" t="s">
        <v>74</v>
      </c>
      <c r="AX221" t="s">
        <v>74</v>
      </c>
      <c r="AY221" t="s">
        <v>74</v>
      </c>
      <c r="AZ221" t="s">
        <v>74</v>
      </c>
      <c r="BA221" t="s">
        <v>74</v>
      </c>
      <c r="BB221" t="s">
        <v>74</v>
      </c>
      <c r="BC221" t="s">
        <v>74</v>
      </c>
      <c r="BD221">
        <v>1528</v>
      </c>
      <c r="BE221" t="s">
        <v>4501</v>
      </c>
      <c r="BF221" t="str">
        <f>HYPERLINK("http://dx.doi.org/10.1038/s41598-017-01416-w","http://dx.doi.org/10.1038/s41598-017-01416-w")</f>
        <v>http://dx.doi.org/10.1038/s41598-017-01416-w</v>
      </c>
      <c r="BG221" t="s">
        <v>74</v>
      </c>
      <c r="BH221" t="s">
        <v>74</v>
      </c>
      <c r="BI221">
        <v>8</v>
      </c>
      <c r="BJ221" t="s">
        <v>1617</v>
      </c>
      <c r="BK221" t="s">
        <v>103</v>
      </c>
      <c r="BL221" t="s">
        <v>1618</v>
      </c>
      <c r="BM221" t="s">
        <v>4502</v>
      </c>
      <c r="BN221">
        <v>28484261</v>
      </c>
      <c r="BO221" t="s">
        <v>4503</v>
      </c>
      <c r="BP221" t="s">
        <v>74</v>
      </c>
      <c r="BQ221" t="s">
        <v>74</v>
      </c>
      <c r="BR221" t="s">
        <v>106</v>
      </c>
      <c r="BS221" t="s">
        <v>4504</v>
      </c>
      <c r="BT221" t="str">
        <f>HYPERLINK("https%3A%2F%2Fwww.webofscience.com%2Fwos%2Fwoscc%2Ffull-record%2FWOS:000400873800009","View Full Record in Web of Science")</f>
        <v>View Full Record in Web of Science</v>
      </c>
    </row>
    <row r="222" spans="1:72" x14ac:dyDescent="0.15">
      <c r="A222" t="s">
        <v>72</v>
      </c>
      <c r="B222" t="s">
        <v>4505</v>
      </c>
      <c r="C222" t="s">
        <v>74</v>
      </c>
      <c r="D222" t="s">
        <v>74</v>
      </c>
      <c r="E222" t="s">
        <v>74</v>
      </c>
      <c r="F222" t="s">
        <v>4506</v>
      </c>
      <c r="G222" t="s">
        <v>74</v>
      </c>
      <c r="H222" t="s">
        <v>74</v>
      </c>
      <c r="I222" t="s">
        <v>4507</v>
      </c>
      <c r="J222" t="s">
        <v>3782</v>
      </c>
      <c r="K222" t="s">
        <v>74</v>
      </c>
      <c r="L222" t="s">
        <v>74</v>
      </c>
      <c r="M222" t="s">
        <v>78</v>
      </c>
      <c r="N222" t="s">
        <v>79</v>
      </c>
      <c r="O222" t="s">
        <v>74</v>
      </c>
      <c r="P222" t="s">
        <v>74</v>
      </c>
      <c r="Q222" t="s">
        <v>74</v>
      </c>
      <c r="R222" t="s">
        <v>74</v>
      </c>
      <c r="S222" t="s">
        <v>74</v>
      </c>
      <c r="T222" t="s">
        <v>4508</v>
      </c>
      <c r="U222" t="s">
        <v>4509</v>
      </c>
      <c r="V222" t="s">
        <v>4510</v>
      </c>
      <c r="W222" t="s">
        <v>4511</v>
      </c>
      <c r="X222" t="s">
        <v>4512</v>
      </c>
      <c r="Y222" t="s">
        <v>4513</v>
      </c>
      <c r="Z222" t="s">
        <v>4514</v>
      </c>
      <c r="AA222" t="s">
        <v>74</v>
      </c>
      <c r="AB222" t="s">
        <v>4515</v>
      </c>
      <c r="AC222" t="s">
        <v>4516</v>
      </c>
      <c r="AD222" t="s">
        <v>4517</v>
      </c>
      <c r="AE222" t="s">
        <v>4518</v>
      </c>
      <c r="AF222" t="s">
        <v>74</v>
      </c>
      <c r="AG222">
        <v>51</v>
      </c>
      <c r="AH222">
        <v>9</v>
      </c>
      <c r="AI222">
        <v>9</v>
      </c>
      <c r="AJ222">
        <v>0</v>
      </c>
      <c r="AK222">
        <v>15</v>
      </c>
      <c r="AL222" t="s">
        <v>1141</v>
      </c>
      <c r="AM222" t="s">
        <v>318</v>
      </c>
      <c r="AN222" t="s">
        <v>1142</v>
      </c>
      <c r="AO222" t="s">
        <v>3792</v>
      </c>
      <c r="AP222" t="s">
        <v>4519</v>
      </c>
      <c r="AQ222" t="s">
        <v>74</v>
      </c>
      <c r="AR222" t="s">
        <v>3794</v>
      </c>
      <c r="AS222" t="s">
        <v>3795</v>
      </c>
      <c r="AT222" t="s">
        <v>4520</v>
      </c>
      <c r="AU222">
        <v>2017</v>
      </c>
      <c r="AV222">
        <v>456</v>
      </c>
      <c r="AW222" t="s">
        <v>74</v>
      </c>
      <c r="AX222" t="s">
        <v>74</v>
      </c>
      <c r="AY222" t="s">
        <v>74</v>
      </c>
      <c r="AZ222" t="s">
        <v>74</v>
      </c>
      <c r="BA222" t="s">
        <v>74</v>
      </c>
      <c r="BB222">
        <v>43</v>
      </c>
      <c r="BC222">
        <v>57</v>
      </c>
      <c r="BD222" t="s">
        <v>74</v>
      </c>
      <c r="BE222" t="s">
        <v>4521</v>
      </c>
      <c r="BF222" t="str">
        <f>HYPERLINK("http://dx.doi.org/10.1016/j.chemgeo.2017.03.004","http://dx.doi.org/10.1016/j.chemgeo.2017.03.004")</f>
        <v>http://dx.doi.org/10.1016/j.chemgeo.2017.03.004</v>
      </c>
      <c r="BG222" t="s">
        <v>74</v>
      </c>
      <c r="BH222" t="s">
        <v>74</v>
      </c>
      <c r="BI222">
        <v>15</v>
      </c>
      <c r="BJ222" t="s">
        <v>176</v>
      </c>
      <c r="BK222" t="s">
        <v>103</v>
      </c>
      <c r="BL222" t="s">
        <v>176</v>
      </c>
      <c r="BM222" t="s">
        <v>4522</v>
      </c>
      <c r="BN222" t="s">
        <v>74</v>
      </c>
      <c r="BO222" t="s">
        <v>384</v>
      </c>
      <c r="BP222" t="s">
        <v>74</v>
      </c>
      <c r="BQ222" t="s">
        <v>74</v>
      </c>
      <c r="BR222" t="s">
        <v>106</v>
      </c>
      <c r="BS222" t="s">
        <v>4523</v>
      </c>
      <c r="BT222" t="str">
        <f>HYPERLINK("https%3A%2F%2Fwww.webofscience.com%2Fwos%2Fwoscc%2Ffull-record%2FWOS:000402211800005","View Full Record in Web of Science")</f>
        <v>View Full Record in Web of Science</v>
      </c>
    </row>
    <row r="223" spans="1:72" x14ac:dyDescent="0.15">
      <c r="A223" t="s">
        <v>72</v>
      </c>
      <c r="B223" t="s">
        <v>4524</v>
      </c>
      <c r="C223" t="s">
        <v>74</v>
      </c>
      <c r="D223" t="s">
        <v>74</v>
      </c>
      <c r="E223" t="s">
        <v>74</v>
      </c>
      <c r="F223" t="s">
        <v>4525</v>
      </c>
      <c r="G223" t="s">
        <v>74</v>
      </c>
      <c r="H223" t="s">
        <v>74</v>
      </c>
      <c r="I223" t="s">
        <v>4526</v>
      </c>
      <c r="J223" t="s">
        <v>3827</v>
      </c>
      <c r="K223" t="s">
        <v>74</v>
      </c>
      <c r="L223" t="s">
        <v>74</v>
      </c>
      <c r="M223" t="s">
        <v>78</v>
      </c>
      <c r="N223" t="s">
        <v>79</v>
      </c>
      <c r="O223" t="s">
        <v>74</v>
      </c>
      <c r="P223" t="s">
        <v>74</v>
      </c>
      <c r="Q223" t="s">
        <v>74</v>
      </c>
      <c r="R223" t="s">
        <v>74</v>
      </c>
      <c r="S223" t="s">
        <v>74</v>
      </c>
      <c r="T223" t="s">
        <v>74</v>
      </c>
      <c r="U223" t="s">
        <v>4527</v>
      </c>
      <c r="V223" t="s">
        <v>4528</v>
      </c>
      <c r="W223" t="s">
        <v>4529</v>
      </c>
      <c r="X223" t="s">
        <v>4530</v>
      </c>
      <c r="Y223" t="s">
        <v>4531</v>
      </c>
      <c r="Z223" t="s">
        <v>4532</v>
      </c>
      <c r="AA223" t="s">
        <v>4533</v>
      </c>
      <c r="AB223" t="s">
        <v>4534</v>
      </c>
      <c r="AC223" t="s">
        <v>4535</v>
      </c>
      <c r="AD223" t="s">
        <v>4536</v>
      </c>
      <c r="AE223" t="s">
        <v>4537</v>
      </c>
      <c r="AF223" t="s">
        <v>74</v>
      </c>
      <c r="AG223">
        <v>66</v>
      </c>
      <c r="AH223">
        <v>33</v>
      </c>
      <c r="AI223">
        <v>34</v>
      </c>
      <c r="AJ223">
        <v>0</v>
      </c>
      <c r="AK223">
        <v>20</v>
      </c>
      <c r="AL223" t="s">
        <v>3534</v>
      </c>
      <c r="AM223" t="s">
        <v>3535</v>
      </c>
      <c r="AN223" t="s">
        <v>3536</v>
      </c>
      <c r="AO223" t="s">
        <v>3839</v>
      </c>
      <c r="AP223" t="s">
        <v>3840</v>
      </c>
      <c r="AQ223" t="s">
        <v>74</v>
      </c>
      <c r="AR223" t="s">
        <v>3827</v>
      </c>
      <c r="AS223" t="s">
        <v>3841</v>
      </c>
      <c r="AT223" t="s">
        <v>4520</v>
      </c>
      <c r="AU223">
        <v>2017</v>
      </c>
      <c r="AV223">
        <v>11</v>
      </c>
      <c r="AW223">
        <v>3</v>
      </c>
      <c r="AX223" t="s">
        <v>74</v>
      </c>
      <c r="AY223" t="s">
        <v>74</v>
      </c>
      <c r="AZ223" t="s">
        <v>74</v>
      </c>
      <c r="BA223" t="s">
        <v>74</v>
      </c>
      <c r="BB223">
        <v>1111</v>
      </c>
      <c r="BC223">
        <v>1130</v>
      </c>
      <c r="BD223" t="s">
        <v>74</v>
      </c>
      <c r="BE223" t="s">
        <v>4538</v>
      </c>
      <c r="BF223" t="str">
        <f>HYPERLINK("http://dx.doi.org/10.5194/tc-11-1111-2017","http://dx.doi.org/10.5194/tc-11-1111-2017")</f>
        <v>http://dx.doi.org/10.5194/tc-11-1111-2017</v>
      </c>
      <c r="BG223" t="s">
        <v>74</v>
      </c>
      <c r="BH223" t="s">
        <v>74</v>
      </c>
      <c r="BI223">
        <v>20</v>
      </c>
      <c r="BJ223" t="s">
        <v>1338</v>
      </c>
      <c r="BK223" t="s">
        <v>103</v>
      </c>
      <c r="BL223" t="s">
        <v>1339</v>
      </c>
      <c r="BM223" t="s">
        <v>4539</v>
      </c>
      <c r="BN223" t="s">
        <v>74</v>
      </c>
      <c r="BO223" t="s">
        <v>4540</v>
      </c>
      <c r="BP223" t="s">
        <v>74</v>
      </c>
      <c r="BQ223" t="s">
        <v>74</v>
      </c>
      <c r="BR223" t="s">
        <v>106</v>
      </c>
      <c r="BS223" t="s">
        <v>4541</v>
      </c>
      <c r="BT223" t="str">
        <f>HYPERLINK("https%3A%2F%2Fwww.webofscience.com%2Fwos%2Fwoscc%2Ffull-record%2FWOS:000400733100004","View Full Record in Web of Science")</f>
        <v>View Full Record in Web of Science</v>
      </c>
    </row>
    <row r="224" spans="1:72" x14ac:dyDescent="0.15">
      <c r="A224" t="s">
        <v>72</v>
      </c>
      <c r="B224" t="s">
        <v>4542</v>
      </c>
      <c r="C224" t="s">
        <v>74</v>
      </c>
      <c r="D224" t="s">
        <v>74</v>
      </c>
      <c r="E224" t="s">
        <v>74</v>
      </c>
      <c r="F224" t="s">
        <v>4543</v>
      </c>
      <c r="G224" t="s">
        <v>74</v>
      </c>
      <c r="H224" t="s">
        <v>74</v>
      </c>
      <c r="I224" t="s">
        <v>4544</v>
      </c>
      <c r="J224" t="s">
        <v>4545</v>
      </c>
      <c r="K224" t="s">
        <v>74</v>
      </c>
      <c r="L224" t="s">
        <v>74</v>
      </c>
      <c r="M224" t="s">
        <v>78</v>
      </c>
      <c r="N224" t="s">
        <v>79</v>
      </c>
      <c r="O224" t="s">
        <v>74</v>
      </c>
      <c r="P224" t="s">
        <v>74</v>
      </c>
      <c r="Q224" t="s">
        <v>74</v>
      </c>
      <c r="R224" t="s">
        <v>74</v>
      </c>
      <c r="S224" t="s">
        <v>74</v>
      </c>
      <c r="T224" t="s">
        <v>74</v>
      </c>
      <c r="U224" t="s">
        <v>4546</v>
      </c>
      <c r="V224" t="s">
        <v>4547</v>
      </c>
      <c r="W224" t="s">
        <v>4548</v>
      </c>
      <c r="X224" t="s">
        <v>4549</v>
      </c>
      <c r="Y224" t="s">
        <v>4550</v>
      </c>
      <c r="Z224" t="s">
        <v>4551</v>
      </c>
      <c r="AA224" t="s">
        <v>4552</v>
      </c>
      <c r="AB224" t="s">
        <v>4553</v>
      </c>
      <c r="AC224" t="s">
        <v>4554</v>
      </c>
      <c r="AD224" t="s">
        <v>4555</v>
      </c>
      <c r="AE224" t="s">
        <v>4556</v>
      </c>
      <c r="AF224" t="s">
        <v>74</v>
      </c>
      <c r="AG224">
        <v>34</v>
      </c>
      <c r="AH224">
        <v>13</v>
      </c>
      <c r="AI224">
        <v>15</v>
      </c>
      <c r="AJ224">
        <v>0</v>
      </c>
      <c r="AK224">
        <v>12</v>
      </c>
      <c r="AL224" t="s">
        <v>3534</v>
      </c>
      <c r="AM224" t="s">
        <v>3535</v>
      </c>
      <c r="AN224" t="s">
        <v>3536</v>
      </c>
      <c r="AO224" t="s">
        <v>4557</v>
      </c>
      <c r="AP224" t="s">
        <v>4558</v>
      </c>
      <c r="AQ224" t="s">
        <v>74</v>
      </c>
      <c r="AR224" t="s">
        <v>4559</v>
      </c>
      <c r="AS224" t="s">
        <v>4560</v>
      </c>
      <c r="AT224" t="s">
        <v>4520</v>
      </c>
      <c r="AU224">
        <v>2017</v>
      </c>
      <c r="AV224">
        <v>9</v>
      </c>
      <c r="AW224">
        <v>1</v>
      </c>
      <c r="AX224" t="s">
        <v>74</v>
      </c>
      <c r="AY224" t="s">
        <v>74</v>
      </c>
      <c r="AZ224" t="s">
        <v>74</v>
      </c>
      <c r="BA224" t="s">
        <v>74</v>
      </c>
      <c r="BB224">
        <v>267</v>
      </c>
      <c r="BC224">
        <v>279</v>
      </c>
      <c r="BD224" t="s">
        <v>74</v>
      </c>
      <c r="BE224" t="s">
        <v>4561</v>
      </c>
      <c r="BF224" t="str">
        <f>HYPERLINK("http://dx.doi.org/10.5194/essd-9-267-2017","http://dx.doi.org/10.5194/essd-9-267-2017")</f>
        <v>http://dx.doi.org/10.5194/essd-9-267-2017</v>
      </c>
      <c r="BG224" t="s">
        <v>74</v>
      </c>
      <c r="BH224" t="s">
        <v>74</v>
      </c>
      <c r="BI224">
        <v>13</v>
      </c>
      <c r="BJ224" t="s">
        <v>3820</v>
      </c>
      <c r="BK224" t="s">
        <v>103</v>
      </c>
      <c r="BL224" t="s">
        <v>3821</v>
      </c>
      <c r="BM224" t="s">
        <v>4562</v>
      </c>
      <c r="BN224" t="s">
        <v>74</v>
      </c>
      <c r="BO224" t="s">
        <v>3887</v>
      </c>
      <c r="BP224" t="s">
        <v>74</v>
      </c>
      <c r="BQ224" t="s">
        <v>74</v>
      </c>
      <c r="BR224" t="s">
        <v>106</v>
      </c>
      <c r="BS224" t="s">
        <v>4563</v>
      </c>
      <c r="BT224" t="str">
        <f>HYPERLINK("https%3A%2F%2Fwww.webofscience.com%2Fwos%2Fwoscc%2Ffull-record%2FWOS:000400645200001","View Full Record in Web of Science")</f>
        <v>View Full Record in Web of Science</v>
      </c>
    </row>
    <row r="225" spans="1:72" x14ac:dyDescent="0.15">
      <c r="A225" t="s">
        <v>72</v>
      </c>
      <c r="B225" t="s">
        <v>4564</v>
      </c>
      <c r="C225" t="s">
        <v>74</v>
      </c>
      <c r="D225" t="s">
        <v>74</v>
      </c>
      <c r="E225" t="s">
        <v>74</v>
      </c>
      <c r="F225" t="s">
        <v>4565</v>
      </c>
      <c r="G225" t="s">
        <v>74</v>
      </c>
      <c r="H225" t="s">
        <v>74</v>
      </c>
      <c r="I225" t="s">
        <v>4566</v>
      </c>
      <c r="J225" t="s">
        <v>3827</v>
      </c>
      <c r="K225" t="s">
        <v>74</v>
      </c>
      <c r="L225" t="s">
        <v>74</v>
      </c>
      <c r="M225" t="s">
        <v>78</v>
      </c>
      <c r="N225" t="s">
        <v>79</v>
      </c>
      <c r="O225" t="s">
        <v>74</v>
      </c>
      <c r="P225" t="s">
        <v>74</v>
      </c>
      <c r="Q225" t="s">
        <v>74</v>
      </c>
      <c r="R225" t="s">
        <v>74</v>
      </c>
      <c r="S225" t="s">
        <v>74</v>
      </c>
      <c r="T225" t="s">
        <v>74</v>
      </c>
      <c r="U225" t="s">
        <v>4567</v>
      </c>
      <c r="V225" t="s">
        <v>4568</v>
      </c>
      <c r="W225" t="s">
        <v>4569</v>
      </c>
      <c r="X225" t="s">
        <v>4570</v>
      </c>
      <c r="Y225" t="s">
        <v>4571</v>
      </c>
      <c r="Z225" t="s">
        <v>4572</v>
      </c>
      <c r="AA225" t="s">
        <v>4573</v>
      </c>
      <c r="AB225" t="s">
        <v>4574</v>
      </c>
      <c r="AC225" t="s">
        <v>4575</v>
      </c>
      <c r="AD225" t="s">
        <v>4576</v>
      </c>
      <c r="AE225" t="s">
        <v>4577</v>
      </c>
      <c r="AF225" t="s">
        <v>74</v>
      </c>
      <c r="AG225">
        <v>21</v>
      </c>
      <c r="AH225">
        <v>45</v>
      </c>
      <c r="AI225">
        <v>46</v>
      </c>
      <c r="AJ225">
        <v>0</v>
      </c>
      <c r="AK225">
        <v>9</v>
      </c>
      <c r="AL225" t="s">
        <v>3534</v>
      </c>
      <c r="AM225" t="s">
        <v>3535</v>
      </c>
      <c r="AN225" t="s">
        <v>3536</v>
      </c>
      <c r="AO225" t="s">
        <v>3839</v>
      </c>
      <c r="AP225" t="s">
        <v>3840</v>
      </c>
      <c r="AQ225" t="s">
        <v>74</v>
      </c>
      <c r="AR225" t="s">
        <v>3827</v>
      </c>
      <c r="AS225" t="s">
        <v>3841</v>
      </c>
      <c r="AT225" t="s">
        <v>4578</v>
      </c>
      <c r="AU225">
        <v>2017</v>
      </c>
      <c r="AV225">
        <v>11</v>
      </c>
      <c r="AW225">
        <v>3</v>
      </c>
      <c r="AX225" t="s">
        <v>74</v>
      </c>
      <c r="AY225" t="s">
        <v>74</v>
      </c>
      <c r="AZ225" t="s">
        <v>74</v>
      </c>
      <c r="BA225" t="s">
        <v>74</v>
      </c>
      <c r="BB225">
        <v>1035</v>
      </c>
      <c r="BC225">
        <v>1040</v>
      </c>
      <c r="BD225" t="s">
        <v>74</v>
      </c>
      <c r="BE225" t="s">
        <v>4579</v>
      </c>
      <c r="BF225" t="str">
        <f>HYPERLINK("http://dx.doi.org/10.5194/tc-11-1035-2017","http://dx.doi.org/10.5194/tc-11-1035-2017")</f>
        <v>http://dx.doi.org/10.5194/tc-11-1035-2017</v>
      </c>
      <c r="BG225" t="s">
        <v>74</v>
      </c>
      <c r="BH225" t="s">
        <v>74</v>
      </c>
      <c r="BI225">
        <v>6</v>
      </c>
      <c r="BJ225" t="s">
        <v>1338</v>
      </c>
      <c r="BK225" t="s">
        <v>103</v>
      </c>
      <c r="BL225" t="s">
        <v>1339</v>
      </c>
      <c r="BM225" t="s">
        <v>4580</v>
      </c>
      <c r="BN225" t="s">
        <v>74</v>
      </c>
      <c r="BO225" t="s">
        <v>205</v>
      </c>
      <c r="BP225" t="s">
        <v>74</v>
      </c>
      <c r="BQ225" t="s">
        <v>74</v>
      </c>
      <c r="BR225" t="s">
        <v>106</v>
      </c>
      <c r="BS225" t="s">
        <v>4581</v>
      </c>
      <c r="BT225" t="str">
        <f>HYPERLINK("https%3A%2F%2Fwww.webofscience.com%2Fwos%2Fwoscc%2Ffull-record%2FWOS:000400582300001","View Full Record in Web of Science")</f>
        <v>View Full Record in Web of Science</v>
      </c>
    </row>
    <row r="226" spans="1:72" x14ac:dyDescent="0.15">
      <c r="A226" t="s">
        <v>72</v>
      </c>
      <c r="B226" t="s">
        <v>4582</v>
      </c>
      <c r="C226" t="s">
        <v>74</v>
      </c>
      <c r="D226" t="s">
        <v>74</v>
      </c>
      <c r="E226" t="s">
        <v>74</v>
      </c>
      <c r="F226" t="s">
        <v>4583</v>
      </c>
      <c r="G226" t="s">
        <v>74</v>
      </c>
      <c r="H226" t="s">
        <v>74</v>
      </c>
      <c r="I226" t="s">
        <v>4584</v>
      </c>
      <c r="J226" t="s">
        <v>4585</v>
      </c>
      <c r="K226" t="s">
        <v>74</v>
      </c>
      <c r="L226" t="s">
        <v>74</v>
      </c>
      <c r="M226" t="s">
        <v>78</v>
      </c>
      <c r="N226" t="s">
        <v>79</v>
      </c>
      <c r="O226" t="s">
        <v>74</v>
      </c>
      <c r="P226" t="s">
        <v>74</v>
      </c>
      <c r="Q226" t="s">
        <v>74</v>
      </c>
      <c r="R226" t="s">
        <v>74</v>
      </c>
      <c r="S226" t="s">
        <v>74</v>
      </c>
      <c r="T226" t="s">
        <v>4586</v>
      </c>
      <c r="U226" t="s">
        <v>4587</v>
      </c>
      <c r="V226" t="s">
        <v>4588</v>
      </c>
      <c r="W226" t="s">
        <v>4589</v>
      </c>
      <c r="X226" t="s">
        <v>4590</v>
      </c>
      <c r="Y226" t="s">
        <v>4591</v>
      </c>
      <c r="Z226" t="s">
        <v>4592</v>
      </c>
      <c r="AA226" t="s">
        <v>4593</v>
      </c>
      <c r="AB226" t="s">
        <v>4594</v>
      </c>
      <c r="AC226" t="s">
        <v>4595</v>
      </c>
      <c r="AD226" t="s">
        <v>4596</v>
      </c>
      <c r="AE226" t="s">
        <v>4597</v>
      </c>
      <c r="AF226" t="s">
        <v>74</v>
      </c>
      <c r="AG226">
        <v>36</v>
      </c>
      <c r="AH226">
        <v>25</v>
      </c>
      <c r="AI226">
        <v>29</v>
      </c>
      <c r="AJ226">
        <v>0</v>
      </c>
      <c r="AK226">
        <v>45</v>
      </c>
      <c r="AL226" t="s">
        <v>4255</v>
      </c>
      <c r="AM226" t="s">
        <v>403</v>
      </c>
      <c r="AN226" t="s">
        <v>4256</v>
      </c>
      <c r="AO226" t="s">
        <v>4598</v>
      </c>
      <c r="AP226" t="s">
        <v>74</v>
      </c>
      <c r="AQ226" t="s">
        <v>74</v>
      </c>
      <c r="AR226" t="s">
        <v>4599</v>
      </c>
      <c r="AS226" t="s">
        <v>4600</v>
      </c>
      <c r="AT226" t="s">
        <v>4601</v>
      </c>
      <c r="AU226">
        <v>2017</v>
      </c>
      <c r="AV226">
        <v>16</v>
      </c>
      <c r="AW226" t="s">
        <v>74</v>
      </c>
      <c r="AX226" t="s">
        <v>74</v>
      </c>
      <c r="AY226" t="s">
        <v>74</v>
      </c>
      <c r="AZ226" t="s">
        <v>74</v>
      </c>
      <c r="BA226" t="s">
        <v>74</v>
      </c>
      <c r="BB226" t="s">
        <v>74</v>
      </c>
      <c r="BC226" t="s">
        <v>74</v>
      </c>
      <c r="BD226">
        <v>75</v>
      </c>
      <c r="BE226" t="s">
        <v>4602</v>
      </c>
      <c r="BF226" t="str">
        <f>HYPERLINK("http://dx.doi.org/10.1186/s12934-017-0693-x","http://dx.doi.org/10.1186/s12934-017-0693-x")</f>
        <v>http://dx.doi.org/10.1186/s12934-017-0693-x</v>
      </c>
      <c r="BG226" t="s">
        <v>74</v>
      </c>
      <c r="BH226" t="s">
        <v>74</v>
      </c>
      <c r="BI226">
        <v>10</v>
      </c>
      <c r="BJ226" t="s">
        <v>3566</v>
      </c>
      <c r="BK226" t="s">
        <v>103</v>
      </c>
      <c r="BL226" t="s">
        <v>3566</v>
      </c>
      <c r="BM226" t="s">
        <v>4603</v>
      </c>
      <c r="BN226">
        <v>28464820</v>
      </c>
      <c r="BO226" t="s">
        <v>3118</v>
      </c>
      <c r="BP226" t="s">
        <v>74</v>
      </c>
      <c r="BQ226" t="s">
        <v>74</v>
      </c>
      <c r="BR226" t="s">
        <v>106</v>
      </c>
      <c r="BS226" t="s">
        <v>4604</v>
      </c>
      <c r="BT226" t="str">
        <f>HYPERLINK("https%3A%2F%2Fwww.webofscience.com%2Fwos%2Fwoscc%2Ffull-record%2FWOS:000400327100002","View Full Record in Web of Science")</f>
        <v>View Full Record in Web of Science</v>
      </c>
    </row>
    <row r="227" spans="1:72" x14ac:dyDescent="0.15">
      <c r="A227" t="s">
        <v>72</v>
      </c>
      <c r="B227" t="s">
        <v>4605</v>
      </c>
      <c r="C227" t="s">
        <v>74</v>
      </c>
      <c r="D227" t="s">
        <v>74</v>
      </c>
      <c r="E227" t="s">
        <v>74</v>
      </c>
      <c r="F227" t="s">
        <v>4606</v>
      </c>
      <c r="G227" t="s">
        <v>74</v>
      </c>
      <c r="H227" t="s">
        <v>74</v>
      </c>
      <c r="I227" t="s">
        <v>4607</v>
      </c>
      <c r="J227" t="s">
        <v>4608</v>
      </c>
      <c r="K227" t="s">
        <v>74</v>
      </c>
      <c r="L227" t="s">
        <v>74</v>
      </c>
      <c r="M227" t="s">
        <v>78</v>
      </c>
      <c r="N227" t="s">
        <v>79</v>
      </c>
      <c r="O227" t="s">
        <v>74</v>
      </c>
      <c r="P227" t="s">
        <v>74</v>
      </c>
      <c r="Q227" t="s">
        <v>74</v>
      </c>
      <c r="R227" t="s">
        <v>74</v>
      </c>
      <c r="S227" t="s">
        <v>74</v>
      </c>
      <c r="T227" t="s">
        <v>4609</v>
      </c>
      <c r="U227" t="s">
        <v>4610</v>
      </c>
      <c r="V227" t="s">
        <v>4611</v>
      </c>
      <c r="W227" t="s">
        <v>4612</v>
      </c>
      <c r="X227" t="s">
        <v>4613</v>
      </c>
      <c r="Y227" t="s">
        <v>4614</v>
      </c>
      <c r="Z227" t="s">
        <v>4615</v>
      </c>
      <c r="AA227" t="s">
        <v>74</v>
      </c>
      <c r="AB227" t="s">
        <v>74</v>
      </c>
      <c r="AC227" t="s">
        <v>4616</v>
      </c>
      <c r="AD227" t="s">
        <v>4617</v>
      </c>
      <c r="AE227" t="s">
        <v>4618</v>
      </c>
      <c r="AF227" t="s">
        <v>74</v>
      </c>
      <c r="AG227">
        <v>87</v>
      </c>
      <c r="AH227">
        <v>2</v>
      </c>
      <c r="AI227">
        <v>2</v>
      </c>
      <c r="AJ227">
        <v>2</v>
      </c>
      <c r="AK227">
        <v>19</v>
      </c>
      <c r="AL227" t="s">
        <v>92</v>
      </c>
      <c r="AM227" t="s">
        <v>93</v>
      </c>
      <c r="AN227" t="s">
        <v>94</v>
      </c>
      <c r="AO227" t="s">
        <v>4619</v>
      </c>
      <c r="AP227" t="s">
        <v>4620</v>
      </c>
      <c r="AQ227" t="s">
        <v>74</v>
      </c>
      <c r="AR227" t="s">
        <v>4621</v>
      </c>
      <c r="AS227" t="s">
        <v>4622</v>
      </c>
      <c r="AT227" t="s">
        <v>4623</v>
      </c>
      <c r="AU227">
        <v>2017</v>
      </c>
      <c r="AV227">
        <v>93</v>
      </c>
      <c r="AW227">
        <v>5</v>
      </c>
      <c r="AX227" t="s">
        <v>74</v>
      </c>
      <c r="AY227" t="s">
        <v>74</v>
      </c>
      <c r="AZ227" t="s">
        <v>74</v>
      </c>
      <c r="BA227" t="s">
        <v>74</v>
      </c>
      <c r="BB227" t="s">
        <v>74</v>
      </c>
      <c r="BC227" t="s">
        <v>74</v>
      </c>
      <c r="BD227" t="s">
        <v>4624</v>
      </c>
      <c r="BE227" t="s">
        <v>4625</v>
      </c>
      <c r="BF227" t="str">
        <f>HYPERLINK("http://dx.doi.org/10.1093/femsec/fix019","http://dx.doi.org/10.1093/femsec/fix019")</f>
        <v>http://dx.doi.org/10.1093/femsec/fix019</v>
      </c>
      <c r="BG227" t="s">
        <v>74</v>
      </c>
      <c r="BH227" t="s">
        <v>74</v>
      </c>
      <c r="BI227">
        <v>10</v>
      </c>
      <c r="BJ227" t="s">
        <v>410</v>
      </c>
      <c r="BK227" t="s">
        <v>103</v>
      </c>
      <c r="BL227" t="s">
        <v>410</v>
      </c>
      <c r="BM227" t="s">
        <v>4626</v>
      </c>
      <c r="BN227">
        <v>28334326</v>
      </c>
      <c r="BO227" t="s">
        <v>412</v>
      </c>
      <c r="BP227" t="s">
        <v>74</v>
      </c>
      <c r="BQ227" t="s">
        <v>74</v>
      </c>
      <c r="BR227" t="s">
        <v>106</v>
      </c>
      <c r="BS227" t="s">
        <v>4627</v>
      </c>
      <c r="BT227" t="str">
        <f>HYPERLINK("https%3A%2F%2Fwww.webofscience.com%2Fwos%2Fwoscc%2Ffull-record%2FWOS:000410337900009","View Full Record in Web of Science")</f>
        <v>View Full Record in Web of Science</v>
      </c>
    </row>
    <row r="228" spans="1:72" x14ac:dyDescent="0.15">
      <c r="A228" t="s">
        <v>72</v>
      </c>
      <c r="B228" t="s">
        <v>4628</v>
      </c>
      <c r="C228" t="s">
        <v>74</v>
      </c>
      <c r="D228" t="s">
        <v>74</v>
      </c>
      <c r="E228" t="s">
        <v>74</v>
      </c>
      <c r="F228" t="s">
        <v>4629</v>
      </c>
      <c r="G228" t="s">
        <v>74</v>
      </c>
      <c r="H228" t="s">
        <v>74</v>
      </c>
      <c r="I228" t="s">
        <v>4630</v>
      </c>
      <c r="J228" t="s">
        <v>4631</v>
      </c>
      <c r="K228" t="s">
        <v>74</v>
      </c>
      <c r="L228" t="s">
        <v>74</v>
      </c>
      <c r="M228" t="s">
        <v>78</v>
      </c>
      <c r="N228" t="s">
        <v>79</v>
      </c>
      <c r="O228" t="s">
        <v>74</v>
      </c>
      <c r="P228" t="s">
        <v>74</v>
      </c>
      <c r="Q228" t="s">
        <v>74</v>
      </c>
      <c r="R228" t="s">
        <v>74</v>
      </c>
      <c r="S228" t="s">
        <v>74</v>
      </c>
      <c r="T228" t="s">
        <v>74</v>
      </c>
      <c r="U228" t="s">
        <v>4632</v>
      </c>
      <c r="V228" t="s">
        <v>4633</v>
      </c>
      <c r="W228" t="s">
        <v>4634</v>
      </c>
      <c r="X228" t="s">
        <v>4635</v>
      </c>
      <c r="Y228" t="s">
        <v>4636</v>
      </c>
      <c r="Z228" t="s">
        <v>4637</v>
      </c>
      <c r="AA228" t="s">
        <v>4638</v>
      </c>
      <c r="AB228" t="s">
        <v>4639</v>
      </c>
      <c r="AC228" t="s">
        <v>74</v>
      </c>
      <c r="AD228" t="s">
        <v>74</v>
      </c>
      <c r="AE228" t="s">
        <v>74</v>
      </c>
      <c r="AF228" t="s">
        <v>74</v>
      </c>
      <c r="AG228">
        <v>56</v>
      </c>
      <c r="AH228">
        <v>5</v>
      </c>
      <c r="AI228">
        <v>5</v>
      </c>
      <c r="AJ228">
        <v>0</v>
      </c>
      <c r="AK228">
        <v>14</v>
      </c>
      <c r="AL228" t="s">
        <v>1141</v>
      </c>
      <c r="AM228" t="s">
        <v>318</v>
      </c>
      <c r="AN228" t="s">
        <v>1142</v>
      </c>
      <c r="AO228" t="s">
        <v>4640</v>
      </c>
      <c r="AP228" t="s">
        <v>4641</v>
      </c>
      <c r="AQ228" t="s">
        <v>74</v>
      </c>
      <c r="AR228" t="s">
        <v>4642</v>
      </c>
      <c r="AS228" t="s">
        <v>4643</v>
      </c>
      <c r="AT228" t="s">
        <v>4623</v>
      </c>
      <c r="AU228">
        <v>2017</v>
      </c>
      <c r="AV228">
        <v>133</v>
      </c>
      <c r="AW228" t="s">
        <v>74</v>
      </c>
      <c r="AX228" t="s">
        <v>74</v>
      </c>
      <c r="AY228" t="s">
        <v>74</v>
      </c>
      <c r="AZ228" t="s">
        <v>74</v>
      </c>
      <c r="BA228" t="s">
        <v>74</v>
      </c>
      <c r="BB228">
        <v>40</v>
      </c>
      <c r="BC228">
        <v>49</v>
      </c>
      <c r="BD228" t="s">
        <v>74</v>
      </c>
      <c r="BE228" t="s">
        <v>4644</v>
      </c>
      <c r="BF228" t="str">
        <f>HYPERLINK("http://dx.doi.org/10.1016/j.marmicro.2017.06.002","http://dx.doi.org/10.1016/j.marmicro.2017.06.002")</f>
        <v>http://dx.doi.org/10.1016/j.marmicro.2017.06.002</v>
      </c>
      <c r="BG228" t="s">
        <v>74</v>
      </c>
      <c r="BH228" t="s">
        <v>74</v>
      </c>
      <c r="BI228">
        <v>10</v>
      </c>
      <c r="BJ228" t="s">
        <v>2461</v>
      </c>
      <c r="BK228" t="s">
        <v>103</v>
      </c>
      <c r="BL228" t="s">
        <v>2461</v>
      </c>
      <c r="BM228" t="s">
        <v>4645</v>
      </c>
      <c r="BN228" t="s">
        <v>74</v>
      </c>
      <c r="BO228" t="s">
        <v>74</v>
      </c>
      <c r="BP228" t="s">
        <v>74</v>
      </c>
      <c r="BQ228" t="s">
        <v>74</v>
      </c>
      <c r="BR228" t="s">
        <v>106</v>
      </c>
      <c r="BS228" t="s">
        <v>4646</v>
      </c>
      <c r="BT228" t="str">
        <f>HYPERLINK("https%3A%2F%2Fwww.webofscience.com%2Fwos%2Fwoscc%2Ffull-record%2FWOS:000409152700004","View Full Record in Web of Science")</f>
        <v>View Full Record in Web of Science</v>
      </c>
    </row>
    <row r="229" spans="1:72" x14ac:dyDescent="0.15">
      <c r="A229" t="s">
        <v>72</v>
      </c>
      <c r="B229" t="s">
        <v>4647</v>
      </c>
      <c r="C229" t="s">
        <v>74</v>
      </c>
      <c r="D229" t="s">
        <v>74</v>
      </c>
      <c r="E229" t="s">
        <v>74</v>
      </c>
      <c r="F229" t="s">
        <v>4648</v>
      </c>
      <c r="G229" t="s">
        <v>74</v>
      </c>
      <c r="H229" t="s">
        <v>74</v>
      </c>
      <c r="I229" t="s">
        <v>4649</v>
      </c>
      <c r="J229" t="s">
        <v>4650</v>
      </c>
      <c r="K229" t="s">
        <v>74</v>
      </c>
      <c r="L229" t="s">
        <v>74</v>
      </c>
      <c r="M229" t="s">
        <v>78</v>
      </c>
      <c r="N229" t="s">
        <v>79</v>
      </c>
      <c r="O229" t="s">
        <v>74</v>
      </c>
      <c r="P229" t="s">
        <v>74</v>
      </c>
      <c r="Q229" t="s">
        <v>74</v>
      </c>
      <c r="R229" t="s">
        <v>74</v>
      </c>
      <c r="S229" t="s">
        <v>74</v>
      </c>
      <c r="T229" t="s">
        <v>4651</v>
      </c>
      <c r="U229" t="s">
        <v>4652</v>
      </c>
      <c r="V229" t="s">
        <v>4653</v>
      </c>
      <c r="W229" t="s">
        <v>4654</v>
      </c>
      <c r="X229" t="s">
        <v>4655</v>
      </c>
      <c r="Y229" t="s">
        <v>4656</v>
      </c>
      <c r="Z229" t="s">
        <v>4657</v>
      </c>
      <c r="AA229" t="s">
        <v>4658</v>
      </c>
      <c r="AB229" t="s">
        <v>4659</v>
      </c>
      <c r="AC229" t="s">
        <v>4660</v>
      </c>
      <c r="AD229" t="s">
        <v>4661</v>
      </c>
      <c r="AE229" t="s">
        <v>4662</v>
      </c>
      <c r="AF229" t="s">
        <v>74</v>
      </c>
      <c r="AG229">
        <v>29</v>
      </c>
      <c r="AH229">
        <v>2</v>
      </c>
      <c r="AI229">
        <v>2</v>
      </c>
      <c r="AJ229">
        <v>0</v>
      </c>
      <c r="AK229">
        <v>12</v>
      </c>
      <c r="AL229" t="s">
        <v>4663</v>
      </c>
      <c r="AM229" t="s">
        <v>4664</v>
      </c>
      <c r="AN229" t="s">
        <v>4665</v>
      </c>
      <c r="AO229" t="s">
        <v>4666</v>
      </c>
      <c r="AP229" t="s">
        <v>74</v>
      </c>
      <c r="AQ229" t="s">
        <v>74</v>
      </c>
      <c r="AR229" t="s">
        <v>4667</v>
      </c>
      <c r="AS229" t="s">
        <v>4668</v>
      </c>
      <c r="AT229" t="s">
        <v>4623</v>
      </c>
      <c r="AU229">
        <v>2017</v>
      </c>
      <c r="AV229">
        <v>46</v>
      </c>
      <c r="AW229">
        <v>5</v>
      </c>
      <c r="AX229" t="s">
        <v>74</v>
      </c>
      <c r="AY229" t="s">
        <v>74</v>
      </c>
      <c r="AZ229" t="s">
        <v>74</v>
      </c>
      <c r="BA229" t="s">
        <v>74</v>
      </c>
      <c r="BB229">
        <v>677</v>
      </c>
      <c r="BC229">
        <v>684</v>
      </c>
      <c r="BD229" t="s">
        <v>74</v>
      </c>
      <c r="BE229" t="s">
        <v>4669</v>
      </c>
      <c r="BF229" t="str">
        <f>HYPERLINK("http://dx.doi.org/10.17576/jsm-2017-4605-01","http://dx.doi.org/10.17576/jsm-2017-4605-01")</f>
        <v>http://dx.doi.org/10.17576/jsm-2017-4605-01</v>
      </c>
      <c r="BG229" t="s">
        <v>74</v>
      </c>
      <c r="BH229" t="s">
        <v>74</v>
      </c>
      <c r="BI229">
        <v>8</v>
      </c>
      <c r="BJ229" t="s">
        <v>1617</v>
      </c>
      <c r="BK229" t="s">
        <v>103</v>
      </c>
      <c r="BL229" t="s">
        <v>1618</v>
      </c>
      <c r="BM229" t="s">
        <v>4670</v>
      </c>
      <c r="BN229" t="s">
        <v>74</v>
      </c>
      <c r="BO229" t="s">
        <v>131</v>
      </c>
      <c r="BP229" t="s">
        <v>74</v>
      </c>
      <c r="BQ229" t="s">
        <v>74</v>
      </c>
      <c r="BR229" t="s">
        <v>106</v>
      </c>
      <c r="BS229" t="s">
        <v>4671</v>
      </c>
      <c r="BT229" t="str">
        <f>HYPERLINK("https%3A%2F%2Fwww.webofscience.com%2Fwos%2Fwoscc%2Ffull-record%2FWOS:000408160600001","View Full Record in Web of Science")</f>
        <v>View Full Record in Web of Science</v>
      </c>
    </row>
    <row r="230" spans="1:72" x14ac:dyDescent="0.15">
      <c r="A230" t="s">
        <v>72</v>
      </c>
      <c r="B230" t="s">
        <v>4672</v>
      </c>
      <c r="C230" t="s">
        <v>74</v>
      </c>
      <c r="D230" t="s">
        <v>74</v>
      </c>
      <c r="E230" t="s">
        <v>74</v>
      </c>
      <c r="F230" t="s">
        <v>4673</v>
      </c>
      <c r="G230" t="s">
        <v>74</v>
      </c>
      <c r="H230" t="s">
        <v>74</v>
      </c>
      <c r="I230" t="s">
        <v>4674</v>
      </c>
      <c r="J230" t="s">
        <v>4675</v>
      </c>
      <c r="K230" t="s">
        <v>74</v>
      </c>
      <c r="L230" t="s">
        <v>74</v>
      </c>
      <c r="M230" t="s">
        <v>78</v>
      </c>
      <c r="N230" t="s">
        <v>79</v>
      </c>
      <c r="O230" t="s">
        <v>74</v>
      </c>
      <c r="P230" t="s">
        <v>74</v>
      </c>
      <c r="Q230" t="s">
        <v>74</v>
      </c>
      <c r="R230" t="s">
        <v>74</v>
      </c>
      <c r="S230" t="s">
        <v>74</v>
      </c>
      <c r="T230" t="s">
        <v>4676</v>
      </c>
      <c r="U230" t="s">
        <v>4677</v>
      </c>
      <c r="V230" t="s">
        <v>4678</v>
      </c>
      <c r="W230" t="s">
        <v>4679</v>
      </c>
      <c r="X230" t="s">
        <v>2650</v>
      </c>
      <c r="Y230" t="s">
        <v>4680</v>
      </c>
      <c r="Z230" t="s">
        <v>4681</v>
      </c>
      <c r="AA230" t="s">
        <v>74</v>
      </c>
      <c r="AB230" t="s">
        <v>74</v>
      </c>
      <c r="AC230" t="s">
        <v>74</v>
      </c>
      <c r="AD230" t="s">
        <v>74</v>
      </c>
      <c r="AE230" t="s">
        <v>74</v>
      </c>
      <c r="AF230" t="s">
        <v>74</v>
      </c>
      <c r="AG230">
        <v>10</v>
      </c>
      <c r="AH230">
        <v>0</v>
      </c>
      <c r="AI230">
        <v>0</v>
      </c>
      <c r="AJ230">
        <v>1</v>
      </c>
      <c r="AK230">
        <v>10</v>
      </c>
      <c r="AL230" t="s">
        <v>4682</v>
      </c>
      <c r="AM230" t="s">
        <v>403</v>
      </c>
      <c r="AN230" t="s">
        <v>4683</v>
      </c>
      <c r="AO230" t="s">
        <v>4684</v>
      </c>
      <c r="AP230" t="s">
        <v>4685</v>
      </c>
      <c r="AQ230" t="s">
        <v>74</v>
      </c>
      <c r="AR230" t="s">
        <v>4686</v>
      </c>
      <c r="AS230" t="s">
        <v>4687</v>
      </c>
      <c r="AT230" t="s">
        <v>4623</v>
      </c>
      <c r="AU230">
        <v>2017</v>
      </c>
      <c r="AV230">
        <v>28</v>
      </c>
      <c r="AW230">
        <v>3</v>
      </c>
      <c r="AX230" t="s">
        <v>74</v>
      </c>
      <c r="AY230" t="s">
        <v>74</v>
      </c>
      <c r="AZ230" t="s">
        <v>74</v>
      </c>
      <c r="BA230" t="s">
        <v>74</v>
      </c>
      <c r="BB230">
        <v>302</v>
      </c>
      <c r="BC230">
        <v>315</v>
      </c>
      <c r="BD230" t="s">
        <v>74</v>
      </c>
      <c r="BE230" t="s">
        <v>4688</v>
      </c>
      <c r="BF230" t="str">
        <f>HYPERLINK("http://dx.doi.org/10.1177/0958305X16686447","http://dx.doi.org/10.1177/0958305X16686447")</f>
        <v>http://dx.doi.org/10.1177/0958305X16686447</v>
      </c>
      <c r="BG230" t="s">
        <v>74</v>
      </c>
      <c r="BH230" t="s">
        <v>74</v>
      </c>
      <c r="BI230">
        <v>14</v>
      </c>
      <c r="BJ230" t="s">
        <v>4689</v>
      </c>
      <c r="BK230" t="s">
        <v>3321</v>
      </c>
      <c r="BL230" t="s">
        <v>993</v>
      </c>
      <c r="BM230" t="s">
        <v>4690</v>
      </c>
      <c r="BN230" t="s">
        <v>74</v>
      </c>
      <c r="BO230" t="s">
        <v>74</v>
      </c>
      <c r="BP230" t="s">
        <v>74</v>
      </c>
      <c r="BQ230" t="s">
        <v>74</v>
      </c>
      <c r="BR230" t="s">
        <v>106</v>
      </c>
      <c r="BS230" t="s">
        <v>4691</v>
      </c>
      <c r="BT230" t="str">
        <f>HYPERLINK("https%3A%2F%2Fwww.webofscience.com%2Fwos%2Fwoscc%2Ffull-record%2FWOS:000401915900005","View Full Record in Web of Science")</f>
        <v>View Full Record in Web of Science</v>
      </c>
    </row>
    <row r="231" spans="1:72" x14ac:dyDescent="0.15">
      <c r="A231" t="s">
        <v>72</v>
      </c>
      <c r="B231" t="s">
        <v>4692</v>
      </c>
      <c r="C231" t="s">
        <v>74</v>
      </c>
      <c r="D231" t="s">
        <v>74</v>
      </c>
      <c r="E231" t="s">
        <v>74</v>
      </c>
      <c r="F231" t="s">
        <v>4693</v>
      </c>
      <c r="G231" t="s">
        <v>74</v>
      </c>
      <c r="H231" t="s">
        <v>74</v>
      </c>
      <c r="I231" t="s">
        <v>4694</v>
      </c>
      <c r="J231" t="s">
        <v>277</v>
      </c>
      <c r="K231" t="s">
        <v>74</v>
      </c>
      <c r="L231" t="s">
        <v>74</v>
      </c>
      <c r="M231" t="s">
        <v>78</v>
      </c>
      <c r="N231" t="s">
        <v>79</v>
      </c>
      <c r="O231" t="s">
        <v>74</v>
      </c>
      <c r="P231" t="s">
        <v>74</v>
      </c>
      <c r="Q231" t="s">
        <v>74</v>
      </c>
      <c r="R231" t="s">
        <v>74</v>
      </c>
      <c r="S231" t="s">
        <v>74</v>
      </c>
      <c r="T231" t="s">
        <v>4695</v>
      </c>
      <c r="U231" t="s">
        <v>4696</v>
      </c>
      <c r="V231" t="s">
        <v>4697</v>
      </c>
      <c r="W231" t="s">
        <v>4698</v>
      </c>
      <c r="X231" t="s">
        <v>4699</v>
      </c>
      <c r="Y231" t="s">
        <v>4700</v>
      </c>
      <c r="Z231" t="s">
        <v>4701</v>
      </c>
      <c r="AA231" t="s">
        <v>74</v>
      </c>
      <c r="AB231" t="s">
        <v>74</v>
      </c>
      <c r="AC231" t="s">
        <v>4702</v>
      </c>
      <c r="AD231" t="s">
        <v>4703</v>
      </c>
      <c r="AE231" t="s">
        <v>74</v>
      </c>
      <c r="AF231" t="s">
        <v>74</v>
      </c>
      <c r="AG231">
        <v>126</v>
      </c>
      <c r="AH231">
        <v>32</v>
      </c>
      <c r="AI231">
        <v>38</v>
      </c>
      <c r="AJ231">
        <v>0</v>
      </c>
      <c r="AK231">
        <v>20</v>
      </c>
      <c r="AL231" t="s">
        <v>289</v>
      </c>
      <c r="AM231" t="s">
        <v>290</v>
      </c>
      <c r="AN231" t="s">
        <v>291</v>
      </c>
      <c r="AO231" t="s">
        <v>292</v>
      </c>
      <c r="AP231" t="s">
        <v>293</v>
      </c>
      <c r="AQ231" t="s">
        <v>74</v>
      </c>
      <c r="AR231" t="s">
        <v>294</v>
      </c>
      <c r="AS231" t="s">
        <v>295</v>
      </c>
      <c r="AT231" t="s">
        <v>4623</v>
      </c>
      <c r="AU231">
        <v>2017</v>
      </c>
      <c r="AV231">
        <v>10</v>
      </c>
      <c r="AW231">
        <v>5</v>
      </c>
      <c r="AX231">
        <v>2</v>
      </c>
      <c r="AY231" t="s">
        <v>74</v>
      </c>
      <c r="AZ231" t="s">
        <v>74</v>
      </c>
      <c r="BA231" t="s">
        <v>74</v>
      </c>
      <c r="BB231">
        <v>2307</v>
      </c>
      <c r="BC231">
        <v>2320</v>
      </c>
      <c r="BD231" t="s">
        <v>74</v>
      </c>
      <c r="BE231" t="s">
        <v>4704</v>
      </c>
      <c r="BF231" t="str">
        <f>HYPERLINK("http://dx.doi.org/10.1109/JSTARS.2016.2629418","http://dx.doi.org/10.1109/JSTARS.2016.2629418")</f>
        <v>http://dx.doi.org/10.1109/JSTARS.2016.2629418</v>
      </c>
      <c r="BG231" t="s">
        <v>74</v>
      </c>
      <c r="BH231" t="s">
        <v>74</v>
      </c>
      <c r="BI231">
        <v>14</v>
      </c>
      <c r="BJ231" t="s">
        <v>297</v>
      </c>
      <c r="BK231" t="s">
        <v>103</v>
      </c>
      <c r="BL231" t="s">
        <v>298</v>
      </c>
      <c r="BM231" t="s">
        <v>4705</v>
      </c>
      <c r="BN231">
        <v>28919936</v>
      </c>
      <c r="BO231" t="s">
        <v>1100</v>
      </c>
      <c r="BP231" t="s">
        <v>74</v>
      </c>
      <c r="BQ231" t="s">
        <v>74</v>
      </c>
      <c r="BR231" t="s">
        <v>106</v>
      </c>
      <c r="BS231" t="s">
        <v>4706</v>
      </c>
      <c r="BT231" t="str">
        <f>HYPERLINK("https%3A%2F%2Fwww.webofscience.com%2Fwos%2Fwoscc%2Ffull-record%2FWOS:000406418700018","View Full Record in Web of Science")</f>
        <v>View Full Record in Web of Science</v>
      </c>
    </row>
    <row r="232" spans="1:72" x14ac:dyDescent="0.15">
      <c r="A232" t="s">
        <v>72</v>
      </c>
      <c r="B232" t="s">
        <v>4707</v>
      </c>
      <c r="C232" t="s">
        <v>74</v>
      </c>
      <c r="D232" t="s">
        <v>74</v>
      </c>
      <c r="E232" t="s">
        <v>74</v>
      </c>
      <c r="F232" t="s">
        <v>4708</v>
      </c>
      <c r="G232" t="s">
        <v>74</v>
      </c>
      <c r="H232" t="s">
        <v>74</v>
      </c>
      <c r="I232" t="s">
        <v>4709</v>
      </c>
      <c r="J232" t="s">
        <v>895</v>
      </c>
      <c r="K232" t="s">
        <v>74</v>
      </c>
      <c r="L232" t="s">
        <v>74</v>
      </c>
      <c r="M232" t="s">
        <v>78</v>
      </c>
      <c r="N232" t="s">
        <v>79</v>
      </c>
      <c r="O232" t="s">
        <v>74</v>
      </c>
      <c r="P232" t="s">
        <v>74</v>
      </c>
      <c r="Q232" t="s">
        <v>74</v>
      </c>
      <c r="R232" t="s">
        <v>74</v>
      </c>
      <c r="S232" t="s">
        <v>74</v>
      </c>
      <c r="T232" t="s">
        <v>4710</v>
      </c>
      <c r="U232" t="s">
        <v>4711</v>
      </c>
      <c r="V232" t="s">
        <v>4712</v>
      </c>
      <c r="W232" t="s">
        <v>4713</v>
      </c>
      <c r="X232" t="s">
        <v>2399</v>
      </c>
      <c r="Y232" t="s">
        <v>4714</v>
      </c>
      <c r="Z232" t="s">
        <v>74</v>
      </c>
      <c r="AA232" t="s">
        <v>4715</v>
      </c>
      <c r="AB232" t="s">
        <v>4716</v>
      </c>
      <c r="AC232" t="s">
        <v>4717</v>
      </c>
      <c r="AD232" t="s">
        <v>4718</v>
      </c>
      <c r="AE232" t="s">
        <v>4719</v>
      </c>
      <c r="AF232" t="s">
        <v>74</v>
      </c>
      <c r="AG232">
        <v>31</v>
      </c>
      <c r="AH232">
        <v>27</v>
      </c>
      <c r="AI232">
        <v>27</v>
      </c>
      <c r="AJ232">
        <v>1</v>
      </c>
      <c r="AK232">
        <v>13</v>
      </c>
      <c r="AL232" t="s">
        <v>656</v>
      </c>
      <c r="AM232" t="s">
        <v>93</v>
      </c>
      <c r="AN232" t="s">
        <v>657</v>
      </c>
      <c r="AO232" t="s">
        <v>911</v>
      </c>
      <c r="AP232" t="s">
        <v>912</v>
      </c>
      <c r="AQ232" t="s">
        <v>74</v>
      </c>
      <c r="AR232" t="s">
        <v>913</v>
      </c>
      <c r="AS232" t="s">
        <v>914</v>
      </c>
      <c r="AT232" t="s">
        <v>4623</v>
      </c>
      <c r="AU232">
        <v>2017</v>
      </c>
      <c r="AV232">
        <v>139</v>
      </c>
      <c r="AW232" t="s">
        <v>74</v>
      </c>
      <c r="AX232" t="s">
        <v>74</v>
      </c>
      <c r="AY232" t="s">
        <v>74</v>
      </c>
      <c r="AZ232" t="s">
        <v>100</v>
      </c>
      <c r="BA232" t="s">
        <v>74</v>
      </c>
      <c r="BB232">
        <v>9</v>
      </c>
      <c r="BC232">
        <v>17</v>
      </c>
      <c r="BD232" t="s">
        <v>74</v>
      </c>
      <c r="BE232" t="s">
        <v>4720</v>
      </c>
      <c r="BF232" t="str">
        <f>HYPERLINK("http://dx.doi.org/10.1016/j.dsr2.2016.09.005","http://dx.doi.org/10.1016/j.dsr2.2016.09.005")</f>
        <v>http://dx.doi.org/10.1016/j.dsr2.2016.09.005</v>
      </c>
      <c r="BG232" t="s">
        <v>74</v>
      </c>
      <c r="BH232" t="s">
        <v>74</v>
      </c>
      <c r="BI232">
        <v>9</v>
      </c>
      <c r="BJ232" t="s">
        <v>127</v>
      </c>
      <c r="BK232" t="s">
        <v>103</v>
      </c>
      <c r="BL232" t="s">
        <v>127</v>
      </c>
      <c r="BM232" t="s">
        <v>4721</v>
      </c>
      <c r="BN232" t="s">
        <v>74</v>
      </c>
      <c r="BO232" t="s">
        <v>1100</v>
      </c>
      <c r="BP232" t="s">
        <v>74</v>
      </c>
      <c r="BQ232" t="s">
        <v>74</v>
      </c>
      <c r="BR232" t="s">
        <v>106</v>
      </c>
      <c r="BS232" t="s">
        <v>4722</v>
      </c>
      <c r="BT232" t="str">
        <f>HYPERLINK("https%3A%2F%2Fwww.webofscience.com%2Fwos%2Fwoscc%2Ffull-record%2FWOS:000405884100002","View Full Record in Web of Science")</f>
        <v>View Full Record in Web of Science</v>
      </c>
    </row>
    <row r="233" spans="1:72" x14ac:dyDescent="0.15">
      <c r="A233" t="s">
        <v>72</v>
      </c>
      <c r="B233" t="s">
        <v>4723</v>
      </c>
      <c r="C233" t="s">
        <v>74</v>
      </c>
      <c r="D233" t="s">
        <v>74</v>
      </c>
      <c r="E233" t="s">
        <v>74</v>
      </c>
      <c r="F233" t="s">
        <v>4724</v>
      </c>
      <c r="G233" t="s">
        <v>74</v>
      </c>
      <c r="H233" t="s">
        <v>74</v>
      </c>
      <c r="I233" t="s">
        <v>4725</v>
      </c>
      <c r="J233" t="s">
        <v>895</v>
      </c>
      <c r="K233" t="s">
        <v>74</v>
      </c>
      <c r="L233" t="s">
        <v>74</v>
      </c>
      <c r="M233" t="s">
        <v>78</v>
      </c>
      <c r="N233" t="s">
        <v>79</v>
      </c>
      <c r="O233" t="s">
        <v>74</v>
      </c>
      <c r="P233" t="s">
        <v>74</v>
      </c>
      <c r="Q233" t="s">
        <v>74</v>
      </c>
      <c r="R233" t="s">
        <v>74</v>
      </c>
      <c r="S233" t="s">
        <v>74</v>
      </c>
      <c r="T233" t="s">
        <v>4726</v>
      </c>
      <c r="U233" t="s">
        <v>4727</v>
      </c>
      <c r="V233" t="s">
        <v>4728</v>
      </c>
      <c r="W233" t="s">
        <v>4729</v>
      </c>
      <c r="X233" t="s">
        <v>4730</v>
      </c>
      <c r="Y233" t="s">
        <v>4731</v>
      </c>
      <c r="Z233" t="s">
        <v>4732</v>
      </c>
      <c r="AA233" t="s">
        <v>4733</v>
      </c>
      <c r="AB233" t="s">
        <v>4734</v>
      </c>
      <c r="AC233" t="s">
        <v>4735</v>
      </c>
      <c r="AD233" t="s">
        <v>4736</v>
      </c>
      <c r="AE233" t="s">
        <v>4737</v>
      </c>
      <c r="AF233" t="s">
        <v>74</v>
      </c>
      <c r="AG233">
        <v>49</v>
      </c>
      <c r="AH233">
        <v>20</v>
      </c>
      <c r="AI233">
        <v>23</v>
      </c>
      <c r="AJ233">
        <v>0</v>
      </c>
      <c r="AK233">
        <v>11</v>
      </c>
      <c r="AL233" t="s">
        <v>656</v>
      </c>
      <c r="AM233" t="s">
        <v>93</v>
      </c>
      <c r="AN233" t="s">
        <v>657</v>
      </c>
      <c r="AO233" t="s">
        <v>911</v>
      </c>
      <c r="AP233" t="s">
        <v>912</v>
      </c>
      <c r="AQ233" t="s">
        <v>74</v>
      </c>
      <c r="AR233" t="s">
        <v>913</v>
      </c>
      <c r="AS233" t="s">
        <v>914</v>
      </c>
      <c r="AT233" t="s">
        <v>4623</v>
      </c>
      <c r="AU233">
        <v>2017</v>
      </c>
      <c r="AV233">
        <v>139</v>
      </c>
      <c r="AW233" t="s">
        <v>74</v>
      </c>
      <c r="AX233" t="s">
        <v>74</v>
      </c>
      <c r="AY233" t="s">
        <v>74</v>
      </c>
      <c r="AZ233" t="s">
        <v>100</v>
      </c>
      <c r="BA233" t="s">
        <v>74</v>
      </c>
      <c r="BB233">
        <v>18</v>
      </c>
      <c r="BC233">
        <v>30</v>
      </c>
      <c r="BD233" t="s">
        <v>74</v>
      </c>
      <c r="BE233" t="s">
        <v>4738</v>
      </c>
      <c r="BF233" t="str">
        <f>HYPERLINK("http://dx.doi.org/10.1016/j.dsr2.2017.02.011","http://dx.doi.org/10.1016/j.dsr2.2017.02.011")</f>
        <v>http://dx.doi.org/10.1016/j.dsr2.2017.02.011</v>
      </c>
      <c r="BG233" t="s">
        <v>74</v>
      </c>
      <c r="BH233" t="s">
        <v>74</v>
      </c>
      <c r="BI233">
        <v>13</v>
      </c>
      <c r="BJ233" t="s">
        <v>127</v>
      </c>
      <c r="BK233" t="s">
        <v>103</v>
      </c>
      <c r="BL233" t="s">
        <v>127</v>
      </c>
      <c r="BM233" t="s">
        <v>4721</v>
      </c>
      <c r="BN233" t="s">
        <v>74</v>
      </c>
      <c r="BO233" t="s">
        <v>1100</v>
      </c>
      <c r="BP233" t="s">
        <v>74</v>
      </c>
      <c r="BQ233" t="s">
        <v>74</v>
      </c>
      <c r="BR233" t="s">
        <v>106</v>
      </c>
      <c r="BS233" t="s">
        <v>4739</v>
      </c>
      <c r="BT233" t="str">
        <f>HYPERLINK("https%3A%2F%2Fwww.webofscience.com%2Fwos%2Fwoscc%2Ffull-record%2FWOS:000405884100003","View Full Record in Web of Science")</f>
        <v>View Full Record in Web of Science</v>
      </c>
    </row>
    <row r="234" spans="1:72" x14ac:dyDescent="0.15">
      <c r="A234" t="s">
        <v>72</v>
      </c>
      <c r="B234" t="s">
        <v>4740</v>
      </c>
      <c r="C234" t="s">
        <v>74</v>
      </c>
      <c r="D234" t="s">
        <v>74</v>
      </c>
      <c r="E234" t="s">
        <v>74</v>
      </c>
      <c r="F234" t="s">
        <v>4741</v>
      </c>
      <c r="G234" t="s">
        <v>74</v>
      </c>
      <c r="H234" t="s">
        <v>74</v>
      </c>
      <c r="I234" t="s">
        <v>4742</v>
      </c>
      <c r="J234" t="s">
        <v>895</v>
      </c>
      <c r="K234" t="s">
        <v>74</v>
      </c>
      <c r="L234" t="s">
        <v>74</v>
      </c>
      <c r="M234" t="s">
        <v>78</v>
      </c>
      <c r="N234" t="s">
        <v>79</v>
      </c>
      <c r="O234" t="s">
        <v>74</v>
      </c>
      <c r="P234" t="s">
        <v>74</v>
      </c>
      <c r="Q234" t="s">
        <v>74</v>
      </c>
      <c r="R234" t="s">
        <v>74</v>
      </c>
      <c r="S234" t="s">
        <v>74</v>
      </c>
      <c r="T234" t="s">
        <v>4743</v>
      </c>
      <c r="U234" t="s">
        <v>4744</v>
      </c>
      <c r="V234" t="s">
        <v>4745</v>
      </c>
      <c r="W234" t="s">
        <v>4746</v>
      </c>
      <c r="X234" t="s">
        <v>4747</v>
      </c>
      <c r="Y234" t="s">
        <v>4748</v>
      </c>
      <c r="Z234" t="s">
        <v>4749</v>
      </c>
      <c r="AA234" t="s">
        <v>4750</v>
      </c>
      <c r="AB234" t="s">
        <v>4751</v>
      </c>
      <c r="AC234" t="s">
        <v>4752</v>
      </c>
      <c r="AD234" t="s">
        <v>4753</v>
      </c>
      <c r="AE234" t="s">
        <v>4754</v>
      </c>
      <c r="AF234" t="s">
        <v>74</v>
      </c>
      <c r="AG234">
        <v>114</v>
      </c>
      <c r="AH234">
        <v>43</v>
      </c>
      <c r="AI234">
        <v>50</v>
      </c>
      <c r="AJ234">
        <v>1</v>
      </c>
      <c r="AK234">
        <v>39</v>
      </c>
      <c r="AL234" t="s">
        <v>656</v>
      </c>
      <c r="AM234" t="s">
        <v>93</v>
      </c>
      <c r="AN234" t="s">
        <v>657</v>
      </c>
      <c r="AO234" t="s">
        <v>911</v>
      </c>
      <c r="AP234" t="s">
        <v>912</v>
      </c>
      <c r="AQ234" t="s">
        <v>74</v>
      </c>
      <c r="AR234" t="s">
        <v>913</v>
      </c>
      <c r="AS234" t="s">
        <v>914</v>
      </c>
      <c r="AT234" t="s">
        <v>4623</v>
      </c>
      <c r="AU234">
        <v>2017</v>
      </c>
      <c r="AV234">
        <v>139</v>
      </c>
      <c r="AW234" t="s">
        <v>74</v>
      </c>
      <c r="AX234" t="s">
        <v>74</v>
      </c>
      <c r="AY234" t="s">
        <v>74</v>
      </c>
      <c r="AZ234" t="s">
        <v>100</v>
      </c>
      <c r="BA234" t="s">
        <v>74</v>
      </c>
      <c r="BB234">
        <v>58</v>
      </c>
      <c r="BC234">
        <v>76</v>
      </c>
      <c r="BD234" t="s">
        <v>74</v>
      </c>
      <c r="BE234" t="s">
        <v>4755</v>
      </c>
      <c r="BF234" t="str">
        <f>HYPERLINK("http://dx.doi.org/10.1016/j.dsr2.2016.10.003","http://dx.doi.org/10.1016/j.dsr2.2016.10.003")</f>
        <v>http://dx.doi.org/10.1016/j.dsr2.2016.10.003</v>
      </c>
      <c r="BG234" t="s">
        <v>74</v>
      </c>
      <c r="BH234" t="s">
        <v>74</v>
      </c>
      <c r="BI234">
        <v>19</v>
      </c>
      <c r="BJ234" t="s">
        <v>127</v>
      </c>
      <c r="BK234" t="s">
        <v>103</v>
      </c>
      <c r="BL234" t="s">
        <v>127</v>
      </c>
      <c r="BM234" t="s">
        <v>4721</v>
      </c>
      <c r="BN234" t="s">
        <v>74</v>
      </c>
      <c r="BO234" t="s">
        <v>2617</v>
      </c>
      <c r="BP234" t="s">
        <v>74</v>
      </c>
      <c r="BQ234" t="s">
        <v>74</v>
      </c>
      <c r="BR234" t="s">
        <v>106</v>
      </c>
      <c r="BS234" t="s">
        <v>4756</v>
      </c>
      <c r="BT234" t="str">
        <f>HYPERLINK("https%3A%2F%2Fwww.webofscience.com%2Fwos%2Fwoscc%2Ffull-record%2FWOS:000405884100006","View Full Record in Web of Science")</f>
        <v>View Full Record in Web of Science</v>
      </c>
    </row>
    <row r="235" spans="1:72" x14ac:dyDescent="0.15">
      <c r="A235" t="s">
        <v>72</v>
      </c>
      <c r="B235" t="s">
        <v>4757</v>
      </c>
      <c r="C235" t="s">
        <v>74</v>
      </c>
      <c r="D235" t="s">
        <v>74</v>
      </c>
      <c r="E235" t="s">
        <v>74</v>
      </c>
      <c r="F235" t="s">
        <v>4758</v>
      </c>
      <c r="G235" t="s">
        <v>74</v>
      </c>
      <c r="H235" t="s">
        <v>74</v>
      </c>
      <c r="I235" t="s">
        <v>4759</v>
      </c>
      <c r="J235" t="s">
        <v>895</v>
      </c>
      <c r="K235" t="s">
        <v>74</v>
      </c>
      <c r="L235" t="s">
        <v>74</v>
      </c>
      <c r="M235" t="s">
        <v>78</v>
      </c>
      <c r="N235" t="s">
        <v>79</v>
      </c>
      <c r="O235" t="s">
        <v>74</v>
      </c>
      <c r="P235" t="s">
        <v>74</v>
      </c>
      <c r="Q235" t="s">
        <v>74</v>
      </c>
      <c r="R235" t="s">
        <v>74</v>
      </c>
      <c r="S235" t="s">
        <v>74</v>
      </c>
      <c r="T235" t="s">
        <v>4760</v>
      </c>
      <c r="U235" t="s">
        <v>4761</v>
      </c>
      <c r="V235" t="s">
        <v>4762</v>
      </c>
      <c r="W235" t="s">
        <v>4763</v>
      </c>
      <c r="X235" t="s">
        <v>4764</v>
      </c>
      <c r="Y235" t="s">
        <v>4765</v>
      </c>
      <c r="Z235" t="s">
        <v>4766</v>
      </c>
      <c r="AA235" t="s">
        <v>4767</v>
      </c>
      <c r="AB235" t="s">
        <v>4768</v>
      </c>
      <c r="AC235" t="s">
        <v>4769</v>
      </c>
      <c r="AD235" t="s">
        <v>4770</v>
      </c>
      <c r="AE235" t="s">
        <v>4771</v>
      </c>
      <c r="AF235" t="s">
        <v>74</v>
      </c>
      <c r="AG235">
        <v>83</v>
      </c>
      <c r="AH235">
        <v>38</v>
      </c>
      <c r="AI235">
        <v>42</v>
      </c>
      <c r="AJ235">
        <v>1</v>
      </c>
      <c r="AK235">
        <v>23</v>
      </c>
      <c r="AL235" t="s">
        <v>656</v>
      </c>
      <c r="AM235" t="s">
        <v>93</v>
      </c>
      <c r="AN235" t="s">
        <v>657</v>
      </c>
      <c r="AO235" t="s">
        <v>911</v>
      </c>
      <c r="AP235" t="s">
        <v>912</v>
      </c>
      <c r="AQ235" t="s">
        <v>74</v>
      </c>
      <c r="AR235" t="s">
        <v>913</v>
      </c>
      <c r="AS235" t="s">
        <v>914</v>
      </c>
      <c r="AT235" t="s">
        <v>4623</v>
      </c>
      <c r="AU235">
        <v>2017</v>
      </c>
      <c r="AV235">
        <v>139</v>
      </c>
      <c r="AW235" t="s">
        <v>74</v>
      </c>
      <c r="AX235" t="s">
        <v>74</v>
      </c>
      <c r="AY235" t="s">
        <v>74</v>
      </c>
      <c r="AZ235" t="s">
        <v>100</v>
      </c>
      <c r="BA235" t="s">
        <v>74</v>
      </c>
      <c r="BB235">
        <v>89</v>
      </c>
      <c r="BC235">
        <v>102</v>
      </c>
      <c r="BD235" t="s">
        <v>74</v>
      </c>
      <c r="BE235" t="s">
        <v>4772</v>
      </c>
      <c r="BF235" t="str">
        <f>HYPERLINK("http://dx.doi.org/10.1016/j.dsr2.2016.07.016","http://dx.doi.org/10.1016/j.dsr2.2016.07.016")</f>
        <v>http://dx.doi.org/10.1016/j.dsr2.2016.07.016</v>
      </c>
      <c r="BG235" t="s">
        <v>74</v>
      </c>
      <c r="BH235" t="s">
        <v>74</v>
      </c>
      <c r="BI235">
        <v>14</v>
      </c>
      <c r="BJ235" t="s">
        <v>127</v>
      </c>
      <c r="BK235" t="s">
        <v>103</v>
      </c>
      <c r="BL235" t="s">
        <v>127</v>
      </c>
      <c r="BM235" t="s">
        <v>4721</v>
      </c>
      <c r="BN235" t="s">
        <v>74</v>
      </c>
      <c r="BO235" t="s">
        <v>4773</v>
      </c>
      <c r="BP235" t="s">
        <v>74</v>
      </c>
      <c r="BQ235" t="s">
        <v>74</v>
      </c>
      <c r="BR235" t="s">
        <v>106</v>
      </c>
      <c r="BS235" t="s">
        <v>4774</v>
      </c>
      <c r="BT235" t="str">
        <f>HYPERLINK("https%3A%2F%2Fwww.webofscience.com%2Fwos%2Fwoscc%2Ffull-record%2FWOS:000405884100008","View Full Record in Web of Science")</f>
        <v>View Full Record in Web of Science</v>
      </c>
    </row>
    <row r="236" spans="1:72" x14ac:dyDescent="0.15">
      <c r="A236" t="s">
        <v>72</v>
      </c>
      <c r="B236" t="s">
        <v>4775</v>
      </c>
      <c r="C236" t="s">
        <v>74</v>
      </c>
      <c r="D236" t="s">
        <v>74</v>
      </c>
      <c r="E236" t="s">
        <v>74</v>
      </c>
      <c r="F236" t="s">
        <v>4776</v>
      </c>
      <c r="G236" t="s">
        <v>74</v>
      </c>
      <c r="H236" t="s">
        <v>74</v>
      </c>
      <c r="I236" t="s">
        <v>4777</v>
      </c>
      <c r="J236" t="s">
        <v>895</v>
      </c>
      <c r="K236" t="s">
        <v>74</v>
      </c>
      <c r="L236" t="s">
        <v>74</v>
      </c>
      <c r="M236" t="s">
        <v>78</v>
      </c>
      <c r="N236" t="s">
        <v>79</v>
      </c>
      <c r="O236" t="s">
        <v>74</v>
      </c>
      <c r="P236" t="s">
        <v>74</v>
      </c>
      <c r="Q236" t="s">
        <v>74</v>
      </c>
      <c r="R236" t="s">
        <v>74</v>
      </c>
      <c r="S236" t="s">
        <v>74</v>
      </c>
      <c r="T236" t="s">
        <v>4778</v>
      </c>
      <c r="U236" t="s">
        <v>4779</v>
      </c>
      <c r="V236" t="s">
        <v>4780</v>
      </c>
      <c r="W236" t="s">
        <v>4781</v>
      </c>
      <c r="X236" t="s">
        <v>4782</v>
      </c>
      <c r="Y236" t="s">
        <v>4783</v>
      </c>
      <c r="Z236" t="s">
        <v>4784</v>
      </c>
      <c r="AA236" t="s">
        <v>4785</v>
      </c>
      <c r="AB236" t="s">
        <v>4786</v>
      </c>
      <c r="AC236" t="s">
        <v>4787</v>
      </c>
      <c r="AD236" t="s">
        <v>4788</v>
      </c>
      <c r="AE236" t="s">
        <v>4789</v>
      </c>
      <c r="AF236" t="s">
        <v>74</v>
      </c>
      <c r="AG236">
        <v>65</v>
      </c>
      <c r="AH236">
        <v>29</v>
      </c>
      <c r="AI236">
        <v>31</v>
      </c>
      <c r="AJ236">
        <v>0</v>
      </c>
      <c r="AK236">
        <v>16</v>
      </c>
      <c r="AL236" t="s">
        <v>656</v>
      </c>
      <c r="AM236" t="s">
        <v>93</v>
      </c>
      <c r="AN236" t="s">
        <v>657</v>
      </c>
      <c r="AO236" t="s">
        <v>911</v>
      </c>
      <c r="AP236" t="s">
        <v>912</v>
      </c>
      <c r="AQ236" t="s">
        <v>74</v>
      </c>
      <c r="AR236" t="s">
        <v>913</v>
      </c>
      <c r="AS236" t="s">
        <v>914</v>
      </c>
      <c r="AT236" t="s">
        <v>4623</v>
      </c>
      <c r="AU236">
        <v>2017</v>
      </c>
      <c r="AV236">
        <v>139</v>
      </c>
      <c r="AW236" t="s">
        <v>74</v>
      </c>
      <c r="AX236" t="s">
        <v>74</v>
      </c>
      <c r="AY236" t="s">
        <v>74</v>
      </c>
      <c r="AZ236" t="s">
        <v>100</v>
      </c>
      <c r="BA236" t="s">
        <v>74</v>
      </c>
      <c r="BB236">
        <v>103</v>
      </c>
      <c r="BC236">
        <v>119</v>
      </c>
      <c r="BD236" t="s">
        <v>74</v>
      </c>
      <c r="BE236" t="s">
        <v>4790</v>
      </c>
      <c r="BF236" t="str">
        <f>HYPERLINK("http://dx.doi.org/10.1016/j.dsr2.2016.07.004","http://dx.doi.org/10.1016/j.dsr2.2016.07.004")</f>
        <v>http://dx.doi.org/10.1016/j.dsr2.2016.07.004</v>
      </c>
      <c r="BG236" t="s">
        <v>74</v>
      </c>
      <c r="BH236" t="s">
        <v>74</v>
      </c>
      <c r="BI236">
        <v>17</v>
      </c>
      <c r="BJ236" t="s">
        <v>127</v>
      </c>
      <c r="BK236" t="s">
        <v>103</v>
      </c>
      <c r="BL236" t="s">
        <v>127</v>
      </c>
      <c r="BM236" t="s">
        <v>4721</v>
      </c>
      <c r="BN236" t="s">
        <v>74</v>
      </c>
      <c r="BO236" t="s">
        <v>231</v>
      </c>
      <c r="BP236" t="s">
        <v>74</v>
      </c>
      <c r="BQ236" t="s">
        <v>74</v>
      </c>
      <c r="BR236" t="s">
        <v>106</v>
      </c>
      <c r="BS236" t="s">
        <v>4791</v>
      </c>
      <c r="BT236" t="str">
        <f>HYPERLINK("https%3A%2F%2Fwww.webofscience.com%2Fwos%2Fwoscc%2Ffull-record%2FWOS:000405884100009","View Full Record in Web of Science")</f>
        <v>View Full Record in Web of Science</v>
      </c>
    </row>
    <row r="237" spans="1:72" x14ac:dyDescent="0.15">
      <c r="A237" t="s">
        <v>72</v>
      </c>
      <c r="B237" t="s">
        <v>4792</v>
      </c>
      <c r="C237" t="s">
        <v>74</v>
      </c>
      <c r="D237" t="s">
        <v>74</v>
      </c>
      <c r="E237" t="s">
        <v>74</v>
      </c>
      <c r="F237" t="s">
        <v>4793</v>
      </c>
      <c r="G237" t="s">
        <v>74</v>
      </c>
      <c r="H237" t="s">
        <v>74</v>
      </c>
      <c r="I237" t="s">
        <v>4794</v>
      </c>
      <c r="J237" t="s">
        <v>895</v>
      </c>
      <c r="K237" t="s">
        <v>74</v>
      </c>
      <c r="L237" t="s">
        <v>74</v>
      </c>
      <c r="M237" t="s">
        <v>78</v>
      </c>
      <c r="N237" t="s">
        <v>79</v>
      </c>
      <c r="O237" t="s">
        <v>74</v>
      </c>
      <c r="P237" t="s">
        <v>74</v>
      </c>
      <c r="Q237" t="s">
        <v>74</v>
      </c>
      <c r="R237" t="s">
        <v>74</v>
      </c>
      <c r="S237" t="s">
        <v>74</v>
      </c>
      <c r="T237" t="s">
        <v>4795</v>
      </c>
      <c r="U237" t="s">
        <v>4796</v>
      </c>
      <c r="V237" t="s">
        <v>4797</v>
      </c>
      <c r="W237" t="s">
        <v>4798</v>
      </c>
      <c r="X237" t="s">
        <v>4799</v>
      </c>
      <c r="Y237" t="s">
        <v>4800</v>
      </c>
      <c r="Z237" t="s">
        <v>4801</v>
      </c>
      <c r="AA237" t="s">
        <v>4802</v>
      </c>
      <c r="AB237" t="s">
        <v>4803</v>
      </c>
      <c r="AC237" t="s">
        <v>4804</v>
      </c>
      <c r="AD237" t="s">
        <v>4805</v>
      </c>
      <c r="AE237" t="s">
        <v>4806</v>
      </c>
      <c r="AF237" t="s">
        <v>74</v>
      </c>
      <c r="AG237">
        <v>78</v>
      </c>
      <c r="AH237">
        <v>10</v>
      </c>
      <c r="AI237">
        <v>10</v>
      </c>
      <c r="AJ237">
        <v>0</v>
      </c>
      <c r="AK237">
        <v>24</v>
      </c>
      <c r="AL237" t="s">
        <v>656</v>
      </c>
      <c r="AM237" t="s">
        <v>93</v>
      </c>
      <c r="AN237" t="s">
        <v>657</v>
      </c>
      <c r="AO237" t="s">
        <v>911</v>
      </c>
      <c r="AP237" t="s">
        <v>912</v>
      </c>
      <c r="AQ237" t="s">
        <v>74</v>
      </c>
      <c r="AR237" t="s">
        <v>913</v>
      </c>
      <c r="AS237" t="s">
        <v>914</v>
      </c>
      <c r="AT237" t="s">
        <v>4623</v>
      </c>
      <c r="AU237">
        <v>2017</v>
      </c>
      <c r="AV237">
        <v>139</v>
      </c>
      <c r="AW237" t="s">
        <v>74</v>
      </c>
      <c r="AX237" t="s">
        <v>74</v>
      </c>
      <c r="AY237" t="s">
        <v>74</v>
      </c>
      <c r="AZ237" t="s">
        <v>100</v>
      </c>
      <c r="BA237" t="s">
        <v>74</v>
      </c>
      <c r="BB237">
        <v>120</v>
      </c>
      <c r="BC237">
        <v>131</v>
      </c>
      <c r="BD237" t="s">
        <v>74</v>
      </c>
      <c r="BE237" t="s">
        <v>4807</v>
      </c>
      <c r="BF237" t="str">
        <f>HYPERLINK("http://dx.doi.org/10.1016/j.dsr2.2016.11.010","http://dx.doi.org/10.1016/j.dsr2.2016.11.010")</f>
        <v>http://dx.doi.org/10.1016/j.dsr2.2016.11.010</v>
      </c>
      <c r="BG237" t="s">
        <v>74</v>
      </c>
      <c r="BH237" t="s">
        <v>74</v>
      </c>
      <c r="BI237">
        <v>12</v>
      </c>
      <c r="BJ237" t="s">
        <v>127</v>
      </c>
      <c r="BK237" t="s">
        <v>103</v>
      </c>
      <c r="BL237" t="s">
        <v>127</v>
      </c>
      <c r="BM237" t="s">
        <v>4721</v>
      </c>
      <c r="BN237" t="s">
        <v>74</v>
      </c>
      <c r="BO237" t="s">
        <v>3209</v>
      </c>
      <c r="BP237" t="s">
        <v>74</v>
      </c>
      <c r="BQ237" t="s">
        <v>74</v>
      </c>
      <c r="BR237" t="s">
        <v>106</v>
      </c>
      <c r="BS237" t="s">
        <v>4808</v>
      </c>
      <c r="BT237" t="str">
        <f>HYPERLINK("https%3A%2F%2Fwww.webofscience.com%2Fwos%2Fwoscc%2Ffull-record%2FWOS:000405884100010","View Full Record in Web of Science")</f>
        <v>View Full Record in Web of Science</v>
      </c>
    </row>
    <row r="238" spans="1:72" x14ac:dyDescent="0.15">
      <c r="A238" t="s">
        <v>72</v>
      </c>
      <c r="B238" t="s">
        <v>4809</v>
      </c>
      <c r="C238" t="s">
        <v>74</v>
      </c>
      <c r="D238" t="s">
        <v>74</v>
      </c>
      <c r="E238" t="s">
        <v>74</v>
      </c>
      <c r="F238" t="s">
        <v>4810</v>
      </c>
      <c r="G238" t="s">
        <v>74</v>
      </c>
      <c r="H238" t="s">
        <v>74</v>
      </c>
      <c r="I238" t="s">
        <v>4811</v>
      </c>
      <c r="J238" t="s">
        <v>895</v>
      </c>
      <c r="K238" t="s">
        <v>74</v>
      </c>
      <c r="L238" t="s">
        <v>74</v>
      </c>
      <c r="M238" t="s">
        <v>78</v>
      </c>
      <c r="N238" t="s">
        <v>79</v>
      </c>
      <c r="O238" t="s">
        <v>74</v>
      </c>
      <c r="P238" t="s">
        <v>74</v>
      </c>
      <c r="Q238" t="s">
        <v>74</v>
      </c>
      <c r="R238" t="s">
        <v>74</v>
      </c>
      <c r="S238" t="s">
        <v>74</v>
      </c>
      <c r="T238" t="s">
        <v>4812</v>
      </c>
      <c r="U238" t="s">
        <v>4813</v>
      </c>
      <c r="V238" t="s">
        <v>4814</v>
      </c>
      <c r="W238" t="s">
        <v>4815</v>
      </c>
      <c r="X238" t="s">
        <v>4816</v>
      </c>
      <c r="Y238" t="s">
        <v>4817</v>
      </c>
      <c r="Z238" t="s">
        <v>74</v>
      </c>
      <c r="AA238" t="s">
        <v>4818</v>
      </c>
      <c r="AB238" t="s">
        <v>4819</v>
      </c>
      <c r="AC238" t="s">
        <v>4820</v>
      </c>
      <c r="AD238" t="s">
        <v>4821</v>
      </c>
      <c r="AE238" t="s">
        <v>4822</v>
      </c>
      <c r="AF238" t="s">
        <v>74</v>
      </c>
      <c r="AG238">
        <v>49</v>
      </c>
      <c r="AH238">
        <v>15</v>
      </c>
      <c r="AI238">
        <v>16</v>
      </c>
      <c r="AJ238">
        <v>3</v>
      </c>
      <c r="AK238">
        <v>27</v>
      </c>
      <c r="AL238" t="s">
        <v>656</v>
      </c>
      <c r="AM238" t="s">
        <v>93</v>
      </c>
      <c r="AN238" t="s">
        <v>657</v>
      </c>
      <c r="AO238" t="s">
        <v>911</v>
      </c>
      <c r="AP238" t="s">
        <v>912</v>
      </c>
      <c r="AQ238" t="s">
        <v>74</v>
      </c>
      <c r="AR238" t="s">
        <v>913</v>
      </c>
      <c r="AS238" t="s">
        <v>914</v>
      </c>
      <c r="AT238" t="s">
        <v>4623</v>
      </c>
      <c r="AU238">
        <v>2017</v>
      </c>
      <c r="AV238">
        <v>139</v>
      </c>
      <c r="AW238" t="s">
        <v>74</v>
      </c>
      <c r="AX238" t="s">
        <v>74</v>
      </c>
      <c r="AY238" t="s">
        <v>74</v>
      </c>
      <c r="AZ238" t="s">
        <v>100</v>
      </c>
      <c r="BA238" t="s">
        <v>74</v>
      </c>
      <c r="BB238">
        <v>143</v>
      </c>
      <c r="BC238">
        <v>150</v>
      </c>
      <c r="BD238" t="s">
        <v>74</v>
      </c>
      <c r="BE238" t="s">
        <v>4823</v>
      </c>
      <c r="BF238" t="str">
        <f>HYPERLINK("http://dx.doi.org/10.1016/j.dsr2.2016.11.002","http://dx.doi.org/10.1016/j.dsr2.2016.11.002")</f>
        <v>http://dx.doi.org/10.1016/j.dsr2.2016.11.002</v>
      </c>
      <c r="BG238" t="s">
        <v>74</v>
      </c>
      <c r="BH238" t="s">
        <v>74</v>
      </c>
      <c r="BI238">
        <v>8</v>
      </c>
      <c r="BJ238" t="s">
        <v>127</v>
      </c>
      <c r="BK238" t="s">
        <v>103</v>
      </c>
      <c r="BL238" t="s">
        <v>127</v>
      </c>
      <c r="BM238" t="s">
        <v>4721</v>
      </c>
      <c r="BN238" t="s">
        <v>74</v>
      </c>
      <c r="BO238" t="s">
        <v>664</v>
      </c>
      <c r="BP238" t="s">
        <v>74</v>
      </c>
      <c r="BQ238" t="s">
        <v>74</v>
      </c>
      <c r="BR238" t="s">
        <v>106</v>
      </c>
      <c r="BS238" t="s">
        <v>4824</v>
      </c>
      <c r="BT238" t="str">
        <f>HYPERLINK("https%3A%2F%2Fwww.webofscience.com%2Fwos%2Fwoscc%2Ffull-record%2FWOS:000405884100012","View Full Record in Web of Science")</f>
        <v>View Full Record in Web of Science</v>
      </c>
    </row>
    <row r="239" spans="1:72" x14ac:dyDescent="0.15">
      <c r="A239" t="s">
        <v>72</v>
      </c>
      <c r="B239" t="s">
        <v>4825</v>
      </c>
      <c r="C239" t="s">
        <v>74</v>
      </c>
      <c r="D239" t="s">
        <v>74</v>
      </c>
      <c r="E239" t="s">
        <v>74</v>
      </c>
      <c r="F239" t="s">
        <v>4826</v>
      </c>
      <c r="G239" t="s">
        <v>74</v>
      </c>
      <c r="H239" t="s">
        <v>74</v>
      </c>
      <c r="I239" t="s">
        <v>4827</v>
      </c>
      <c r="J239" t="s">
        <v>895</v>
      </c>
      <c r="K239" t="s">
        <v>74</v>
      </c>
      <c r="L239" t="s">
        <v>74</v>
      </c>
      <c r="M239" t="s">
        <v>78</v>
      </c>
      <c r="N239" t="s">
        <v>79</v>
      </c>
      <c r="O239" t="s">
        <v>74</v>
      </c>
      <c r="P239" t="s">
        <v>74</v>
      </c>
      <c r="Q239" t="s">
        <v>74</v>
      </c>
      <c r="R239" t="s">
        <v>74</v>
      </c>
      <c r="S239" t="s">
        <v>74</v>
      </c>
      <c r="T239" t="s">
        <v>4828</v>
      </c>
      <c r="U239" t="s">
        <v>4829</v>
      </c>
      <c r="V239" t="s">
        <v>4830</v>
      </c>
      <c r="W239" t="s">
        <v>4831</v>
      </c>
      <c r="X239" t="s">
        <v>4832</v>
      </c>
      <c r="Y239" t="s">
        <v>4833</v>
      </c>
      <c r="Z239" t="s">
        <v>4834</v>
      </c>
      <c r="AA239" t="s">
        <v>4835</v>
      </c>
      <c r="AB239" t="s">
        <v>4836</v>
      </c>
      <c r="AC239" t="s">
        <v>4837</v>
      </c>
      <c r="AD239" t="s">
        <v>4838</v>
      </c>
      <c r="AE239" t="s">
        <v>4839</v>
      </c>
      <c r="AF239" t="s">
        <v>74</v>
      </c>
      <c r="AG239">
        <v>109</v>
      </c>
      <c r="AH239">
        <v>23</v>
      </c>
      <c r="AI239">
        <v>28</v>
      </c>
      <c r="AJ239">
        <v>0</v>
      </c>
      <c r="AK239">
        <v>47</v>
      </c>
      <c r="AL239" t="s">
        <v>656</v>
      </c>
      <c r="AM239" t="s">
        <v>93</v>
      </c>
      <c r="AN239" t="s">
        <v>657</v>
      </c>
      <c r="AO239" t="s">
        <v>911</v>
      </c>
      <c r="AP239" t="s">
        <v>912</v>
      </c>
      <c r="AQ239" t="s">
        <v>74</v>
      </c>
      <c r="AR239" t="s">
        <v>913</v>
      </c>
      <c r="AS239" t="s">
        <v>914</v>
      </c>
      <c r="AT239" t="s">
        <v>4623</v>
      </c>
      <c r="AU239">
        <v>2017</v>
      </c>
      <c r="AV239">
        <v>139</v>
      </c>
      <c r="AW239" t="s">
        <v>74</v>
      </c>
      <c r="AX239" t="s">
        <v>74</v>
      </c>
      <c r="AY239" t="s">
        <v>74</v>
      </c>
      <c r="AZ239" t="s">
        <v>100</v>
      </c>
      <c r="BA239" t="s">
        <v>74</v>
      </c>
      <c r="BB239">
        <v>151</v>
      </c>
      <c r="BC239">
        <v>166</v>
      </c>
      <c r="BD239" t="s">
        <v>74</v>
      </c>
      <c r="BE239" t="s">
        <v>4840</v>
      </c>
      <c r="BF239" t="str">
        <f>HYPERLINK("http://dx.doi.org/10.1016/j.dsr2.2016.11.016","http://dx.doi.org/10.1016/j.dsr2.2016.11.016")</f>
        <v>http://dx.doi.org/10.1016/j.dsr2.2016.11.016</v>
      </c>
      <c r="BG239" t="s">
        <v>74</v>
      </c>
      <c r="BH239" t="s">
        <v>74</v>
      </c>
      <c r="BI239">
        <v>16</v>
      </c>
      <c r="BJ239" t="s">
        <v>127</v>
      </c>
      <c r="BK239" t="s">
        <v>103</v>
      </c>
      <c r="BL239" t="s">
        <v>127</v>
      </c>
      <c r="BM239" t="s">
        <v>4721</v>
      </c>
      <c r="BN239" t="s">
        <v>74</v>
      </c>
      <c r="BO239" t="s">
        <v>2912</v>
      </c>
      <c r="BP239" t="s">
        <v>74</v>
      </c>
      <c r="BQ239" t="s">
        <v>74</v>
      </c>
      <c r="BR239" t="s">
        <v>106</v>
      </c>
      <c r="BS239" t="s">
        <v>4841</v>
      </c>
      <c r="BT239" t="str">
        <f>HYPERLINK("https%3A%2F%2Fwww.webofscience.com%2Fwos%2Fwoscc%2Ffull-record%2FWOS:000405884100013","View Full Record in Web of Science")</f>
        <v>View Full Record in Web of Science</v>
      </c>
    </row>
    <row r="240" spans="1:72" x14ac:dyDescent="0.15">
      <c r="A240" t="s">
        <v>72</v>
      </c>
      <c r="B240" t="s">
        <v>4842</v>
      </c>
      <c r="C240" t="s">
        <v>74</v>
      </c>
      <c r="D240" t="s">
        <v>74</v>
      </c>
      <c r="E240" t="s">
        <v>74</v>
      </c>
      <c r="F240" t="s">
        <v>4843</v>
      </c>
      <c r="G240" t="s">
        <v>74</v>
      </c>
      <c r="H240" t="s">
        <v>74</v>
      </c>
      <c r="I240" t="s">
        <v>4844</v>
      </c>
      <c r="J240" t="s">
        <v>895</v>
      </c>
      <c r="K240" t="s">
        <v>74</v>
      </c>
      <c r="L240" t="s">
        <v>74</v>
      </c>
      <c r="M240" t="s">
        <v>78</v>
      </c>
      <c r="N240" t="s">
        <v>79</v>
      </c>
      <c r="O240" t="s">
        <v>74</v>
      </c>
      <c r="P240" t="s">
        <v>74</v>
      </c>
      <c r="Q240" t="s">
        <v>74</v>
      </c>
      <c r="R240" t="s">
        <v>74</v>
      </c>
      <c r="S240" t="s">
        <v>74</v>
      </c>
      <c r="T240" t="s">
        <v>4845</v>
      </c>
      <c r="U240" t="s">
        <v>4846</v>
      </c>
      <c r="V240" t="s">
        <v>4847</v>
      </c>
      <c r="W240" t="s">
        <v>4848</v>
      </c>
      <c r="X240" t="s">
        <v>4849</v>
      </c>
      <c r="Y240" t="s">
        <v>4850</v>
      </c>
      <c r="Z240" t="s">
        <v>4851</v>
      </c>
      <c r="AA240" t="s">
        <v>74</v>
      </c>
      <c r="AB240" t="s">
        <v>4852</v>
      </c>
      <c r="AC240" t="s">
        <v>4853</v>
      </c>
      <c r="AD240" t="s">
        <v>4854</v>
      </c>
      <c r="AE240" t="s">
        <v>4855</v>
      </c>
      <c r="AF240" t="s">
        <v>74</v>
      </c>
      <c r="AG240">
        <v>118</v>
      </c>
      <c r="AH240">
        <v>51</v>
      </c>
      <c r="AI240">
        <v>55</v>
      </c>
      <c r="AJ240">
        <v>2</v>
      </c>
      <c r="AK240">
        <v>68</v>
      </c>
      <c r="AL240" t="s">
        <v>656</v>
      </c>
      <c r="AM240" t="s">
        <v>93</v>
      </c>
      <c r="AN240" t="s">
        <v>657</v>
      </c>
      <c r="AO240" t="s">
        <v>911</v>
      </c>
      <c r="AP240" t="s">
        <v>912</v>
      </c>
      <c r="AQ240" t="s">
        <v>74</v>
      </c>
      <c r="AR240" t="s">
        <v>913</v>
      </c>
      <c r="AS240" t="s">
        <v>914</v>
      </c>
      <c r="AT240" t="s">
        <v>4623</v>
      </c>
      <c r="AU240">
        <v>2017</v>
      </c>
      <c r="AV240">
        <v>139</v>
      </c>
      <c r="AW240" t="s">
        <v>74</v>
      </c>
      <c r="AX240" t="s">
        <v>74</v>
      </c>
      <c r="AY240" t="s">
        <v>74</v>
      </c>
      <c r="AZ240" t="s">
        <v>100</v>
      </c>
      <c r="BA240" t="s">
        <v>74</v>
      </c>
      <c r="BB240">
        <v>181</v>
      </c>
      <c r="BC240">
        <v>194</v>
      </c>
      <c r="BD240" t="s">
        <v>74</v>
      </c>
      <c r="BE240" t="s">
        <v>4856</v>
      </c>
      <c r="BF240" t="str">
        <f>HYPERLINK("http://dx.doi.org/10.1016/j.dsr2.2017.01.007","http://dx.doi.org/10.1016/j.dsr2.2017.01.007")</f>
        <v>http://dx.doi.org/10.1016/j.dsr2.2017.01.007</v>
      </c>
      <c r="BG240" t="s">
        <v>74</v>
      </c>
      <c r="BH240" t="s">
        <v>74</v>
      </c>
      <c r="BI240">
        <v>14</v>
      </c>
      <c r="BJ240" t="s">
        <v>127</v>
      </c>
      <c r="BK240" t="s">
        <v>103</v>
      </c>
      <c r="BL240" t="s">
        <v>127</v>
      </c>
      <c r="BM240" t="s">
        <v>4721</v>
      </c>
      <c r="BN240" t="s">
        <v>74</v>
      </c>
      <c r="BO240" t="s">
        <v>4857</v>
      </c>
      <c r="BP240" t="s">
        <v>74</v>
      </c>
      <c r="BQ240" t="s">
        <v>74</v>
      </c>
      <c r="BR240" t="s">
        <v>106</v>
      </c>
      <c r="BS240" t="s">
        <v>4858</v>
      </c>
      <c r="BT240" t="str">
        <f>HYPERLINK("https%3A%2F%2Fwww.webofscience.com%2Fwos%2Fwoscc%2Ffull-record%2FWOS:000405884100015","View Full Record in Web of Science")</f>
        <v>View Full Record in Web of Science</v>
      </c>
    </row>
    <row r="241" spans="1:72" x14ac:dyDescent="0.15">
      <c r="A241" t="s">
        <v>72</v>
      </c>
      <c r="B241" t="s">
        <v>4859</v>
      </c>
      <c r="C241" t="s">
        <v>74</v>
      </c>
      <c r="D241" t="s">
        <v>74</v>
      </c>
      <c r="E241" t="s">
        <v>74</v>
      </c>
      <c r="F241" t="s">
        <v>4860</v>
      </c>
      <c r="G241" t="s">
        <v>74</v>
      </c>
      <c r="H241" t="s">
        <v>74</v>
      </c>
      <c r="I241" t="s">
        <v>4861</v>
      </c>
      <c r="J241" t="s">
        <v>210</v>
      </c>
      <c r="K241" t="s">
        <v>74</v>
      </c>
      <c r="L241" t="s">
        <v>74</v>
      </c>
      <c r="M241" t="s">
        <v>78</v>
      </c>
      <c r="N241" t="s">
        <v>79</v>
      </c>
      <c r="O241" t="s">
        <v>74</v>
      </c>
      <c r="P241" t="s">
        <v>74</v>
      </c>
      <c r="Q241" t="s">
        <v>74</v>
      </c>
      <c r="R241" t="s">
        <v>74</v>
      </c>
      <c r="S241" t="s">
        <v>74</v>
      </c>
      <c r="T241" t="s">
        <v>4862</v>
      </c>
      <c r="U241" t="s">
        <v>4863</v>
      </c>
      <c r="V241" t="s">
        <v>4864</v>
      </c>
      <c r="W241" t="s">
        <v>4865</v>
      </c>
      <c r="X241" t="s">
        <v>4866</v>
      </c>
      <c r="Y241" t="s">
        <v>4867</v>
      </c>
      <c r="Z241" t="s">
        <v>4868</v>
      </c>
      <c r="AA241" t="s">
        <v>4869</v>
      </c>
      <c r="AB241" t="s">
        <v>4870</v>
      </c>
      <c r="AC241" t="s">
        <v>4871</v>
      </c>
      <c r="AD241" t="s">
        <v>4872</v>
      </c>
      <c r="AE241" t="s">
        <v>4873</v>
      </c>
      <c r="AF241" t="s">
        <v>74</v>
      </c>
      <c r="AG241">
        <v>87</v>
      </c>
      <c r="AH241">
        <v>28</v>
      </c>
      <c r="AI241">
        <v>29</v>
      </c>
      <c r="AJ241">
        <v>1</v>
      </c>
      <c r="AK241">
        <v>42</v>
      </c>
      <c r="AL241" t="s">
        <v>222</v>
      </c>
      <c r="AM241" t="s">
        <v>223</v>
      </c>
      <c r="AN241" t="s">
        <v>224</v>
      </c>
      <c r="AO241" t="s">
        <v>225</v>
      </c>
      <c r="AP241" t="s">
        <v>226</v>
      </c>
      <c r="AQ241" t="s">
        <v>74</v>
      </c>
      <c r="AR241" t="s">
        <v>227</v>
      </c>
      <c r="AS241" t="s">
        <v>228</v>
      </c>
      <c r="AT241" t="s">
        <v>4623</v>
      </c>
      <c r="AU241">
        <v>2017</v>
      </c>
      <c r="AV241">
        <v>122</v>
      </c>
      <c r="AW241">
        <v>5</v>
      </c>
      <c r="AX241" t="s">
        <v>74</v>
      </c>
      <c r="AY241" t="s">
        <v>74</v>
      </c>
      <c r="AZ241" t="s">
        <v>74</v>
      </c>
      <c r="BA241" t="s">
        <v>74</v>
      </c>
      <c r="BB241">
        <v>3771</v>
      </c>
      <c r="BC241">
        <v>3798</v>
      </c>
      <c r="BD241" t="s">
        <v>74</v>
      </c>
      <c r="BE241" t="s">
        <v>4874</v>
      </c>
      <c r="BF241" t="str">
        <f>HYPERLINK("http://dx.doi.org/10.1002/2016JC012529","http://dx.doi.org/10.1002/2016JC012529")</f>
        <v>http://dx.doi.org/10.1002/2016JC012529</v>
      </c>
      <c r="BG241" t="s">
        <v>74</v>
      </c>
      <c r="BH241" t="s">
        <v>74</v>
      </c>
      <c r="BI241">
        <v>28</v>
      </c>
      <c r="BJ241" t="s">
        <v>127</v>
      </c>
      <c r="BK241" t="s">
        <v>103</v>
      </c>
      <c r="BL241" t="s">
        <v>127</v>
      </c>
      <c r="BM241" t="s">
        <v>4875</v>
      </c>
      <c r="BN241" t="s">
        <v>74</v>
      </c>
      <c r="BO241" t="s">
        <v>384</v>
      </c>
      <c r="BP241" t="s">
        <v>74</v>
      </c>
      <c r="BQ241" t="s">
        <v>74</v>
      </c>
      <c r="BR241" t="s">
        <v>106</v>
      </c>
      <c r="BS241" t="s">
        <v>4876</v>
      </c>
      <c r="BT241" t="str">
        <f>HYPERLINK("https%3A%2F%2Fwww.webofscience.com%2Fwos%2Fwoscc%2Ffull-record%2FWOS:000404363600015","View Full Record in Web of Science")</f>
        <v>View Full Record in Web of Science</v>
      </c>
    </row>
    <row r="242" spans="1:72" x14ac:dyDescent="0.15">
      <c r="A242" t="s">
        <v>72</v>
      </c>
      <c r="B242" t="s">
        <v>4877</v>
      </c>
      <c r="C242" t="s">
        <v>74</v>
      </c>
      <c r="D242" t="s">
        <v>74</v>
      </c>
      <c r="E242" t="s">
        <v>74</v>
      </c>
      <c r="F242" t="s">
        <v>4878</v>
      </c>
      <c r="G242" t="s">
        <v>74</v>
      </c>
      <c r="H242" t="s">
        <v>74</v>
      </c>
      <c r="I242" t="s">
        <v>4879</v>
      </c>
      <c r="J242" t="s">
        <v>210</v>
      </c>
      <c r="K242" t="s">
        <v>74</v>
      </c>
      <c r="L242" t="s">
        <v>74</v>
      </c>
      <c r="M242" t="s">
        <v>78</v>
      </c>
      <c r="N242" t="s">
        <v>79</v>
      </c>
      <c r="O242" t="s">
        <v>74</v>
      </c>
      <c r="P242" t="s">
        <v>74</v>
      </c>
      <c r="Q242" t="s">
        <v>74</v>
      </c>
      <c r="R242" t="s">
        <v>74</v>
      </c>
      <c r="S242" t="s">
        <v>74</v>
      </c>
      <c r="T242" t="s">
        <v>4880</v>
      </c>
      <c r="U242" t="s">
        <v>4881</v>
      </c>
      <c r="V242" t="s">
        <v>4882</v>
      </c>
      <c r="W242" t="s">
        <v>4883</v>
      </c>
      <c r="X242" t="s">
        <v>4884</v>
      </c>
      <c r="Y242" t="s">
        <v>4885</v>
      </c>
      <c r="Z242" t="s">
        <v>4886</v>
      </c>
      <c r="AA242" t="s">
        <v>4887</v>
      </c>
      <c r="AB242" t="s">
        <v>4888</v>
      </c>
      <c r="AC242" t="s">
        <v>4889</v>
      </c>
      <c r="AD242" t="s">
        <v>4890</v>
      </c>
      <c r="AE242" t="s">
        <v>4891</v>
      </c>
      <c r="AF242" t="s">
        <v>74</v>
      </c>
      <c r="AG242">
        <v>68</v>
      </c>
      <c r="AH242">
        <v>11</v>
      </c>
      <c r="AI242">
        <v>12</v>
      </c>
      <c r="AJ242">
        <v>0</v>
      </c>
      <c r="AK242">
        <v>15</v>
      </c>
      <c r="AL242" t="s">
        <v>222</v>
      </c>
      <c r="AM242" t="s">
        <v>223</v>
      </c>
      <c r="AN242" t="s">
        <v>224</v>
      </c>
      <c r="AO242" t="s">
        <v>225</v>
      </c>
      <c r="AP242" t="s">
        <v>226</v>
      </c>
      <c r="AQ242" t="s">
        <v>74</v>
      </c>
      <c r="AR242" t="s">
        <v>227</v>
      </c>
      <c r="AS242" t="s">
        <v>228</v>
      </c>
      <c r="AT242" t="s">
        <v>4623</v>
      </c>
      <c r="AU242">
        <v>2017</v>
      </c>
      <c r="AV242">
        <v>122</v>
      </c>
      <c r="AW242">
        <v>5</v>
      </c>
      <c r="AX242" t="s">
        <v>74</v>
      </c>
      <c r="AY242" t="s">
        <v>74</v>
      </c>
      <c r="AZ242" t="s">
        <v>74</v>
      </c>
      <c r="BA242" t="s">
        <v>74</v>
      </c>
      <c r="BB242">
        <v>4021</v>
      </c>
      <c r="BC242">
        <v>4039</v>
      </c>
      <c r="BD242" t="s">
        <v>74</v>
      </c>
      <c r="BE242" t="s">
        <v>4892</v>
      </c>
      <c r="BF242" t="str">
        <f>HYPERLINK("http://dx.doi.org/10.1002/2016JC012666","http://dx.doi.org/10.1002/2016JC012666")</f>
        <v>http://dx.doi.org/10.1002/2016JC012666</v>
      </c>
      <c r="BG242" t="s">
        <v>74</v>
      </c>
      <c r="BH242" t="s">
        <v>74</v>
      </c>
      <c r="BI242">
        <v>19</v>
      </c>
      <c r="BJ242" t="s">
        <v>127</v>
      </c>
      <c r="BK242" t="s">
        <v>103</v>
      </c>
      <c r="BL242" t="s">
        <v>127</v>
      </c>
      <c r="BM242" t="s">
        <v>4875</v>
      </c>
      <c r="BN242" t="s">
        <v>74</v>
      </c>
      <c r="BO242" t="s">
        <v>412</v>
      </c>
      <c r="BP242" t="s">
        <v>74</v>
      </c>
      <c r="BQ242" t="s">
        <v>74</v>
      </c>
      <c r="BR242" t="s">
        <v>106</v>
      </c>
      <c r="BS242" t="s">
        <v>4893</v>
      </c>
      <c r="BT242" t="str">
        <f>HYPERLINK("https%3A%2F%2Fwww.webofscience.com%2Fwos%2Fwoscc%2Ffull-record%2FWOS:000404363600028","View Full Record in Web of Science")</f>
        <v>View Full Record in Web of Science</v>
      </c>
    </row>
    <row r="243" spans="1:72" x14ac:dyDescent="0.15">
      <c r="A243" t="s">
        <v>72</v>
      </c>
      <c r="B243" t="s">
        <v>4894</v>
      </c>
      <c r="C243" t="s">
        <v>74</v>
      </c>
      <c r="D243" t="s">
        <v>74</v>
      </c>
      <c r="E243" t="s">
        <v>74</v>
      </c>
      <c r="F243" t="s">
        <v>4895</v>
      </c>
      <c r="G243" t="s">
        <v>74</v>
      </c>
      <c r="H243" t="s">
        <v>74</v>
      </c>
      <c r="I243" t="s">
        <v>4896</v>
      </c>
      <c r="J243" t="s">
        <v>210</v>
      </c>
      <c r="K243" t="s">
        <v>74</v>
      </c>
      <c r="L243" t="s">
        <v>74</v>
      </c>
      <c r="M243" t="s">
        <v>78</v>
      </c>
      <c r="N243" t="s">
        <v>79</v>
      </c>
      <c r="O243" t="s">
        <v>74</v>
      </c>
      <c r="P243" t="s">
        <v>74</v>
      </c>
      <c r="Q243" t="s">
        <v>74</v>
      </c>
      <c r="R243" t="s">
        <v>74</v>
      </c>
      <c r="S243" t="s">
        <v>74</v>
      </c>
      <c r="T243" t="s">
        <v>4897</v>
      </c>
      <c r="U243" t="s">
        <v>4898</v>
      </c>
      <c r="V243" t="s">
        <v>4899</v>
      </c>
      <c r="W243" t="s">
        <v>4900</v>
      </c>
      <c r="X243" t="s">
        <v>4901</v>
      </c>
      <c r="Y243" t="s">
        <v>4902</v>
      </c>
      <c r="Z243" t="s">
        <v>4903</v>
      </c>
      <c r="AA243" t="s">
        <v>4904</v>
      </c>
      <c r="AB243" t="s">
        <v>4905</v>
      </c>
      <c r="AC243" t="s">
        <v>4906</v>
      </c>
      <c r="AD243" t="s">
        <v>4907</v>
      </c>
      <c r="AE243" t="s">
        <v>4908</v>
      </c>
      <c r="AF243" t="s">
        <v>74</v>
      </c>
      <c r="AG243">
        <v>89</v>
      </c>
      <c r="AH243">
        <v>46</v>
      </c>
      <c r="AI243">
        <v>46</v>
      </c>
      <c r="AJ243">
        <v>5</v>
      </c>
      <c r="AK243">
        <v>28</v>
      </c>
      <c r="AL243" t="s">
        <v>222</v>
      </c>
      <c r="AM243" t="s">
        <v>223</v>
      </c>
      <c r="AN243" t="s">
        <v>224</v>
      </c>
      <c r="AO243" t="s">
        <v>225</v>
      </c>
      <c r="AP243" t="s">
        <v>226</v>
      </c>
      <c r="AQ243" t="s">
        <v>74</v>
      </c>
      <c r="AR243" t="s">
        <v>227</v>
      </c>
      <c r="AS243" t="s">
        <v>228</v>
      </c>
      <c r="AT243" t="s">
        <v>4623</v>
      </c>
      <c r="AU243">
        <v>2017</v>
      </c>
      <c r="AV243">
        <v>122</v>
      </c>
      <c r="AW243">
        <v>5</v>
      </c>
      <c r="AX243" t="s">
        <v>74</v>
      </c>
      <c r="AY243" t="s">
        <v>74</v>
      </c>
      <c r="AZ243" t="s">
        <v>74</v>
      </c>
      <c r="BA243" t="s">
        <v>74</v>
      </c>
      <c r="BB243">
        <v>4291</v>
      </c>
      <c r="BC243">
        <v>4311</v>
      </c>
      <c r="BD243" t="s">
        <v>74</v>
      </c>
      <c r="BE243" t="s">
        <v>4909</v>
      </c>
      <c r="BF243" t="str">
        <f>HYPERLINK("http://dx.doi.org/10.1002/2017JC012691","http://dx.doi.org/10.1002/2017JC012691")</f>
        <v>http://dx.doi.org/10.1002/2017JC012691</v>
      </c>
      <c r="BG243" t="s">
        <v>74</v>
      </c>
      <c r="BH243" t="s">
        <v>74</v>
      </c>
      <c r="BI243">
        <v>21</v>
      </c>
      <c r="BJ243" t="s">
        <v>127</v>
      </c>
      <c r="BK243" t="s">
        <v>103</v>
      </c>
      <c r="BL243" t="s">
        <v>127</v>
      </c>
      <c r="BM243" t="s">
        <v>4875</v>
      </c>
      <c r="BN243" t="s">
        <v>74</v>
      </c>
      <c r="BO243" t="s">
        <v>2510</v>
      </c>
      <c r="BP243" t="s">
        <v>74</v>
      </c>
      <c r="BQ243" t="s">
        <v>74</v>
      </c>
      <c r="BR243" t="s">
        <v>106</v>
      </c>
      <c r="BS243" t="s">
        <v>4910</v>
      </c>
      <c r="BT243" t="str">
        <f>HYPERLINK("https%3A%2F%2Fwww.webofscience.com%2Fwos%2Fwoscc%2Ffull-record%2FWOS:000404363600042","View Full Record in Web of Science")</f>
        <v>View Full Record in Web of Science</v>
      </c>
    </row>
    <row r="244" spans="1:72" x14ac:dyDescent="0.15">
      <c r="A244" t="s">
        <v>72</v>
      </c>
      <c r="B244" t="s">
        <v>4911</v>
      </c>
      <c r="C244" t="s">
        <v>74</v>
      </c>
      <c r="D244" t="s">
        <v>74</v>
      </c>
      <c r="E244" t="s">
        <v>74</v>
      </c>
      <c r="F244" t="s">
        <v>4912</v>
      </c>
      <c r="G244" t="s">
        <v>74</v>
      </c>
      <c r="H244" t="s">
        <v>74</v>
      </c>
      <c r="I244" t="s">
        <v>4913</v>
      </c>
      <c r="J244" t="s">
        <v>210</v>
      </c>
      <c r="K244" t="s">
        <v>74</v>
      </c>
      <c r="L244" t="s">
        <v>74</v>
      </c>
      <c r="M244" t="s">
        <v>78</v>
      </c>
      <c r="N244" t="s">
        <v>79</v>
      </c>
      <c r="O244" t="s">
        <v>74</v>
      </c>
      <c r="P244" t="s">
        <v>74</v>
      </c>
      <c r="Q244" t="s">
        <v>74</v>
      </c>
      <c r="R244" t="s">
        <v>74</v>
      </c>
      <c r="S244" t="s">
        <v>74</v>
      </c>
      <c r="T244" t="s">
        <v>4914</v>
      </c>
      <c r="U244" t="s">
        <v>4915</v>
      </c>
      <c r="V244" t="s">
        <v>4916</v>
      </c>
      <c r="W244" t="s">
        <v>4917</v>
      </c>
      <c r="X244" t="s">
        <v>4918</v>
      </c>
      <c r="Y244" t="s">
        <v>4902</v>
      </c>
      <c r="Z244" t="s">
        <v>4903</v>
      </c>
      <c r="AA244" t="s">
        <v>4919</v>
      </c>
      <c r="AB244" t="s">
        <v>4920</v>
      </c>
      <c r="AC244" t="s">
        <v>4921</v>
      </c>
      <c r="AD244" t="s">
        <v>4907</v>
      </c>
      <c r="AE244" t="s">
        <v>4922</v>
      </c>
      <c r="AF244" t="s">
        <v>74</v>
      </c>
      <c r="AG244">
        <v>67</v>
      </c>
      <c r="AH244">
        <v>52</v>
      </c>
      <c r="AI244">
        <v>57</v>
      </c>
      <c r="AJ244">
        <v>5</v>
      </c>
      <c r="AK244">
        <v>23</v>
      </c>
      <c r="AL244" t="s">
        <v>222</v>
      </c>
      <c r="AM244" t="s">
        <v>223</v>
      </c>
      <c r="AN244" t="s">
        <v>224</v>
      </c>
      <c r="AO244" t="s">
        <v>225</v>
      </c>
      <c r="AP244" t="s">
        <v>226</v>
      </c>
      <c r="AQ244" t="s">
        <v>74</v>
      </c>
      <c r="AR244" t="s">
        <v>227</v>
      </c>
      <c r="AS244" t="s">
        <v>228</v>
      </c>
      <c r="AT244" t="s">
        <v>4623</v>
      </c>
      <c r="AU244">
        <v>2017</v>
      </c>
      <c r="AV244">
        <v>122</v>
      </c>
      <c r="AW244">
        <v>5</v>
      </c>
      <c r="AX244" t="s">
        <v>74</v>
      </c>
      <c r="AY244" t="s">
        <v>74</v>
      </c>
      <c r="AZ244" t="s">
        <v>74</v>
      </c>
      <c r="BA244" t="s">
        <v>74</v>
      </c>
      <c r="BB244">
        <v>4312</v>
      </c>
      <c r="BC244">
        <v>4328</v>
      </c>
      <c r="BD244" t="s">
        <v>74</v>
      </c>
      <c r="BE244" t="s">
        <v>4923</v>
      </c>
      <c r="BF244" t="str">
        <f>HYPERLINK("http://dx.doi.org/10.1002/2017JC012692","http://dx.doi.org/10.1002/2017JC012692")</f>
        <v>http://dx.doi.org/10.1002/2017JC012692</v>
      </c>
      <c r="BG244" t="s">
        <v>74</v>
      </c>
      <c r="BH244" t="s">
        <v>74</v>
      </c>
      <c r="BI244">
        <v>17</v>
      </c>
      <c r="BJ244" t="s">
        <v>127</v>
      </c>
      <c r="BK244" t="s">
        <v>103</v>
      </c>
      <c r="BL244" t="s">
        <v>127</v>
      </c>
      <c r="BM244" t="s">
        <v>4875</v>
      </c>
      <c r="BN244" t="s">
        <v>74</v>
      </c>
      <c r="BO244" t="s">
        <v>412</v>
      </c>
      <c r="BP244" t="s">
        <v>74</v>
      </c>
      <c r="BQ244" t="s">
        <v>74</v>
      </c>
      <c r="BR244" t="s">
        <v>106</v>
      </c>
      <c r="BS244" t="s">
        <v>4924</v>
      </c>
      <c r="BT244" t="str">
        <f>HYPERLINK("https%3A%2F%2Fwww.webofscience.com%2Fwos%2Fwoscc%2Ffull-record%2FWOS:000404363600043","View Full Record in Web of Science")</f>
        <v>View Full Record in Web of Science</v>
      </c>
    </row>
    <row r="245" spans="1:72" x14ac:dyDescent="0.15">
      <c r="A245" t="s">
        <v>72</v>
      </c>
      <c r="B245" t="s">
        <v>4925</v>
      </c>
      <c r="C245" t="s">
        <v>74</v>
      </c>
      <c r="D245" t="s">
        <v>74</v>
      </c>
      <c r="E245" t="s">
        <v>74</v>
      </c>
      <c r="F245" t="s">
        <v>4926</v>
      </c>
      <c r="G245" t="s">
        <v>74</v>
      </c>
      <c r="H245" t="s">
        <v>74</v>
      </c>
      <c r="I245" t="s">
        <v>4927</v>
      </c>
      <c r="J245" t="s">
        <v>4928</v>
      </c>
      <c r="K245" t="s">
        <v>74</v>
      </c>
      <c r="L245" t="s">
        <v>74</v>
      </c>
      <c r="M245" t="s">
        <v>78</v>
      </c>
      <c r="N245" t="s">
        <v>79</v>
      </c>
      <c r="O245" t="s">
        <v>74</v>
      </c>
      <c r="P245" t="s">
        <v>74</v>
      </c>
      <c r="Q245" t="s">
        <v>74</v>
      </c>
      <c r="R245" t="s">
        <v>74</v>
      </c>
      <c r="S245" t="s">
        <v>74</v>
      </c>
      <c r="T245" t="s">
        <v>4929</v>
      </c>
      <c r="U245" t="s">
        <v>4930</v>
      </c>
      <c r="V245" t="s">
        <v>4931</v>
      </c>
      <c r="W245" t="s">
        <v>4932</v>
      </c>
      <c r="X245" t="s">
        <v>4933</v>
      </c>
      <c r="Y245" t="s">
        <v>4934</v>
      </c>
      <c r="Z245" t="s">
        <v>4935</v>
      </c>
      <c r="AA245" t="s">
        <v>74</v>
      </c>
      <c r="AB245" t="s">
        <v>74</v>
      </c>
      <c r="AC245" t="s">
        <v>4936</v>
      </c>
      <c r="AD245" t="s">
        <v>4937</v>
      </c>
      <c r="AE245" t="s">
        <v>4938</v>
      </c>
      <c r="AF245" t="s">
        <v>74</v>
      </c>
      <c r="AG245">
        <v>142</v>
      </c>
      <c r="AH245">
        <v>4</v>
      </c>
      <c r="AI245">
        <v>4</v>
      </c>
      <c r="AJ245">
        <v>0</v>
      </c>
      <c r="AK245">
        <v>12</v>
      </c>
      <c r="AL245" t="s">
        <v>92</v>
      </c>
      <c r="AM245" t="s">
        <v>93</v>
      </c>
      <c r="AN245" t="s">
        <v>94</v>
      </c>
      <c r="AO245" t="s">
        <v>4939</v>
      </c>
      <c r="AP245" t="s">
        <v>4940</v>
      </c>
      <c r="AQ245" t="s">
        <v>74</v>
      </c>
      <c r="AR245" t="s">
        <v>4941</v>
      </c>
      <c r="AS245" t="s">
        <v>4942</v>
      </c>
      <c r="AT245" t="s">
        <v>4943</v>
      </c>
      <c r="AU245">
        <v>2017</v>
      </c>
      <c r="AV245">
        <v>74</v>
      </c>
      <c r="AW245">
        <v>5</v>
      </c>
      <c r="AX245" t="s">
        <v>74</v>
      </c>
      <c r="AY245" t="s">
        <v>74</v>
      </c>
      <c r="AZ245" t="s">
        <v>74</v>
      </c>
      <c r="BA245" t="s">
        <v>74</v>
      </c>
      <c r="BB245">
        <v>1237</v>
      </c>
      <c r="BC245">
        <v>1248</v>
      </c>
      <c r="BD245" t="s">
        <v>74</v>
      </c>
      <c r="BE245" t="s">
        <v>4944</v>
      </c>
      <c r="BF245" t="str">
        <f>HYPERLINK("http://dx.doi.org/10.1093/icesjms/fsw228","http://dx.doi.org/10.1093/icesjms/fsw228")</f>
        <v>http://dx.doi.org/10.1093/icesjms/fsw228</v>
      </c>
      <c r="BG245" t="s">
        <v>74</v>
      </c>
      <c r="BH245" t="s">
        <v>74</v>
      </c>
      <c r="BI245">
        <v>12</v>
      </c>
      <c r="BJ245" t="s">
        <v>4945</v>
      </c>
      <c r="BK245" t="s">
        <v>103</v>
      </c>
      <c r="BL245" t="s">
        <v>4945</v>
      </c>
      <c r="BM245" t="s">
        <v>4946</v>
      </c>
      <c r="BN245" t="s">
        <v>74</v>
      </c>
      <c r="BO245" t="s">
        <v>412</v>
      </c>
      <c r="BP245" t="s">
        <v>74</v>
      </c>
      <c r="BQ245" t="s">
        <v>74</v>
      </c>
      <c r="BR245" t="s">
        <v>106</v>
      </c>
      <c r="BS245" t="s">
        <v>4947</v>
      </c>
      <c r="BT245" t="str">
        <f>HYPERLINK("https%3A%2F%2Fwww.webofscience.com%2Fwos%2Fwoscc%2Ffull-record%2FWOS:000404450700001","View Full Record in Web of Science")</f>
        <v>View Full Record in Web of Science</v>
      </c>
    </row>
    <row r="246" spans="1:72" x14ac:dyDescent="0.15">
      <c r="A246" t="s">
        <v>72</v>
      </c>
      <c r="B246" t="s">
        <v>4948</v>
      </c>
      <c r="C246" t="s">
        <v>74</v>
      </c>
      <c r="D246" t="s">
        <v>74</v>
      </c>
      <c r="E246" t="s">
        <v>74</v>
      </c>
      <c r="F246" t="s">
        <v>4949</v>
      </c>
      <c r="G246" t="s">
        <v>74</v>
      </c>
      <c r="H246" t="s">
        <v>74</v>
      </c>
      <c r="I246" t="s">
        <v>4950</v>
      </c>
      <c r="J246" t="s">
        <v>477</v>
      </c>
      <c r="K246" t="s">
        <v>74</v>
      </c>
      <c r="L246" t="s">
        <v>74</v>
      </c>
      <c r="M246" t="s">
        <v>78</v>
      </c>
      <c r="N246" t="s">
        <v>518</v>
      </c>
      <c r="O246" t="s">
        <v>74</v>
      </c>
      <c r="P246" t="s">
        <v>74</v>
      </c>
      <c r="Q246" t="s">
        <v>74</v>
      </c>
      <c r="R246" t="s">
        <v>74</v>
      </c>
      <c r="S246" t="s">
        <v>74</v>
      </c>
      <c r="T246" t="s">
        <v>74</v>
      </c>
      <c r="U246" t="s">
        <v>4951</v>
      </c>
      <c r="V246" t="s">
        <v>4952</v>
      </c>
      <c r="W246" t="s">
        <v>4953</v>
      </c>
      <c r="X246" t="s">
        <v>4954</v>
      </c>
      <c r="Y246" t="s">
        <v>4955</v>
      </c>
      <c r="Z246" t="s">
        <v>4956</v>
      </c>
      <c r="AA246" t="s">
        <v>4957</v>
      </c>
      <c r="AB246" t="s">
        <v>4958</v>
      </c>
      <c r="AC246" t="s">
        <v>4959</v>
      </c>
      <c r="AD246" t="s">
        <v>4960</v>
      </c>
      <c r="AE246" t="s">
        <v>4961</v>
      </c>
      <c r="AF246" t="s">
        <v>74</v>
      </c>
      <c r="AG246">
        <v>119</v>
      </c>
      <c r="AH246">
        <v>8</v>
      </c>
      <c r="AI246">
        <v>10</v>
      </c>
      <c r="AJ246">
        <v>0</v>
      </c>
      <c r="AK246">
        <v>24</v>
      </c>
      <c r="AL246" t="s">
        <v>222</v>
      </c>
      <c r="AM246" t="s">
        <v>223</v>
      </c>
      <c r="AN246" t="s">
        <v>224</v>
      </c>
      <c r="AO246" t="s">
        <v>489</v>
      </c>
      <c r="AP246" t="s">
        <v>490</v>
      </c>
      <c r="AQ246" t="s">
        <v>74</v>
      </c>
      <c r="AR246" t="s">
        <v>491</v>
      </c>
      <c r="AS246" t="s">
        <v>492</v>
      </c>
      <c r="AT246" t="s">
        <v>4623</v>
      </c>
      <c r="AU246">
        <v>2017</v>
      </c>
      <c r="AV246">
        <v>122</v>
      </c>
      <c r="AW246">
        <v>5</v>
      </c>
      <c r="AX246" t="s">
        <v>74</v>
      </c>
      <c r="AY246" t="s">
        <v>74</v>
      </c>
      <c r="AZ246" t="s">
        <v>74</v>
      </c>
      <c r="BA246" t="s">
        <v>74</v>
      </c>
      <c r="BB246">
        <v>4988</v>
      </c>
      <c r="BC246">
        <v>5007</v>
      </c>
      <c r="BD246" t="s">
        <v>74</v>
      </c>
      <c r="BE246" t="s">
        <v>4962</v>
      </c>
      <c r="BF246" t="str">
        <f>HYPERLINK("http://dx.doi.org/10.1002/2017JA023915","http://dx.doi.org/10.1002/2017JA023915")</f>
        <v>http://dx.doi.org/10.1002/2017JA023915</v>
      </c>
      <c r="BG246" t="s">
        <v>74</v>
      </c>
      <c r="BH246" t="s">
        <v>74</v>
      </c>
      <c r="BI246">
        <v>20</v>
      </c>
      <c r="BJ246" t="s">
        <v>494</v>
      </c>
      <c r="BK246" t="s">
        <v>103</v>
      </c>
      <c r="BL246" t="s">
        <v>494</v>
      </c>
      <c r="BM246" t="s">
        <v>4963</v>
      </c>
      <c r="BN246" t="s">
        <v>74</v>
      </c>
      <c r="BO246" t="s">
        <v>74</v>
      </c>
      <c r="BP246" t="s">
        <v>74</v>
      </c>
      <c r="BQ246" t="s">
        <v>74</v>
      </c>
      <c r="BR246" t="s">
        <v>106</v>
      </c>
      <c r="BS246" t="s">
        <v>4964</v>
      </c>
      <c r="BT246" t="str">
        <f>HYPERLINK("https%3A%2F%2Fwww.webofscience.com%2Fwos%2Fwoscc%2Ffull-record%2FWOS:000403912500010","View Full Record in Web of Science")</f>
        <v>View Full Record in Web of Science</v>
      </c>
    </row>
    <row r="247" spans="1:72" x14ac:dyDescent="0.15">
      <c r="A247" t="s">
        <v>72</v>
      </c>
      <c r="B247" t="s">
        <v>4965</v>
      </c>
      <c r="C247" t="s">
        <v>74</v>
      </c>
      <c r="D247" t="s">
        <v>74</v>
      </c>
      <c r="E247" t="s">
        <v>74</v>
      </c>
      <c r="F247" t="s">
        <v>4966</v>
      </c>
      <c r="G247" t="s">
        <v>74</v>
      </c>
      <c r="H247" t="s">
        <v>74</v>
      </c>
      <c r="I247" t="s">
        <v>4967</v>
      </c>
      <c r="J247" t="s">
        <v>477</v>
      </c>
      <c r="K247" t="s">
        <v>74</v>
      </c>
      <c r="L247" t="s">
        <v>74</v>
      </c>
      <c r="M247" t="s">
        <v>78</v>
      </c>
      <c r="N247" t="s">
        <v>79</v>
      </c>
      <c r="O247" t="s">
        <v>74</v>
      </c>
      <c r="P247" t="s">
        <v>74</v>
      </c>
      <c r="Q247" t="s">
        <v>74</v>
      </c>
      <c r="R247" t="s">
        <v>74</v>
      </c>
      <c r="S247" t="s">
        <v>74</v>
      </c>
      <c r="T247" t="s">
        <v>74</v>
      </c>
      <c r="U247" t="s">
        <v>4968</v>
      </c>
      <c r="V247" t="s">
        <v>4969</v>
      </c>
      <c r="W247" t="s">
        <v>4970</v>
      </c>
      <c r="X247" t="s">
        <v>4971</v>
      </c>
      <c r="Y247" t="s">
        <v>4972</v>
      </c>
      <c r="Z247" t="s">
        <v>4973</v>
      </c>
      <c r="AA247" t="s">
        <v>4974</v>
      </c>
      <c r="AB247" t="s">
        <v>4975</v>
      </c>
      <c r="AC247" t="s">
        <v>4976</v>
      </c>
      <c r="AD247" t="s">
        <v>4977</v>
      </c>
      <c r="AE247" t="s">
        <v>4978</v>
      </c>
      <c r="AF247" t="s">
        <v>74</v>
      </c>
      <c r="AG247">
        <v>80</v>
      </c>
      <c r="AH247">
        <v>54</v>
      </c>
      <c r="AI247">
        <v>57</v>
      </c>
      <c r="AJ247">
        <v>0</v>
      </c>
      <c r="AK247">
        <v>4</v>
      </c>
      <c r="AL247" t="s">
        <v>222</v>
      </c>
      <c r="AM247" t="s">
        <v>223</v>
      </c>
      <c r="AN247" t="s">
        <v>224</v>
      </c>
      <c r="AO247" t="s">
        <v>489</v>
      </c>
      <c r="AP247" t="s">
        <v>490</v>
      </c>
      <c r="AQ247" t="s">
        <v>74</v>
      </c>
      <c r="AR247" t="s">
        <v>491</v>
      </c>
      <c r="AS247" t="s">
        <v>492</v>
      </c>
      <c r="AT247" t="s">
        <v>4623</v>
      </c>
      <c r="AU247">
        <v>2017</v>
      </c>
      <c r="AV247">
        <v>122</v>
      </c>
      <c r="AW247">
        <v>5</v>
      </c>
      <c r="AX247" t="s">
        <v>74</v>
      </c>
      <c r="AY247" t="s">
        <v>74</v>
      </c>
      <c r="AZ247" t="s">
        <v>74</v>
      </c>
      <c r="BA247" t="s">
        <v>74</v>
      </c>
      <c r="BB247">
        <v>5059</v>
      </c>
      <c r="BC247">
        <v>5076</v>
      </c>
      <c r="BD247" t="s">
        <v>74</v>
      </c>
      <c r="BE247" t="s">
        <v>4979</v>
      </c>
      <c r="BF247" t="str">
        <f>HYPERLINK("http://dx.doi.org/10.1002/2017JA023981","http://dx.doi.org/10.1002/2017JA023981")</f>
        <v>http://dx.doi.org/10.1002/2017JA023981</v>
      </c>
      <c r="BG247" t="s">
        <v>74</v>
      </c>
      <c r="BH247" t="s">
        <v>74</v>
      </c>
      <c r="BI247">
        <v>18</v>
      </c>
      <c r="BJ247" t="s">
        <v>494</v>
      </c>
      <c r="BK247" t="s">
        <v>103</v>
      </c>
      <c r="BL247" t="s">
        <v>494</v>
      </c>
      <c r="BM247" t="s">
        <v>4963</v>
      </c>
      <c r="BN247" t="s">
        <v>74</v>
      </c>
      <c r="BO247" t="s">
        <v>74</v>
      </c>
      <c r="BP247" t="s">
        <v>74</v>
      </c>
      <c r="BQ247" t="s">
        <v>74</v>
      </c>
      <c r="BR247" t="s">
        <v>106</v>
      </c>
      <c r="BS247" t="s">
        <v>4980</v>
      </c>
      <c r="BT247" t="str">
        <f>HYPERLINK("https%3A%2F%2Fwww.webofscience.com%2Fwos%2Fwoscc%2Ffull-record%2FWOS:000403912500014","View Full Record in Web of Science")</f>
        <v>View Full Record in Web of Science</v>
      </c>
    </row>
    <row r="248" spans="1:72" x14ac:dyDescent="0.15">
      <c r="A248" t="s">
        <v>72</v>
      </c>
      <c r="B248" t="s">
        <v>4981</v>
      </c>
      <c r="C248" t="s">
        <v>74</v>
      </c>
      <c r="D248" t="s">
        <v>74</v>
      </c>
      <c r="E248" t="s">
        <v>74</v>
      </c>
      <c r="F248" t="s">
        <v>4982</v>
      </c>
      <c r="G248" t="s">
        <v>74</v>
      </c>
      <c r="H248" t="s">
        <v>74</v>
      </c>
      <c r="I248" t="s">
        <v>4983</v>
      </c>
      <c r="J248" t="s">
        <v>477</v>
      </c>
      <c r="K248" t="s">
        <v>74</v>
      </c>
      <c r="L248" t="s">
        <v>74</v>
      </c>
      <c r="M248" t="s">
        <v>78</v>
      </c>
      <c r="N248" t="s">
        <v>79</v>
      </c>
      <c r="O248" t="s">
        <v>74</v>
      </c>
      <c r="P248" t="s">
        <v>74</v>
      </c>
      <c r="Q248" t="s">
        <v>74</v>
      </c>
      <c r="R248" t="s">
        <v>74</v>
      </c>
      <c r="S248" t="s">
        <v>74</v>
      </c>
      <c r="T248" t="s">
        <v>74</v>
      </c>
      <c r="U248" t="s">
        <v>4984</v>
      </c>
      <c r="V248" t="s">
        <v>4985</v>
      </c>
      <c r="W248" t="s">
        <v>4986</v>
      </c>
      <c r="X248" t="s">
        <v>4987</v>
      </c>
      <c r="Y248" t="s">
        <v>4988</v>
      </c>
      <c r="Z248" t="s">
        <v>4989</v>
      </c>
      <c r="AA248" t="s">
        <v>4990</v>
      </c>
      <c r="AB248" t="s">
        <v>4991</v>
      </c>
      <c r="AC248" t="s">
        <v>4992</v>
      </c>
      <c r="AD248" t="s">
        <v>4993</v>
      </c>
      <c r="AE248" t="s">
        <v>4994</v>
      </c>
      <c r="AF248" t="s">
        <v>74</v>
      </c>
      <c r="AG248">
        <v>51</v>
      </c>
      <c r="AH248">
        <v>14</v>
      </c>
      <c r="AI248">
        <v>16</v>
      </c>
      <c r="AJ248">
        <v>0</v>
      </c>
      <c r="AK248">
        <v>10</v>
      </c>
      <c r="AL248" t="s">
        <v>222</v>
      </c>
      <c r="AM248" t="s">
        <v>223</v>
      </c>
      <c r="AN248" t="s">
        <v>224</v>
      </c>
      <c r="AO248" t="s">
        <v>489</v>
      </c>
      <c r="AP248" t="s">
        <v>490</v>
      </c>
      <c r="AQ248" t="s">
        <v>74</v>
      </c>
      <c r="AR248" t="s">
        <v>491</v>
      </c>
      <c r="AS248" t="s">
        <v>492</v>
      </c>
      <c r="AT248" t="s">
        <v>4623</v>
      </c>
      <c r="AU248">
        <v>2017</v>
      </c>
      <c r="AV248">
        <v>122</v>
      </c>
      <c r="AW248">
        <v>5</v>
      </c>
      <c r="AX248" t="s">
        <v>74</v>
      </c>
      <c r="AY248" t="s">
        <v>74</v>
      </c>
      <c r="AZ248" t="s">
        <v>74</v>
      </c>
      <c r="BA248" t="s">
        <v>74</v>
      </c>
      <c r="BB248">
        <v>5591</v>
      </c>
      <c r="BC248">
        <v>5605</v>
      </c>
      <c r="BD248" t="s">
        <v>74</v>
      </c>
      <c r="BE248" t="s">
        <v>4995</v>
      </c>
      <c r="BF248" t="str">
        <f>HYPERLINK("http://dx.doi.org/10.1002/2016JA023427","http://dx.doi.org/10.1002/2016JA023427")</f>
        <v>http://dx.doi.org/10.1002/2016JA023427</v>
      </c>
      <c r="BG248" t="s">
        <v>74</v>
      </c>
      <c r="BH248" t="s">
        <v>74</v>
      </c>
      <c r="BI248">
        <v>15</v>
      </c>
      <c r="BJ248" t="s">
        <v>494</v>
      </c>
      <c r="BK248" t="s">
        <v>103</v>
      </c>
      <c r="BL248" t="s">
        <v>494</v>
      </c>
      <c r="BM248" t="s">
        <v>4963</v>
      </c>
      <c r="BN248" t="s">
        <v>74</v>
      </c>
      <c r="BO248" t="s">
        <v>1100</v>
      </c>
      <c r="BP248" t="s">
        <v>74</v>
      </c>
      <c r="BQ248" t="s">
        <v>74</v>
      </c>
      <c r="BR248" t="s">
        <v>106</v>
      </c>
      <c r="BS248" t="s">
        <v>4996</v>
      </c>
      <c r="BT248" t="str">
        <f>HYPERLINK("https%3A%2F%2Fwww.webofscience.com%2Fwos%2Fwoscc%2Ffull-record%2FWOS:000403912500050","View Full Record in Web of Science")</f>
        <v>View Full Record in Web of Science</v>
      </c>
    </row>
    <row r="249" spans="1:72" x14ac:dyDescent="0.15">
      <c r="A249" t="s">
        <v>72</v>
      </c>
      <c r="B249" t="s">
        <v>4997</v>
      </c>
      <c r="C249" t="s">
        <v>74</v>
      </c>
      <c r="D249" t="s">
        <v>74</v>
      </c>
      <c r="E249" t="s">
        <v>74</v>
      </c>
      <c r="F249" t="s">
        <v>4998</v>
      </c>
      <c r="G249" t="s">
        <v>74</v>
      </c>
      <c r="H249" t="s">
        <v>74</v>
      </c>
      <c r="I249" t="s">
        <v>4999</v>
      </c>
      <c r="J249" t="s">
        <v>477</v>
      </c>
      <c r="K249" t="s">
        <v>74</v>
      </c>
      <c r="L249" t="s">
        <v>74</v>
      </c>
      <c r="M249" t="s">
        <v>78</v>
      </c>
      <c r="N249" t="s">
        <v>79</v>
      </c>
      <c r="O249" t="s">
        <v>74</v>
      </c>
      <c r="P249" t="s">
        <v>74</v>
      </c>
      <c r="Q249" t="s">
        <v>74</v>
      </c>
      <c r="R249" t="s">
        <v>74</v>
      </c>
      <c r="S249" t="s">
        <v>74</v>
      </c>
      <c r="T249" t="s">
        <v>5000</v>
      </c>
      <c r="U249" t="s">
        <v>5001</v>
      </c>
      <c r="V249" t="s">
        <v>5002</v>
      </c>
      <c r="W249" t="s">
        <v>5003</v>
      </c>
      <c r="X249" t="s">
        <v>5004</v>
      </c>
      <c r="Y249" t="s">
        <v>5005</v>
      </c>
      <c r="Z249" t="s">
        <v>5006</v>
      </c>
      <c r="AA249" t="s">
        <v>5007</v>
      </c>
      <c r="AB249" t="s">
        <v>5008</v>
      </c>
      <c r="AC249" t="s">
        <v>5009</v>
      </c>
      <c r="AD249" t="s">
        <v>5010</v>
      </c>
      <c r="AE249" t="s">
        <v>5011</v>
      </c>
      <c r="AF249" t="s">
        <v>74</v>
      </c>
      <c r="AG249">
        <v>32</v>
      </c>
      <c r="AH249">
        <v>35</v>
      </c>
      <c r="AI249">
        <v>38</v>
      </c>
      <c r="AJ249">
        <v>0</v>
      </c>
      <c r="AK249">
        <v>3</v>
      </c>
      <c r="AL249" t="s">
        <v>222</v>
      </c>
      <c r="AM249" t="s">
        <v>223</v>
      </c>
      <c r="AN249" t="s">
        <v>224</v>
      </c>
      <c r="AO249" t="s">
        <v>489</v>
      </c>
      <c r="AP249" t="s">
        <v>490</v>
      </c>
      <c r="AQ249" t="s">
        <v>74</v>
      </c>
      <c r="AR249" t="s">
        <v>491</v>
      </c>
      <c r="AS249" t="s">
        <v>492</v>
      </c>
      <c r="AT249" t="s">
        <v>4623</v>
      </c>
      <c r="AU249">
        <v>2017</v>
      </c>
      <c r="AV249">
        <v>122</v>
      </c>
      <c r="AW249">
        <v>5</v>
      </c>
      <c r="AX249" t="s">
        <v>74</v>
      </c>
      <c r="AY249" t="s">
        <v>74</v>
      </c>
      <c r="AZ249" t="s">
        <v>74</v>
      </c>
      <c r="BA249" t="s">
        <v>74</v>
      </c>
      <c r="BB249">
        <v>5606</v>
      </c>
      <c r="BC249">
        <v>5618</v>
      </c>
      <c r="BD249" t="s">
        <v>74</v>
      </c>
      <c r="BE249" t="s">
        <v>5012</v>
      </c>
      <c r="BF249" t="str">
        <f>HYPERLINK("http://dx.doi.org/10.1002/2017JA024039","http://dx.doi.org/10.1002/2017JA024039")</f>
        <v>http://dx.doi.org/10.1002/2017JA024039</v>
      </c>
      <c r="BG249" t="s">
        <v>74</v>
      </c>
      <c r="BH249" t="s">
        <v>74</v>
      </c>
      <c r="BI249">
        <v>13</v>
      </c>
      <c r="BJ249" t="s">
        <v>494</v>
      </c>
      <c r="BK249" t="s">
        <v>103</v>
      </c>
      <c r="BL249" t="s">
        <v>494</v>
      </c>
      <c r="BM249" t="s">
        <v>4963</v>
      </c>
      <c r="BN249" t="s">
        <v>74</v>
      </c>
      <c r="BO249" t="s">
        <v>5013</v>
      </c>
      <c r="BP249" t="s">
        <v>74</v>
      </c>
      <c r="BQ249" t="s">
        <v>74</v>
      </c>
      <c r="BR249" t="s">
        <v>106</v>
      </c>
      <c r="BS249" t="s">
        <v>5014</v>
      </c>
      <c r="BT249" t="str">
        <f>HYPERLINK("https%3A%2F%2Fwww.webofscience.com%2Fwos%2Fwoscc%2Ffull-record%2FWOS:000403912500051","View Full Record in Web of Science")</f>
        <v>View Full Record in Web of Science</v>
      </c>
    </row>
    <row r="250" spans="1:72" x14ac:dyDescent="0.15">
      <c r="A250" t="s">
        <v>72</v>
      </c>
      <c r="B250" t="s">
        <v>5015</v>
      </c>
      <c r="C250" t="s">
        <v>74</v>
      </c>
      <c r="D250" t="s">
        <v>74</v>
      </c>
      <c r="E250" t="s">
        <v>74</v>
      </c>
      <c r="F250" t="s">
        <v>5016</v>
      </c>
      <c r="G250" t="s">
        <v>74</v>
      </c>
      <c r="H250" t="s">
        <v>74</v>
      </c>
      <c r="I250" t="s">
        <v>5017</v>
      </c>
      <c r="J250" t="s">
        <v>5018</v>
      </c>
      <c r="K250" t="s">
        <v>74</v>
      </c>
      <c r="L250" t="s">
        <v>74</v>
      </c>
      <c r="M250" t="s">
        <v>78</v>
      </c>
      <c r="N250" t="s">
        <v>79</v>
      </c>
      <c r="O250" t="s">
        <v>74</v>
      </c>
      <c r="P250" t="s">
        <v>74</v>
      </c>
      <c r="Q250" t="s">
        <v>74</v>
      </c>
      <c r="R250" t="s">
        <v>74</v>
      </c>
      <c r="S250" t="s">
        <v>74</v>
      </c>
      <c r="T250" t="s">
        <v>74</v>
      </c>
      <c r="U250" t="s">
        <v>5019</v>
      </c>
      <c r="V250" t="s">
        <v>5020</v>
      </c>
      <c r="W250" t="s">
        <v>5021</v>
      </c>
      <c r="X250" t="s">
        <v>5022</v>
      </c>
      <c r="Y250" t="s">
        <v>5023</v>
      </c>
      <c r="Z250" t="s">
        <v>5024</v>
      </c>
      <c r="AA250" t="s">
        <v>74</v>
      </c>
      <c r="AB250" t="s">
        <v>5025</v>
      </c>
      <c r="AC250" t="s">
        <v>5026</v>
      </c>
      <c r="AD250" t="s">
        <v>5027</v>
      </c>
      <c r="AE250" t="s">
        <v>5028</v>
      </c>
      <c r="AF250" t="s">
        <v>74</v>
      </c>
      <c r="AG250">
        <v>18</v>
      </c>
      <c r="AH250">
        <v>32</v>
      </c>
      <c r="AI250">
        <v>38</v>
      </c>
      <c r="AJ250">
        <v>0</v>
      </c>
      <c r="AK250">
        <v>12</v>
      </c>
      <c r="AL250" t="s">
        <v>5029</v>
      </c>
      <c r="AM250" t="s">
        <v>5030</v>
      </c>
      <c r="AN250" t="s">
        <v>5031</v>
      </c>
      <c r="AO250" t="s">
        <v>5032</v>
      </c>
      <c r="AP250" t="s">
        <v>5033</v>
      </c>
      <c r="AQ250" t="s">
        <v>74</v>
      </c>
      <c r="AR250" t="s">
        <v>5018</v>
      </c>
      <c r="AS250" t="s">
        <v>438</v>
      </c>
      <c r="AT250" t="s">
        <v>4623</v>
      </c>
      <c r="AU250">
        <v>2017</v>
      </c>
      <c r="AV250">
        <v>45</v>
      </c>
      <c r="AW250">
        <v>5</v>
      </c>
      <c r="AX250" t="s">
        <v>74</v>
      </c>
      <c r="AY250" t="s">
        <v>74</v>
      </c>
      <c r="AZ250" t="s">
        <v>74</v>
      </c>
      <c r="BA250" t="s">
        <v>74</v>
      </c>
      <c r="BB250">
        <v>403</v>
      </c>
      <c r="BC250">
        <v>406</v>
      </c>
      <c r="BD250" t="s">
        <v>74</v>
      </c>
      <c r="BE250" t="s">
        <v>5034</v>
      </c>
      <c r="BF250" t="str">
        <f>HYPERLINK("http://dx.doi.org/10.1130/G38715.1|","http://dx.doi.org/10.1130/G38715.1|")</f>
        <v>http://dx.doi.org/10.1130/G38715.1|</v>
      </c>
      <c r="BG250" t="s">
        <v>74</v>
      </c>
      <c r="BH250" t="s">
        <v>74</v>
      </c>
      <c r="BI250">
        <v>4</v>
      </c>
      <c r="BJ250" t="s">
        <v>438</v>
      </c>
      <c r="BK250" t="s">
        <v>103</v>
      </c>
      <c r="BL250" t="s">
        <v>438</v>
      </c>
      <c r="BM250" t="s">
        <v>5035</v>
      </c>
      <c r="BN250" t="s">
        <v>74</v>
      </c>
      <c r="BO250" t="s">
        <v>74</v>
      </c>
      <c r="BP250" t="s">
        <v>74</v>
      </c>
      <c r="BQ250" t="s">
        <v>74</v>
      </c>
      <c r="BR250" t="s">
        <v>106</v>
      </c>
      <c r="BS250" t="s">
        <v>5036</v>
      </c>
      <c r="BT250" t="str">
        <f>HYPERLINK("https%3A%2F%2Fwww.webofscience.com%2Fwos%2Fwoscc%2Ffull-record%2FWOS:000404101300007","View Full Record in Web of Science")</f>
        <v>View Full Record in Web of Science</v>
      </c>
    </row>
    <row r="251" spans="1:72" x14ac:dyDescent="0.15">
      <c r="A251" t="s">
        <v>72</v>
      </c>
      <c r="B251" t="s">
        <v>5037</v>
      </c>
      <c r="C251" t="s">
        <v>74</v>
      </c>
      <c r="D251" t="s">
        <v>74</v>
      </c>
      <c r="E251" t="s">
        <v>74</v>
      </c>
      <c r="F251" t="s">
        <v>5038</v>
      </c>
      <c r="G251" t="s">
        <v>74</v>
      </c>
      <c r="H251" t="s">
        <v>74</v>
      </c>
      <c r="I251" t="s">
        <v>5039</v>
      </c>
      <c r="J251" t="s">
        <v>5040</v>
      </c>
      <c r="K251" t="s">
        <v>74</v>
      </c>
      <c r="L251" t="s">
        <v>74</v>
      </c>
      <c r="M251" t="s">
        <v>78</v>
      </c>
      <c r="N251" t="s">
        <v>79</v>
      </c>
      <c r="O251" t="s">
        <v>74</v>
      </c>
      <c r="P251" t="s">
        <v>74</v>
      </c>
      <c r="Q251" t="s">
        <v>74</v>
      </c>
      <c r="R251" t="s">
        <v>74</v>
      </c>
      <c r="S251" t="s">
        <v>74</v>
      </c>
      <c r="T251" t="s">
        <v>5041</v>
      </c>
      <c r="U251" t="s">
        <v>5042</v>
      </c>
      <c r="V251" t="s">
        <v>5043</v>
      </c>
      <c r="W251" t="s">
        <v>5044</v>
      </c>
      <c r="X251" t="s">
        <v>5045</v>
      </c>
      <c r="Y251" t="s">
        <v>5046</v>
      </c>
      <c r="Z251" t="s">
        <v>5047</v>
      </c>
      <c r="AA251" t="s">
        <v>5048</v>
      </c>
      <c r="AB251" t="s">
        <v>5049</v>
      </c>
      <c r="AC251" t="s">
        <v>5050</v>
      </c>
      <c r="AD251" t="s">
        <v>5051</v>
      </c>
      <c r="AE251" t="s">
        <v>5052</v>
      </c>
      <c r="AF251" t="s">
        <v>74</v>
      </c>
      <c r="AG251">
        <v>51</v>
      </c>
      <c r="AH251">
        <v>6</v>
      </c>
      <c r="AI251">
        <v>8</v>
      </c>
      <c r="AJ251">
        <v>1</v>
      </c>
      <c r="AK251">
        <v>37</v>
      </c>
      <c r="AL251" t="s">
        <v>611</v>
      </c>
      <c r="AM251" t="s">
        <v>612</v>
      </c>
      <c r="AN251" t="s">
        <v>613</v>
      </c>
      <c r="AO251" t="s">
        <v>74</v>
      </c>
      <c r="AP251" t="s">
        <v>5053</v>
      </c>
      <c r="AQ251" t="s">
        <v>74</v>
      </c>
      <c r="AR251" t="s">
        <v>5054</v>
      </c>
      <c r="AS251" t="s">
        <v>5055</v>
      </c>
      <c r="AT251" t="s">
        <v>4623</v>
      </c>
      <c r="AU251">
        <v>2017</v>
      </c>
      <c r="AV251">
        <v>8</v>
      </c>
      <c r="AW251">
        <v>5</v>
      </c>
      <c r="AX251" t="s">
        <v>74</v>
      </c>
      <c r="AY251" t="s">
        <v>74</v>
      </c>
      <c r="AZ251" t="s">
        <v>74</v>
      </c>
      <c r="BA251" t="s">
        <v>74</v>
      </c>
      <c r="BB251" t="s">
        <v>74</v>
      </c>
      <c r="BC251" t="s">
        <v>74</v>
      </c>
      <c r="BD251">
        <v>82</v>
      </c>
      <c r="BE251" t="s">
        <v>5056</v>
      </c>
      <c r="BF251" t="str">
        <f>HYPERLINK("http://dx.doi.org/10.3390/atmos8050082","http://dx.doi.org/10.3390/atmos8050082")</f>
        <v>http://dx.doi.org/10.3390/atmos8050082</v>
      </c>
      <c r="BG251" t="s">
        <v>74</v>
      </c>
      <c r="BH251" t="s">
        <v>74</v>
      </c>
      <c r="BI251">
        <v>13</v>
      </c>
      <c r="BJ251" t="s">
        <v>3614</v>
      </c>
      <c r="BK251" t="s">
        <v>103</v>
      </c>
      <c r="BL251" t="s">
        <v>3615</v>
      </c>
      <c r="BM251" t="s">
        <v>5057</v>
      </c>
      <c r="BN251" t="s">
        <v>74</v>
      </c>
      <c r="BO251" t="s">
        <v>2009</v>
      </c>
      <c r="BP251" t="s">
        <v>74</v>
      </c>
      <c r="BQ251" t="s">
        <v>74</v>
      </c>
      <c r="BR251" t="s">
        <v>106</v>
      </c>
      <c r="BS251" t="s">
        <v>5058</v>
      </c>
      <c r="BT251" t="str">
        <f>HYPERLINK("https%3A%2F%2Fwww.webofscience.com%2Fwos%2Fwoscc%2Ffull-record%2FWOS:000404059500004","View Full Record in Web of Science")</f>
        <v>View Full Record in Web of Science</v>
      </c>
    </row>
    <row r="252" spans="1:72" x14ac:dyDescent="0.15">
      <c r="A252" t="s">
        <v>72</v>
      </c>
      <c r="B252" t="s">
        <v>5059</v>
      </c>
      <c r="C252" t="s">
        <v>74</v>
      </c>
      <c r="D252" t="s">
        <v>74</v>
      </c>
      <c r="E252" t="s">
        <v>74</v>
      </c>
      <c r="F252" t="s">
        <v>5060</v>
      </c>
      <c r="G252" t="s">
        <v>74</v>
      </c>
      <c r="H252" t="s">
        <v>74</v>
      </c>
      <c r="I252" t="s">
        <v>5061</v>
      </c>
      <c r="J252" t="s">
        <v>5062</v>
      </c>
      <c r="K252" t="s">
        <v>74</v>
      </c>
      <c r="L252" t="s">
        <v>74</v>
      </c>
      <c r="M252" t="s">
        <v>78</v>
      </c>
      <c r="N252" t="s">
        <v>79</v>
      </c>
      <c r="O252" t="s">
        <v>74</v>
      </c>
      <c r="P252" t="s">
        <v>74</v>
      </c>
      <c r="Q252" t="s">
        <v>74</v>
      </c>
      <c r="R252" t="s">
        <v>74</v>
      </c>
      <c r="S252" t="s">
        <v>74</v>
      </c>
      <c r="T252" t="s">
        <v>74</v>
      </c>
      <c r="U252" t="s">
        <v>5063</v>
      </c>
      <c r="V252" t="s">
        <v>5064</v>
      </c>
      <c r="W252" t="s">
        <v>5065</v>
      </c>
      <c r="X252" t="s">
        <v>5066</v>
      </c>
      <c r="Y252" t="s">
        <v>5067</v>
      </c>
      <c r="Z252" t="s">
        <v>5068</v>
      </c>
      <c r="AA252" t="s">
        <v>5069</v>
      </c>
      <c r="AB252" t="s">
        <v>5070</v>
      </c>
      <c r="AC252" t="s">
        <v>5071</v>
      </c>
      <c r="AD252" t="s">
        <v>5072</v>
      </c>
      <c r="AE252" t="s">
        <v>5073</v>
      </c>
      <c r="AF252" t="s">
        <v>74</v>
      </c>
      <c r="AG252">
        <v>55</v>
      </c>
      <c r="AH252">
        <v>32</v>
      </c>
      <c r="AI252">
        <v>33</v>
      </c>
      <c r="AJ252">
        <v>1</v>
      </c>
      <c r="AK252">
        <v>20</v>
      </c>
      <c r="AL252" t="s">
        <v>681</v>
      </c>
      <c r="AM252" t="s">
        <v>682</v>
      </c>
      <c r="AN252" t="s">
        <v>683</v>
      </c>
      <c r="AO252" t="s">
        <v>5074</v>
      </c>
      <c r="AP252" t="s">
        <v>5075</v>
      </c>
      <c r="AQ252" t="s">
        <v>74</v>
      </c>
      <c r="AR252" t="s">
        <v>5076</v>
      </c>
      <c r="AS252" t="s">
        <v>5077</v>
      </c>
      <c r="AT252" t="s">
        <v>4623</v>
      </c>
      <c r="AU252">
        <v>2017</v>
      </c>
      <c r="AV252">
        <v>62</v>
      </c>
      <c r="AW252">
        <v>3</v>
      </c>
      <c r="AX252" t="s">
        <v>74</v>
      </c>
      <c r="AY252" t="s">
        <v>74</v>
      </c>
      <c r="AZ252" t="s">
        <v>74</v>
      </c>
      <c r="BA252" t="s">
        <v>74</v>
      </c>
      <c r="BB252">
        <v>1155</v>
      </c>
      <c r="BC252">
        <v>1165</v>
      </c>
      <c r="BD252" t="s">
        <v>74</v>
      </c>
      <c r="BE252" t="s">
        <v>5078</v>
      </c>
      <c r="BF252" t="str">
        <f>HYPERLINK("http://dx.doi.org/10.1002/lno.10492","http://dx.doi.org/10.1002/lno.10492")</f>
        <v>http://dx.doi.org/10.1002/lno.10492</v>
      </c>
      <c r="BG252" t="s">
        <v>74</v>
      </c>
      <c r="BH252" t="s">
        <v>74</v>
      </c>
      <c r="BI252">
        <v>11</v>
      </c>
      <c r="BJ252" t="s">
        <v>5079</v>
      </c>
      <c r="BK252" t="s">
        <v>103</v>
      </c>
      <c r="BL252" t="s">
        <v>4165</v>
      </c>
      <c r="BM252" t="s">
        <v>5080</v>
      </c>
      <c r="BN252" t="s">
        <v>74</v>
      </c>
      <c r="BO252" t="s">
        <v>1538</v>
      </c>
      <c r="BP252" t="s">
        <v>74</v>
      </c>
      <c r="BQ252" t="s">
        <v>74</v>
      </c>
      <c r="BR252" t="s">
        <v>106</v>
      </c>
      <c r="BS252" t="s">
        <v>5081</v>
      </c>
      <c r="BT252" t="str">
        <f>HYPERLINK("https%3A%2F%2Fwww.webofscience.com%2Fwos%2Fwoscc%2Ffull-record%2FWOS:000402907100019","View Full Record in Web of Science")</f>
        <v>View Full Record in Web of Science</v>
      </c>
    </row>
    <row r="253" spans="1:72" x14ac:dyDescent="0.15">
      <c r="A253" t="s">
        <v>72</v>
      </c>
      <c r="B253" t="s">
        <v>5082</v>
      </c>
      <c r="C253" t="s">
        <v>74</v>
      </c>
      <c r="D253" t="s">
        <v>74</v>
      </c>
      <c r="E253" t="s">
        <v>74</v>
      </c>
      <c r="F253" t="s">
        <v>5083</v>
      </c>
      <c r="G253" t="s">
        <v>74</v>
      </c>
      <c r="H253" t="s">
        <v>74</v>
      </c>
      <c r="I253" t="s">
        <v>5084</v>
      </c>
      <c r="J253" t="s">
        <v>444</v>
      </c>
      <c r="K253" t="s">
        <v>74</v>
      </c>
      <c r="L253" t="s">
        <v>74</v>
      </c>
      <c r="M253" t="s">
        <v>78</v>
      </c>
      <c r="N253" t="s">
        <v>79</v>
      </c>
      <c r="O253" t="s">
        <v>74</v>
      </c>
      <c r="P253" t="s">
        <v>74</v>
      </c>
      <c r="Q253" t="s">
        <v>74</v>
      </c>
      <c r="R253" t="s">
        <v>74</v>
      </c>
      <c r="S253" t="s">
        <v>74</v>
      </c>
      <c r="T253" t="s">
        <v>5085</v>
      </c>
      <c r="U253" t="s">
        <v>5086</v>
      </c>
      <c r="V253" t="s">
        <v>5087</v>
      </c>
      <c r="W253" t="s">
        <v>5088</v>
      </c>
      <c r="X253" t="s">
        <v>5089</v>
      </c>
      <c r="Y253" t="s">
        <v>5090</v>
      </c>
      <c r="Z253" t="s">
        <v>5091</v>
      </c>
      <c r="AA253" t="s">
        <v>74</v>
      </c>
      <c r="AB253" t="s">
        <v>5092</v>
      </c>
      <c r="AC253" t="s">
        <v>5093</v>
      </c>
      <c r="AD253" t="s">
        <v>5094</v>
      </c>
      <c r="AE253" t="s">
        <v>5095</v>
      </c>
      <c r="AF253" t="s">
        <v>74</v>
      </c>
      <c r="AG253">
        <v>78</v>
      </c>
      <c r="AH253">
        <v>7</v>
      </c>
      <c r="AI253">
        <v>9</v>
      </c>
      <c r="AJ253">
        <v>0</v>
      </c>
      <c r="AK253">
        <v>5</v>
      </c>
      <c r="AL253" t="s">
        <v>222</v>
      </c>
      <c r="AM253" t="s">
        <v>223</v>
      </c>
      <c r="AN253" t="s">
        <v>224</v>
      </c>
      <c r="AO253" t="s">
        <v>74</v>
      </c>
      <c r="AP253" t="s">
        <v>452</v>
      </c>
      <c r="AQ253" t="s">
        <v>74</v>
      </c>
      <c r="AR253" t="s">
        <v>453</v>
      </c>
      <c r="AS253" t="s">
        <v>454</v>
      </c>
      <c r="AT253" t="s">
        <v>4623</v>
      </c>
      <c r="AU253">
        <v>2017</v>
      </c>
      <c r="AV253">
        <v>18</v>
      </c>
      <c r="AW253">
        <v>5</v>
      </c>
      <c r="AX253" t="s">
        <v>74</v>
      </c>
      <c r="AY253" t="s">
        <v>74</v>
      </c>
      <c r="AZ253" t="s">
        <v>74</v>
      </c>
      <c r="BA253" t="s">
        <v>74</v>
      </c>
      <c r="BB253">
        <v>1926</v>
      </c>
      <c r="BC253">
        <v>1942</v>
      </c>
      <c r="BD253" t="s">
        <v>74</v>
      </c>
      <c r="BE253" t="s">
        <v>5096</v>
      </c>
      <c r="BF253" t="str">
        <f>HYPERLINK("http://dx.doi.org/10.1002/2017GC006824","http://dx.doi.org/10.1002/2017GC006824")</f>
        <v>http://dx.doi.org/10.1002/2017GC006824</v>
      </c>
      <c r="BG253" t="s">
        <v>74</v>
      </c>
      <c r="BH253" t="s">
        <v>74</v>
      </c>
      <c r="BI253">
        <v>17</v>
      </c>
      <c r="BJ253" t="s">
        <v>176</v>
      </c>
      <c r="BK253" t="s">
        <v>103</v>
      </c>
      <c r="BL253" t="s">
        <v>176</v>
      </c>
      <c r="BM253" t="s">
        <v>5097</v>
      </c>
      <c r="BN253" t="s">
        <v>74</v>
      </c>
      <c r="BO253" t="s">
        <v>412</v>
      </c>
      <c r="BP253" t="s">
        <v>74</v>
      </c>
      <c r="BQ253" t="s">
        <v>74</v>
      </c>
      <c r="BR253" t="s">
        <v>106</v>
      </c>
      <c r="BS253" t="s">
        <v>5098</v>
      </c>
      <c r="BT253" t="str">
        <f>HYPERLINK("https%3A%2F%2Fwww.webofscience.com%2Fwos%2Fwoscc%2Ffull-record%2FWOS:000403479900008","View Full Record in Web of Science")</f>
        <v>View Full Record in Web of Science</v>
      </c>
    </row>
    <row r="254" spans="1:72" x14ac:dyDescent="0.15">
      <c r="A254" t="s">
        <v>72</v>
      </c>
      <c r="B254" t="s">
        <v>5099</v>
      </c>
      <c r="C254" t="s">
        <v>74</v>
      </c>
      <c r="D254" t="s">
        <v>74</v>
      </c>
      <c r="E254" t="s">
        <v>74</v>
      </c>
      <c r="F254" t="s">
        <v>5100</v>
      </c>
      <c r="G254" t="s">
        <v>74</v>
      </c>
      <c r="H254" t="s">
        <v>74</v>
      </c>
      <c r="I254" t="s">
        <v>5101</v>
      </c>
      <c r="J254" t="s">
        <v>389</v>
      </c>
      <c r="K254" t="s">
        <v>74</v>
      </c>
      <c r="L254" t="s">
        <v>74</v>
      </c>
      <c r="M254" t="s">
        <v>78</v>
      </c>
      <c r="N254" t="s">
        <v>79</v>
      </c>
      <c r="O254" t="s">
        <v>74</v>
      </c>
      <c r="P254" t="s">
        <v>74</v>
      </c>
      <c r="Q254" t="s">
        <v>74</v>
      </c>
      <c r="R254" t="s">
        <v>74</v>
      </c>
      <c r="S254" t="s">
        <v>74</v>
      </c>
      <c r="T254" t="s">
        <v>5102</v>
      </c>
      <c r="U254" t="s">
        <v>5103</v>
      </c>
      <c r="V254" t="s">
        <v>5104</v>
      </c>
      <c r="W254" t="s">
        <v>5105</v>
      </c>
      <c r="X254" t="s">
        <v>5106</v>
      </c>
      <c r="Y254" t="s">
        <v>5107</v>
      </c>
      <c r="Z254" t="s">
        <v>5108</v>
      </c>
      <c r="AA254" t="s">
        <v>5109</v>
      </c>
      <c r="AB254" t="s">
        <v>5110</v>
      </c>
      <c r="AC254" t="s">
        <v>5111</v>
      </c>
      <c r="AD254" t="s">
        <v>5112</v>
      </c>
      <c r="AE254" t="s">
        <v>5113</v>
      </c>
      <c r="AF254" t="s">
        <v>74</v>
      </c>
      <c r="AG254">
        <v>35</v>
      </c>
      <c r="AH254">
        <v>6</v>
      </c>
      <c r="AI254">
        <v>6</v>
      </c>
      <c r="AJ254">
        <v>0</v>
      </c>
      <c r="AK254">
        <v>7</v>
      </c>
      <c r="AL254" t="s">
        <v>402</v>
      </c>
      <c r="AM254" t="s">
        <v>403</v>
      </c>
      <c r="AN254" t="s">
        <v>5114</v>
      </c>
      <c r="AO254" t="s">
        <v>405</v>
      </c>
      <c r="AP254" t="s">
        <v>406</v>
      </c>
      <c r="AQ254" t="s">
        <v>74</v>
      </c>
      <c r="AR254" t="s">
        <v>407</v>
      </c>
      <c r="AS254" t="s">
        <v>408</v>
      </c>
      <c r="AT254" t="s">
        <v>4623</v>
      </c>
      <c r="AU254">
        <v>2017</v>
      </c>
      <c r="AV254">
        <v>67</v>
      </c>
      <c r="AW254">
        <v>5</v>
      </c>
      <c r="AX254" t="s">
        <v>74</v>
      </c>
      <c r="AY254" t="s">
        <v>74</v>
      </c>
      <c r="AZ254" t="s">
        <v>74</v>
      </c>
      <c r="BA254" t="s">
        <v>74</v>
      </c>
      <c r="BB254">
        <v>1442</v>
      </c>
      <c r="BC254">
        <v>1450</v>
      </c>
      <c r="BD254" t="s">
        <v>74</v>
      </c>
      <c r="BE254" t="s">
        <v>5115</v>
      </c>
      <c r="BF254" t="str">
        <f>HYPERLINK("http://dx.doi.org/10.1099/ijsem.0.001838","http://dx.doi.org/10.1099/ijsem.0.001838")</f>
        <v>http://dx.doi.org/10.1099/ijsem.0.001838</v>
      </c>
      <c r="BG254" t="s">
        <v>74</v>
      </c>
      <c r="BH254" t="s">
        <v>74</v>
      </c>
      <c r="BI254">
        <v>9</v>
      </c>
      <c r="BJ254" t="s">
        <v>410</v>
      </c>
      <c r="BK254" t="s">
        <v>103</v>
      </c>
      <c r="BL254" t="s">
        <v>410</v>
      </c>
      <c r="BM254" t="s">
        <v>5116</v>
      </c>
      <c r="BN254">
        <v>28150571</v>
      </c>
      <c r="BO254" t="s">
        <v>412</v>
      </c>
      <c r="BP254" t="s">
        <v>74</v>
      </c>
      <c r="BQ254" t="s">
        <v>74</v>
      </c>
      <c r="BR254" t="s">
        <v>106</v>
      </c>
      <c r="BS254" t="s">
        <v>5117</v>
      </c>
      <c r="BT254" t="str">
        <f>HYPERLINK("https%3A%2F%2Fwww.webofscience.com%2Fwos%2Fwoscc%2Ffull-record%2FWOS:000403696100050","View Full Record in Web of Science")</f>
        <v>View Full Record in Web of Science</v>
      </c>
    </row>
    <row r="255" spans="1:72" x14ac:dyDescent="0.15">
      <c r="A255" t="s">
        <v>72</v>
      </c>
      <c r="B255" t="s">
        <v>5118</v>
      </c>
      <c r="C255" t="s">
        <v>74</v>
      </c>
      <c r="D255" t="s">
        <v>74</v>
      </c>
      <c r="E255" t="s">
        <v>74</v>
      </c>
      <c r="F255" t="s">
        <v>5119</v>
      </c>
      <c r="G255" t="s">
        <v>74</v>
      </c>
      <c r="H255" t="s">
        <v>74</v>
      </c>
      <c r="I255" t="s">
        <v>5120</v>
      </c>
      <c r="J255" t="s">
        <v>5121</v>
      </c>
      <c r="K255" t="s">
        <v>74</v>
      </c>
      <c r="L255" t="s">
        <v>74</v>
      </c>
      <c r="M255" t="s">
        <v>78</v>
      </c>
      <c r="N255" t="s">
        <v>79</v>
      </c>
      <c r="O255" t="s">
        <v>74</v>
      </c>
      <c r="P255" t="s">
        <v>74</v>
      </c>
      <c r="Q255" t="s">
        <v>74</v>
      </c>
      <c r="R255" t="s">
        <v>74</v>
      </c>
      <c r="S255" t="s">
        <v>74</v>
      </c>
      <c r="T255" t="s">
        <v>5122</v>
      </c>
      <c r="U255" t="s">
        <v>5123</v>
      </c>
      <c r="V255" t="s">
        <v>5124</v>
      </c>
      <c r="W255" t="s">
        <v>5125</v>
      </c>
      <c r="X255" t="s">
        <v>5126</v>
      </c>
      <c r="Y255" t="s">
        <v>5127</v>
      </c>
      <c r="Z255" t="s">
        <v>5128</v>
      </c>
      <c r="AA255" t="s">
        <v>5129</v>
      </c>
      <c r="AB255" t="s">
        <v>5130</v>
      </c>
      <c r="AC255" t="s">
        <v>5131</v>
      </c>
      <c r="AD255" t="s">
        <v>5132</v>
      </c>
      <c r="AE255" t="s">
        <v>5133</v>
      </c>
      <c r="AF255" t="s">
        <v>74</v>
      </c>
      <c r="AG255">
        <v>124</v>
      </c>
      <c r="AH255">
        <v>33</v>
      </c>
      <c r="AI255">
        <v>34</v>
      </c>
      <c r="AJ255">
        <v>0</v>
      </c>
      <c r="AK255">
        <v>9</v>
      </c>
      <c r="AL255" t="s">
        <v>1141</v>
      </c>
      <c r="AM255" t="s">
        <v>318</v>
      </c>
      <c r="AN255" t="s">
        <v>1142</v>
      </c>
      <c r="AO255" t="s">
        <v>5134</v>
      </c>
      <c r="AP255" t="s">
        <v>5135</v>
      </c>
      <c r="AQ255" t="s">
        <v>74</v>
      </c>
      <c r="AR255" t="s">
        <v>5136</v>
      </c>
      <c r="AS255" t="s">
        <v>5137</v>
      </c>
      <c r="AT255" t="s">
        <v>5138</v>
      </c>
      <c r="AU255">
        <v>2017</v>
      </c>
      <c r="AV255">
        <v>387</v>
      </c>
      <c r="AW255" t="s">
        <v>74</v>
      </c>
      <c r="AX255" t="s">
        <v>74</v>
      </c>
      <c r="AY255" t="s">
        <v>74</v>
      </c>
      <c r="AZ255" t="s">
        <v>74</v>
      </c>
      <c r="BA255" t="s">
        <v>74</v>
      </c>
      <c r="BB255">
        <v>114</v>
      </c>
      <c r="BC255">
        <v>131</v>
      </c>
      <c r="BD255" t="s">
        <v>74</v>
      </c>
      <c r="BE255" t="s">
        <v>5139</v>
      </c>
      <c r="BF255" t="str">
        <f>HYPERLINK("http://dx.doi.org/10.1016/j.margeo.2017.04.001","http://dx.doi.org/10.1016/j.margeo.2017.04.001")</f>
        <v>http://dx.doi.org/10.1016/j.margeo.2017.04.001</v>
      </c>
      <c r="BG255" t="s">
        <v>74</v>
      </c>
      <c r="BH255" t="s">
        <v>74</v>
      </c>
      <c r="BI255">
        <v>18</v>
      </c>
      <c r="BJ255" t="s">
        <v>2433</v>
      </c>
      <c r="BK255" t="s">
        <v>103</v>
      </c>
      <c r="BL255" t="s">
        <v>2434</v>
      </c>
      <c r="BM255" t="s">
        <v>5140</v>
      </c>
      <c r="BN255" t="s">
        <v>74</v>
      </c>
      <c r="BO255" t="s">
        <v>105</v>
      </c>
      <c r="BP255" t="s">
        <v>74</v>
      </c>
      <c r="BQ255" t="s">
        <v>74</v>
      </c>
      <c r="BR255" t="s">
        <v>106</v>
      </c>
      <c r="BS255" t="s">
        <v>5141</v>
      </c>
      <c r="BT255" t="str">
        <f>HYPERLINK("https%3A%2F%2Fwww.webofscience.com%2Fwos%2Fwoscc%2Ffull-record%2FWOS:000403526400010","View Full Record in Web of Science")</f>
        <v>View Full Record in Web of Science</v>
      </c>
    </row>
    <row r="256" spans="1:72" x14ac:dyDescent="0.15">
      <c r="A256" t="s">
        <v>72</v>
      </c>
      <c r="B256" t="s">
        <v>5142</v>
      </c>
      <c r="C256" t="s">
        <v>74</v>
      </c>
      <c r="D256" t="s">
        <v>74</v>
      </c>
      <c r="E256" t="s">
        <v>74</v>
      </c>
      <c r="F256" t="s">
        <v>5143</v>
      </c>
      <c r="G256" t="s">
        <v>74</v>
      </c>
      <c r="H256" t="s">
        <v>74</v>
      </c>
      <c r="I256" t="s">
        <v>5144</v>
      </c>
      <c r="J256" t="s">
        <v>5145</v>
      </c>
      <c r="K256" t="s">
        <v>74</v>
      </c>
      <c r="L256" t="s">
        <v>74</v>
      </c>
      <c r="M256" t="s">
        <v>78</v>
      </c>
      <c r="N256" t="s">
        <v>79</v>
      </c>
      <c r="O256" t="s">
        <v>74</v>
      </c>
      <c r="P256" t="s">
        <v>74</v>
      </c>
      <c r="Q256" t="s">
        <v>74</v>
      </c>
      <c r="R256" t="s">
        <v>74</v>
      </c>
      <c r="S256" t="s">
        <v>74</v>
      </c>
      <c r="T256" t="s">
        <v>5146</v>
      </c>
      <c r="U256" t="s">
        <v>5147</v>
      </c>
      <c r="V256" t="s">
        <v>5148</v>
      </c>
      <c r="W256" t="s">
        <v>5149</v>
      </c>
      <c r="X256" t="s">
        <v>5150</v>
      </c>
      <c r="Y256" t="s">
        <v>5151</v>
      </c>
      <c r="Z256" t="s">
        <v>5152</v>
      </c>
      <c r="AA256" t="s">
        <v>5153</v>
      </c>
      <c r="AB256" t="s">
        <v>5154</v>
      </c>
      <c r="AC256" t="s">
        <v>5155</v>
      </c>
      <c r="AD256" t="s">
        <v>427</v>
      </c>
      <c r="AE256" t="s">
        <v>5156</v>
      </c>
      <c r="AF256" t="s">
        <v>74</v>
      </c>
      <c r="AG256">
        <v>61</v>
      </c>
      <c r="AH256">
        <v>7</v>
      </c>
      <c r="AI256">
        <v>8</v>
      </c>
      <c r="AJ256">
        <v>0</v>
      </c>
      <c r="AK256">
        <v>5</v>
      </c>
      <c r="AL256" t="s">
        <v>5157</v>
      </c>
      <c r="AM256" t="s">
        <v>5158</v>
      </c>
      <c r="AN256" t="s">
        <v>5159</v>
      </c>
      <c r="AO256" t="s">
        <v>5160</v>
      </c>
      <c r="AP256" t="s">
        <v>5161</v>
      </c>
      <c r="AQ256" t="s">
        <v>74</v>
      </c>
      <c r="AR256" t="s">
        <v>5162</v>
      </c>
      <c r="AS256" t="s">
        <v>5163</v>
      </c>
      <c r="AT256" t="s">
        <v>4623</v>
      </c>
      <c r="AU256">
        <v>2017</v>
      </c>
      <c r="AV256">
        <v>51</v>
      </c>
      <c r="AW256">
        <v>3</v>
      </c>
      <c r="AX256" t="s">
        <v>74</v>
      </c>
      <c r="AY256" t="s">
        <v>74</v>
      </c>
      <c r="AZ256" t="s">
        <v>74</v>
      </c>
      <c r="BA256" t="s">
        <v>74</v>
      </c>
      <c r="BB256">
        <v>209</v>
      </c>
      <c r="BC256">
        <v>229</v>
      </c>
      <c r="BD256" t="s">
        <v>74</v>
      </c>
      <c r="BE256" t="s">
        <v>5164</v>
      </c>
      <c r="BF256" t="str">
        <f>HYPERLINK("http://dx.doi.org/10.1134/S0016852117030049","http://dx.doi.org/10.1134/S0016852117030049")</f>
        <v>http://dx.doi.org/10.1134/S0016852117030049</v>
      </c>
      <c r="BG256" t="s">
        <v>74</v>
      </c>
      <c r="BH256" t="s">
        <v>74</v>
      </c>
      <c r="BI256">
        <v>21</v>
      </c>
      <c r="BJ256" t="s">
        <v>176</v>
      </c>
      <c r="BK256" t="s">
        <v>103</v>
      </c>
      <c r="BL256" t="s">
        <v>176</v>
      </c>
      <c r="BM256" t="s">
        <v>5165</v>
      </c>
      <c r="BN256" t="s">
        <v>74</v>
      </c>
      <c r="BO256" t="s">
        <v>74</v>
      </c>
      <c r="BP256" t="s">
        <v>74</v>
      </c>
      <c r="BQ256" t="s">
        <v>74</v>
      </c>
      <c r="BR256" t="s">
        <v>106</v>
      </c>
      <c r="BS256" t="s">
        <v>5166</v>
      </c>
      <c r="BT256" t="str">
        <f>HYPERLINK("https%3A%2F%2Fwww.webofscience.com%2Fwos%2Fwoscc%2Ffull-record%2FWOS:000403491100001","View Full Record in Web of Science")</f>
        <v>View Full Record in Web of Science</v>
      </c>
    </row>
    <row r="257" spans="1:72" x14ac:dyDescent="0.15">
      <c r="A257" t="s">
        <v>72</v>
      </c>
      <c r="B257" t="s">
        <v>5167</v>
      </c>
      <c r="C257" t="s">
        <v>74</v>
      </c>
      <c r="D257" t="s">
        <v>74</v>
      </c>
      <c r="E257" t="s">
        <v>74</v>
      </c>
      <c r="F257" t="s">
        <v>5168</v>
      </c>
      <c r="G257" t="s">
        <v>74</v>
      </c>
      <c r="H257" t="s">
        <v>74</v>
      </c>
      <c r="I257" t="s">
        <v>5169</v>
      </c>
      <c r="J257" t="s">
        <v>5170</v>
      </c>
      <c r="K257" t="s">
        <v>74</v>
      </c>
      <c r="L257" t="s">
        <v>74</v>
      </c>
      <c r="M257" t="s">
        <v>78</v>
      </c>
      <c r="N257" t="s">
        <v>79</v>
      </c>
      <c r="O257" t="s">
        <v>74</v>
      </c>
      <c r="P257" t="s">
        <v>74</v>
      </c>
      <c r="Q257" t="s">
        <v>74</v>
      </c>
      <c r="R257" t="s">
        <v>74</v>
      </c>
      <c r="S257" t="s">
        <v>74</v>
      </c>
      <c r="T257" t="s">
        <v>5171</v>
      </c>
      <c r="U257" t="s">
        <v>5172</v>
      </c>
      <c r="V257" t="s">
        <v>5173</v>
      </c>
      <c r="W257" t="s">
        <v>5174</v>
      </c>
      <c r="X257" t="s">
        <v>5175</v>
      </c>
      <c r="Y257" t="s">
        <v>5176</v>
      </c>
      <c r="Z257" t="s">
        <v>5177</v>
      </c>
      <c r="AA257" t="s">
        <v>74</v>
      </c>
      <c r="AB257" t="s">
        <v>5178</v>
      </c>
      <c r="AC257" t="s">
        <v>5179</v>
      </c>
      <c r="AD257" t="s">
        <v>5180</v>
      </c>
      <c r="AE257" t="s">
        <v>5181</v>
      </c>
      <c r="AF257" t="s">
        <v>74</v>
      </c>
      <c r="AG257">
        <v>50</v>
      </c>
      <c r="AH257">
        <v>5</v>
      </c>
      <c r="AI257">
        <v>5</v>
      </c>
      <c r="AJ257">
        <v>0</v>
      </c>
      <c r="AK257">
        <v>7</v>
      </c>
      <c r="AL257" t="s">
        <v>5182</v>
      </c>
      <c r="AM257" t="s">
        <v>1509</v>
      </c>
      <c r="AN257" t="s">
        <v>5183</v>
      </c>
      <c r="AO257" t="s">
        <v>5184</v>
      </c>
      <c r="AP257" t="s">
        <v>5185</v>
      </c>
      <c r="AQ257" t="s">
        <v>74</v>
      </c>
      <c r="AR257" t="s">
        <v>5186</v>
      </c>
      <c r="AS257" t="s">
        <v>5187</v>
      </c>
      <c r="AT257" t="s">
        <v>4623</v>
      </c>
      <c r="AU257">
        <v>2017</v>
      </c>
      <c r="AV257">
        <v>53</v>
      </c>
      <c r="AW257">
        <v>2</v>
      </c>
      <c r="AX257" t="s">
        <v>74</v>
      </c>
      <c r="AY257" t="s">
        <v>74</v>
      </c>
      <c r="AZ257" t="s">
        <v>74</v>
      </c>
      <c r="BA257" t="s">
        <v>74</v>
      </c>
      <c r="BB257">
        <v>217</v>
      </c>
      <c r="BC257">
        <v>228</v>
      </c>
      <c r="BD257" t="s">
        <v>74</v>
      </c>
      <c r="BE257" t="s">
        <v>5188</v>
      </c>
      <c r="BF257" t="str">
        <f>HYPERLINK("http://dx.doi.org/10.1007/s13143-017-0029-0","http://dx.doi.org/10.1007/s13143-017-0029-0")</f>
        <v>http://dx.doi.org/10.1007/s13143-017-0029-0</v>
      </c>
      <c r="BG257" t="s">
        <v>74</v>
      </c>
      <c r="BH257" t="s">
        <v>74</v>
      </c>
      <c r="BI257">
        <v>12</v>
      </c>
      <c r="BJ257" t="s">
        <v>1261</v>
      </c>
      <c r="BK257" t="s">
        <v>103</v>
      </c>
      <c r="BL257" t="s">
        <v>1261</v>
      </c>
      <c r="BM257" t="s">
        <v>5189</v>
      </c>
      <c r="BN257" t="s">
        <v>74</v>
      </c>
      <c r="BO257" t="s">
        <v>74</v>
      </c>
      <c r="BP257" t="s">
        <v>74</v>
      </c>
      <c r="BQ257" t="s">
        <v>74</v>
      </c>
      <c r="BR257" t="s">
        <v>106</v>
      </c>
      <c r="BS257" t="s">
        <v>5190</v>
      </c>
      <c r="BT257" t="str">
        <f>HYPERLINK("https%3A%2F%2Fwww.webofscience.com%2Fwos%2Fwoscc%2Ffull-record%2FWOS:000402453400005","View Full Record in Web of Science")</f>
        <v>View Full Record in Web of Science</v>
      </c>
    </row>
    <row r="258" spans="1:72" x14ac:dyDescent="0.15">
      <c r="A258" t="s">
        <v>72</v>
      </c>
      <c r="B258" t="s">
        <v>5191</v>
      </c>
      <c r="C258" t="s">
        <v>74</v>
      </c>
      <c r="D258" t="s">
        <v>74</v>
      </c>
      <c r="E258" t="s">
        <v>74</v>
      </c>
      <c r="F258" t="s">
        <v>5192</v>
      </c>
      <c r="G258" t="s">
        <v>74</v>
      </c>
      <c r="H258" t="s">
        <v>74</v>
      </c>
      <c r="I258" t="s">
        <v>5193</v>
      </c>
      <c r="J258" t="s">
        <v>718</v>
      </c>
      <c r="K258" t="s">
        <v>74</v>
      </c>
      <c r="L258" t="s">
        <v>74</v>
      </c>
      <c r="M258" t="s">
        <v>78</v>
      </c>
      <c r="N258" t="s">
        <v>79</v>
      </c>
      <c r="O258" t="s">
        <v>74</v>
      </c>
      <c r="P258" t="s">
        <v>74</v>
      </c>
      <c r="Q258" t="s">
        <v>74</v>
      </c>
      <c r="R258" t="s">
        <v>74</v>
      </c>
      <c r="S258" t="s">
        <v>74</v>
      </c>
      <c r="T258" t="s">
        <v>74</v>
      </c>
      <c r="U258" t="s">
        <v>5194</v>
      </c>
      <c r="V258" t="s">
        <v>5195</v>
      </c>
      <c r="W258" t="s">
        <v>5196</v>
      </c>
      <c r="X258" t="s">
        <v>5197</v>
      </c>
      <c r="Y258" t="s">
        <v>5198</v>
      </c>
      <c r="Z258" t="s">
        <v>5199</v>
      </c>
      <c r="AA258" t="s">
        <v>5200</v>
      </c>
      <c r="AB258" t="s">
        <v>5201</v>
      </c>
      <c r="AC258" t="s">
        <v>5202</v>
      </c>
      <c r="AD258" t="s">
        <v>5203</v>
      </c>
      <c r="AE258" t="s">
        <v>5204</v>
      </c>
      <c r="AF258" t="s">
        <v>74</v>
      </c>
      <c r="AG258">
        <v>58</v>
      </c>
      <c r="AH258">
        <v>21</v>
      </c>
      <c r="AI258">
        <v>21</v>
      </c>
      <c r="AJ258">
        <v>1</v>
      </c>
      <c r="AK258">
        <v>15</v>
      </c>
      <c r="AL258" t="s">
        <v>729</v>
      </c>
      <c r="AM258" t="s">
        <v>730</v>
      </c>
      <c r="AN258" t="s">
        <v>731</v>
      </c>
      <c r="AO258" t="s">
        <v>732</v>
      </c>
      <c r="AP258" t="s">
        <v>733</v>
      </c>
      <c r="AQ258" t="s">
        <v>74</v>
      </c>
      <c r="AR258" t="s">
        <v>734</v>
      </c>
      <c r="AS258" t="s">
        <v>735</v>
      </c>
      <c r="AT258" t="s">
        <v>4623</v>
      </c>
      <c r="AU258">
        <v>2017</v>
      </c>
      <c r="AV258">
        <v>164</v>
      </c>
      <c r="AW258">
        <v>5</v>
      </c>
      <c r="AX258" t="s">
        <v>74</v>
      </c>
      <c r="AY258" t="s">
        <v>74</v>
      </c>
      <c r="AZ258" t="s">
        <v>74</v>
      </c>
      <c r="BA258" t="s">
        <v>74</v>
      </c>
      <c r="BB258" t="s">
        <v>74</v>
      </c>
      <c r="BC258" t="s">
        <v>74</v>
      </c>
      <c r="BD258">
        <v>114</v>
      </c>
      <c r="BE258" t="s">
        <v>5205</v>
      </c>
      <c r="BF258" t="str">
        <f>HYPERLINK("http://dx.doi.org/10.1007/s00227-017-3143-8","http://dx.doi.org/10.1007/s00227-017-3143-8")</f>
        <v>http://dx.doi.org/10.1007/s00227-017-3143-8</v>
      </c>
      <c r="BG258" t="s">
        <v>74</v>
      </c>
      <c r="BH258" t="s">
        <v>74</v>
      </c>
      <c r="BI258">
        <v>13</v>
      </c>
      <c r="BJ258" t="s">
        <v>737</v>
      </c>
      <c r="BK258" t="s">
        <v>103</v>
      </c>
      <c r="BL258" t="s">
        <v>737</v>
      </c>
      <c r="BM258" t="s">
        <v>5206</v>
      </c>
      <c r="BN258" t="s">
        <v>74</v>
      </c>
      <c r="BO258" t="s">
        <v>74</v>
      </c>
      <c r="BP258" t="s">
        <v>74</v>
      </c>
      <c r="BQ258" t="s">
        <v>74</v>
      </c>
      <c r="BR258" t="s">
        <v>106</v>
      </c>
      <c r="BS258" t="s">
        <v>5207</v>
      </c>
      <c r="BT258" t="str">
        <f>HYPERLINK("https%3A%2F%2Fwww.webofscience.com%2Fwos%2Fwoscc%2Ffull-record%2FWOS:000403083700006","View Full Record in Web of Science")</f>
        <v>View Full Record in Web of Science</v>
      </c>
    </row>
    <row r="259" spans="1:72" x14ac:dyDescent="0.15">
      <c r="A259" t="s">
        <v>72</v>
      </c>
      <c r="B259" t="s">
        <v>5208</v>
      </c>
      <c r="C259" t="s">
        <v>74</v>
      </c>
      <c r="D259" t="s">
        <v>74</v>
      </c>
      <c r="E259" t="s">
        <v>74</v>
      </c>
      <c r="F259" t="s">
        <v>5209</v>
      </c>
      <c r="G259" t="s">
        <v>74</v>
      </c>
      <c r="H259" t="s">
        <v>74</v>
      </c>
      <c r="I259" t="s">
        <v>5210</v>
      </c>
      <c r="J259" t="s">
        <v>5211</v>
      </c>
      <c r="K259" t="s">
        <v>74</v>
      </c>
      <c r="L259" t="s">
        <v>74</v>
      </c>
      <c r="M259" t="s">
        <v>78</v>
      </c>
      <c r="N259" t="s">
        <v>79</v>
      </c>
      <c r="O259" t="s">
        <v>74</v>
      </c>
      <c r="P259" t="s">
        <v>74</v>
      </c>
      <c r="Q259" t="s">
        <v>74</v>
      </c>
      <c r="R259" t="s">
        <v>74</v>
      </c>
      <c r="S259" t="s">
        <v>74</v>
      </c>
      <c r="T259" t="s">
        <v>5212</v>
      </c>
      <c r="U259" t="s">
        <v>5213</v>
      </c>
      <c r="V259" t="s">
        <v>5214</v>
      </c>
      <c r="W259" t="s">
        <v>5215</v>
      </c>
      <c r="X259" t="s">
        <v>5216</v>
      </c>
      <c r="Y259" t="s">
        <v>5217</v>
      </c>
      <c r="Z259" t="s">
        <v>5218</v>
      </c>
      <c r="AA259" t="s">
        <v>5219</v>
      </c>
      <c r="AB259" t="s">
        <v>5220</v>
      </c>
      <c r="AC259" t="s">
        <v>5221</v>
      </c>
      <c r="AD259" t="s">
        <v>5221</v>
      </c>
      <c r="AE259" t="s">
        <v>5222</v>
      </c>
      <c r="AF259" t="s">
        <v>74</v>
      </c>
      <c r="AG259">
        <v>77</v>
      </c>
      <c r="AH259">
        <v>29</v>
      </c>
      <c r="AI259">
        <v>30</v>
      </c>
      <c r="AJ259">
        <v>1</v>
      </c>
      <c r="AK259">
        <v>41</v>
      </c>
      <c r="AL259" t="s">
        <v>2779</v>
      </c>
      <c r="AM259" t="s">
        <v>403</v>
      </c>
      <c r="AN259" t="s">
        <v>2780</v>
      </c>
      <c r="AO259" t="s">
        <v>5223</v>
      </c>
      <c r="AP259" t="s">
        <v>5224</v>
      </c>
      <c r="AQ259" t="s">
        <v>74</v>
      </c>
      <c r="AR259" t="s">
        <v>5225</v>
      </c>
      <c r="AS259" t="s">
        <v>5226</v>
      </c>
      <c r="AT259" t="s">
        <v>4623</v>
      </c>
      <c r="AU259">
        <v>2017</v>
      </c>
      <c r="AV259">
        <v>127</v>
      </c>
      <c r="AW259" t="s">
        <v>74</v>
      </c>
      <c r="AX259" t="s">
        <v>74</v>
      </c>
      <c r="AY259" t="s">
        <v>74</v>
      </c>
      <c r="AZ259" t="s">
        <v>74</v>
      </c>
      <c r="BA259" t="s">
        <v>74</v>
      </c>
      <c r="BB259">
        <v>91</v>
      </c>
      <c r="BC259">
        <v>99</v>
      </c>
      <c r="BD259" t="s">
        <v>74</v>
      </c>
      <c r="BE259" t="s">
        <v>5227</v>
      </c>
      <c r="BF259" t="str">
        <f>HYPERLINK("http://dx.doi.org/10.1016/j.anbehav.2017.03.006","http://dx.doi.org/10.1016/j.anbehav.2017.03.006")</f>
        <v>http://dx.doi.org/10.1016/j.anbehav.2017.03.006</v>
      </c>
      <c r="BG259" t="s">
        <v>74</v>
      </c>
      <c r="BH259" t="s">
        <v>74</v>
      </c>
      <c r="BI259">
        <v>9</v>
      </c>
      <c r="BJ259" t="s">
        <v>5228</v>
      </c>
      <c r="BK259" t="s">
        <v>103</v>
      </c>
      <c r="BL259" t="s">
        <v>5228</v>
      </c>
      <c r="BM259" t="s">
        <v>5229</v>
      </c>
      <c r="BN259" t="s">
        <v>74</v>
      </c>
      <c r="BO259" t="s">
        <v>1538</v>
      </c>
      <c r="BP259" t="s">
        <v>74</v>
      </c>
      <c r="BQ259" t="s">
        <v>74</v>
      </c>
      <c r="BR259" t="s">
        <v>106</v>
      </c>
      <c r="BS259" t="s">
        <v>5230</v>
      </c>
      <c r="BT259" t="str">
        <f>HYPERLINK("https%3A%2F%2Fwww.webofscience.com%2Fwos%2Fwoscc%2Ffull-record%2FWOS:000402702900011","View Full Record in Web of Science")</f>
        <v>View Full Record in Web of Science</v>
      </c>
    </row>
    <row r="260" spans="1:72" x14ac:dyDescent="0.15">
      <c r="A260" t="s">
        <v>72</v>
      </c>
      <c r="B260" t="s">
        <v>5231</v>
      </c>
      <c r="C260" t="s">
        <v>74</v>
      </c>
      <c r="D260" t="s">
        <v>74</v>
      </c>
      <c r="E260" t="s">
        <v>74</v>
      </c>
      <c r="F260" t="s">
        <v>5232</v>
      </c>
      <c r="G260" t="s">
        <v>74</v>
      </c>
      <c r="H260" t="s">
        <v>74</v>
      </c>
      <c r="I260" t="s">
        <v>5233</v>
      </c>
      <c r="J260" t="s">
        <v>5234</v>
      </c>
      <c r="K260" t="s">
        <v>74</v>
      </c>
      <c r="L260" t="s">
        <v>74</v>
      </c>
      <c r="M260" t="s">
        <v>78</v>
      </c>
      <c r="N260" t="s">
        <v>79</v>
      </c>
      <c r="O260" t="s">
        <v>74</v>
      </c>
      <c r="P260" t="s">
        <v>74</v>
      </c>
      <c r="Q260" t="s">
        <v>74</v>
      </c>
      <c r="R260" t="s">
        <v>74</v>
      </c>
      <c r="S260" t="s">
        <v>74</v>
      </c>
      <c r="T260" t="s">
        <v>5235</v>
      </c>
      <c r="U260" t="s">
        <v>5236</v>
      </c>
      <c r="V260" t="s">
        <v>5237</v>
      </c>
      <c r="W260" t="s">
        <v>5238</v>
      </c>
      <c r="X260" t="s">
        <v>5239</v>
      </c>
      <c r="Y260" t="s">
        <v>5240</v>
      </c>
      <c r="Z260" t="s">
        <v>5241</v>
      </c>
      <c r="AA260" t="s">
        <v>74</v>
      </c>
      <c r="AB260" t="s">
        <v>5242</v>
      </c>
      <c r="AC260" t="s">
        <v>5243</v>
      </c>
      <c r="AD260" t="s">
        <v>5244</v>
      </c>
      <c r="AE260" t="s">
        <v>5245</v>
      </c>
      <c r="AF260" t="s">
        <v>74</v>
      </c>
      <c r="AG260">
        <v>31</v>
      </c>
      <c r="AH260">
        <v>4</v>
      </c>
      <c r="AI260">
        <v>4</v>
      </c>
      <c r="AJ260">
        <v>0</v>
      </c>
      <c r="AK260">
        <v>5</v>
      </c>
      <c r="AL260" t="s">
        <v>429</v>
      </c>
      <c r="AM260" t="s">
        <v>430</v>
      </c>
      <c r="AN260" t="s">
        <v>431</v>
      </c>
      <c r="AO260" t="s">
        <v>5246</v>
      </c>
      <c r="AP260" t="s">
        <v>5247</v>
      </c>
      <c r="AQ260" t="s">
        <v>74</v>
      </c>
      <c r="AR260" t="s">
        <v>5248</v>
      </c>
      <c r="AS260" t="s">
        <v>410</v>
      </c>
      <c r="AT260" t="s">
        <v>4623</v>
      </c>
      <c r="AU260">
        <v>2017</v>
      </c>
      <c r="AV260">
        <v>86</v>
      </c>
      <c r="AW260">
        <v>3</v>
      </c>
      <c r="AX260" t="s">
        <v>74</v>
      </c>
      <c r="AY260" t="s">
        <v>74</v>
      </c>
      <c r="AZ260" t="s">
        <v>74</v>
      </c>
      <c r="BA260" t="s">
        <v>74</v>
      </c>
      <c r="BB260">
        <v>355</v>
      </c>
      <c r="BC260">
        <v>362</v>
      </c>
      <c r="BD260" t="s">
        <v>74</v>
      </c>
      <c r="BE260" t="s">
        <v>5249</v>
      </c>
      <c r="BF260" t="str">
        <f>HYPERLINK("http://dx.doi.org/10.1134/S002626171703016X","http://dx.doi.org/10.1134/S002626171703016X")</f>
        <v>http://dx.doi.org/10.1134/S002626171703016X</v>
      </c>
      <c r="BG260" t="s">
        <v>74</v>
      </c>
      <c r="BH260" t="s">
        <v>74</v>
      </c>
      <c r="BI260">
        <v>8</v>
      </c>
      <c r="BJ260" t="s">
        <v>410</v>
      </c>
      <c r="BK260" t="s">
        <v>103</v>
      </c>
      <c r="BL260" t="s">
        <v>410</v>
      </c>
      <c r="BM260" t="s">
        <v>5250</v>
      </c>
      <c r="BN260" t="s">
        <v>74</v>
      </c>
      <c r="BO260" t="s">
        <v>74</v>
      </c>
      <c r="BP260" t="s">
        <v>74</v>
      </c>
      <c r="BQ260" t="s">
        <v>74</v>
      </c>
      <c r="BR260" t="s">
        <v>106</v>
      </c>
      <c r="BS260" t="s">
        <v>5251</v>
      </c>
      <c r="BT260" t="str">
        <f>HYPERLINK("https%3A%2F%2Fwww.webofscience.com%2Fwos%2Fwoscc%2Ffull-record%2FWOS:000402830500007","View Full Record in Web of Science")</f>
        <v>View Full Record in Web of Science</v>
      </c>
    </row>
    <row r="261" spans="1:72" x14ac:dyDescent="0.15">
      <c r="A261" t="s">
        <v>72</v>
      </c>
      <c r="B261" t="s">
        <v>5252</v>
      </c>
      <c r="C261" t="s">
        <v>74</v>
      </c>
      <c r="D261" t="s">
        <v>74</v>
      </c>
      <c r="E261" t="s">
        <v>74</v>
      </c>
      <c r="F261" t="s">
        <v>5253</v>
      </c>
      <c r="G261" t="s">
        <v>74</v>
      </c>
      <c r="H261" t="s">
        <v>74</v>
      </c>
      <c r="I261" t="s">
        <v>5254</v>
      </c>
      <c r="J261" t="s">
        <v>5255</v>
      </c>
      <c r="K261" t="s">
        <v>74</v>
      </c>
      <c r="L261" t="s">
        <v>74</v>
      </c>
      <c r="M261" t="s">
        <v>78</v>
      </c>
      <c r="N261" t="s">
        <v>79</v>
      </c>
      <c r="O261" t="s">
        <v>74</v>
      </c>
      <c r="P261" t="s">
        <v>74</v>
      </c>
      <c r="Q261" t="s">
        <v>74</v>
      </c>
      <c r="R261" t="s">
        <v>74</v>
      </c>
      <c r="S261" t="s">
        <v>74</v>
      </c>
      <c r="T261" t="s">
        <v>74</v>
      </c>
      <c r="U261" t="s">
        <v>74</v>
      </c>
      <c r="V261" t="s">
        <v>5256</v>
      </c>
      <c r="W261" t="s">
        <v>5257</v>
      </c>
      <c r="X261" t="s">
        <v>309</v>
      </c>
      <c r="Y261" t="s">
        <v>5258</v>
      </c>
      <c r="Z261" t="s">
        <v>5259</v>
      </c>
      <c r="AA261" t="s">
        <v>74</v>
      </c>
      <c r="AB261" t="s">
        <v>5260</v>
      </c>
      <c r="AC261" t="s">
        <v>74</v>
      </c>
      <c r="AD261" t="s">
        <v>74</v>
      </c>
      <c r="AE261" t="s">
        <v>74</v>
      </c>
      <c r="AF261" t="s">
        <v>74</v>
      </c>
      <c r="AG261">
        <v>72</v>
      </c>
      <c r="AH261">
        <v>1</v>
      </c>
      <c r="AI261">
        <v>1</v>
      </c>
      <c r="AJ261">
        <v>0</v>
      </c>
      <c r="AK261">
        <v>3</v>
      </c>
      <c r="AL261" t="s">
        <v>803</v>
      </c>
      <c r="AM261" t="s">
        <v>430</v>
      </c>
      <c r="AN261" t="s">
        <v>804</v>
      </c>
      <c r="AO261" t="s">
        <v>5261</v>
      </c>
      <c r="AP261" t="s">
        <v>5262</v>
      </c>
      <c r="AQ261" t="s">
        <v>74</v>
      </c>
      <c r="AR261" t="s">
        <v>5263</v>
      </c>
      <c r="AS261" t="s">
        <v>5264</v>
      </c>
      <c r="AT261" t="s">
        <v>4623</v>
      </c>
      <c r="AU261">
        <v>2017</v>
      </c>
      <c r="AV261">
        <v>53</v>
      </c>
      <c r="AW261">
        <v>3</v>
      </c>
      <c r="AX261" t="s">
        <v>74</v>
      </c>
      <c r="AY261" t="s">
        <v>74</v>
      </c>
      <c r="AZ261" t="s">
        <v>74</v>
      </c>
      <c r="BA261" t="s">
        <v>74</v>
      </c>
      <c r="BB261">
        <v>245</v>
      </c>
      <c r="BC261">
        <v>256</v>
      </c>
      <c r="BD261" t="s">
        <v>74</v>
      </c>
      <c r="BE261" t="s">
        <v>5265</v>
      </c>
      <c r="BF261" t="str">
        <f>HYPERLINK("http://dx.doi.org/10.1017/S003224741700002X","http://dx.doi.org/10.1017/S003224741700002X")</f>
        <v>http://dx.doi.org/10.1017/S003224741700002X</v>
      </c>
      <c r="BG261" t="s">
        <v>74</v>
      </c>
      <c r="BH261" t="s">
        <v>74</v>
      </c>
      <c r="BI261">
        <v>12</v>
      </c>
      <c r="BJ261" t="s">
        <v>2339</v>
      </c>
      <c r="BK261" t="s">
        <v>5266</v>
      </c>
      <c r="BL261" t="s">
        <v>993</v>
      </c>
      <c r="BM261" t="s">
        <v>5267</v>
      </c>
      <c r="BN261" t="s">
        <v>74</v>
      </c>
      <c r="BO261" t="s">
        <v>412</v>
      </c>
      <c r="BP261" t="s">
        <v>74</v>
      </c>
      <c r="BQ261" t="s">
        <v>74</v>
      </c>
      <c r="BR261" t="s">
        <v>106</v>
      </c>
      <c r="BS261" t="s">
        <v>5268</v>
      </c>
      <c r="BT261" t="str">
        <f>HYPERLINK("https%3A%2F%2Fwww.webofscience.com%2Fwos%2Fwoscc%2Ffull-record%2FWOS:000402812400002","View Full Record in Web of Science")</f>
        <v>View Full Record in Web of Science</v>
      </c>
    </row>
    <row r="262" spans="1:72" x14ac:dyDescent="0.15">
      <c r="A262" t="s">
        <v>72</v>
      </c>
      <c r="B262" t="s">
        <v>5269</v>
      </c>
      <c r="C262" t="s">
        <v>74</v>
      </c>
      <c r="D262" t="s">
        <v>74</v>
      </c>
      <c r="E262" t="s">
        <v>74</v>
      </c>
      <c r="F262" t="s">
        <v>5270</v>
      </c>
      <c r="G262" t="s">
        <v>74</v>
      </c>
      <c r="H262" t="s">
        <v>74</v>
      </c>
      <c r="I262" t="s">
        <v>5271</v>
      </c>
      <c r="J262" t="s">
        <v>5255</v>
      </c>
      <c r="K262" t="s">
        <v>74</v>
      </c>
      <c r="L262" t="s">
        <v>74</v>
      </c>
      <c r="M262" t="s">
        <v>78</v>
      </c>
      <c r="N262" t="s">
        <v>79</v>
      </c>
      <c r="O262" t="s">
        <v>74</v>
      </c>
      <c r="P262" t="s">
        <v>74</v>
      </c>
      <c r="Q262" t="s">
        <v>74</v>
      </c>
      <c r="R262" t="s">
        <v>74</v>
      </c>
      <c r="S262" t="s">
        <v>74</v>
      </c>
      <c r="T262" t="s">
        <v>74</v>
      </c>
      <c r="U262" t="s">
        <v>5272</v>
      </c>
      <c r="V262" t="s">
        <v>5273</v>
      </c>
      <c r="W262" t="s">
        <v>5274</v>
      </c>
      <c r="X262" t="s">
        <v>5275</v>
      </c>
      <c r="Y262" t="s">
        <v>5276</v>
      </c>
      <c r="Z262" t="s">
        <v>5277</v>
      </c>
      <c r="AA262" t="s">
        <v>5278</v>
      </c>
      <c r="AB262" t="s">
        <v>74</v>
      </c>
      <c r="AC262" t="s">
        <v>5279</v>
      </c>
      <c r="AD262" t="s">
        <v>5280</v>
      </c>
      <c r="AE262" t="s">
        <v>5281</v>
      </c>
      <c r="AF262" t="s">
        <v>74</v>
      </c>
      <c r="AG262">
        <v>13</v>
      </c>
      <c r="AH262">
        <v>5</v>
      </c>
      <c r="AI262">
        <v>5</v>
      </c>
      <c r="AJ262">
        <v>0</v>
      </c>
      <c r="AK262">
        <v>9</v>
      </c>
      <c r="AL262" t="s">
        <v>803</v>
      </c>
      <c r="AM262" t="s">
        <v>430</v>
      </c>
      <c r="AN262" t="s">
        <v>804</v>
      </c>
      <c r="AO262" t="s">
        <v>5261</v>
      </c>
      <c r="AP262" t="s">
        <v>5262</v>
      </c>
      <c r="AQ262" t="s">
        <v>74</v>
      </c>
      <c r="AR262" t="s">
        <v>5263</v>
      </c>
      <c r="AS262" t="s">
        <v>5264</v>
      </c>
      <c r="AT262" t="s">
        <v>4623</v>
      </c>
      <c r="AU262">
        <v>2017</v>
      </c>
      <c r="AV262">
        <v>53</v>
      </c>
      <c r="AW262">
        <v>3</v>
      </c>
      <c r="AX262" t="s">
        <v>74</v>
      </c>
      <c r="AY262" t="s">
        <v>74</v>
      </c>
      <c r="AZ262" t="s">
        <v>74</v>
      </c>
      <c r="BA262" t="s">
        <v>74</v>
      </c>
      <c r="BB262">
        <v>271</v>
      </c>
      <c r="BC262">
        <v>275</v>
      </c>
      <c r="BD262" t="s">
        <v>74</v>
      </c>
      <c r="BE262" t="s">
        <v>5282</v>
      </c>
      <c r="BF262" t="str">
        <f>HYPERLINK("http://dx.doi.org/10.1017/S0032247417000043","http://dx.doi.org/10.1017/S0032247417000043")</f>
        <v>http://dx.doi.org/10.1017/S0032247417000043</v>
      </c>
      <c r="BG262" t="s">
        <v>74</v>
      </c>
      <c r="BH262" t="s">
        <v>74</v>
      </c>
      <c r="BI262">
        <v>5</v>
      </c>
      <c r="BJ262" t="s">
        <v>2339</v>
      </c>
      <c r="BK262" t="s">
        <v>103</v>
      </c>
      <c r="BL262" t="s">
        <v>993</v>
      </c>
      <c r="BM262" t="s">
        <v>5267</v>
      </c>
      <c r="BN262" t="s">
        <v>74</v>
      </c>
      <c r="BO262" t="s">
        <v>74</v>
      </c>
      <c r="BP262" t="s">
        <v>74</v>
      </c>
      <c r="BQ262" t="s">
        <v>74</v>
      </c>
      <c r="BR262" t="s">
        <v>106</v>
      </c>
      <c r="BS262" t="s">
        <v>5283</v>
      </c>
      <c r="BT262" t="str">
        <f>HYPERLINK("https%3A%2F%2Fwww.webofscience.com%2Fwos%2Fwoscc%2Ffull-record%2FWOS:000402812400004","View Full Record in Web of Science")</f>
        <v>View Full Record in Web of Science</v>
      </c>
    </row>
    <row r="263" spans="1:72" x14ac:dyDescent="0.15">
      <c r="A263" t="s">
        <v>72</v>
      </c>
      <c r="B263" t="s">
        <v>5284</v>
      </c>
      <c r="C263" t="s">
        <v>74</v>
      </c>
      <c r="D263" t="s">
        <v>74</v>
      </c>
      <c r="E263" t="s">
        <v>74</v>
      </c>
      <c r="F263" t="s">
        <v>5285</v>
      </c>
      <c r="G263" t="s">
        <v>74</v>
      </c>
      <c r="H263" t="s">
        <v>74</v>
      </c>
      <c r="I263" t="s">
        <v>5286</v>
      </c>
      <c r="J263" t="s">
        <v>5255</v>
      </c>
      <c r="K263" t="s">
        <v>74</v>
      </c>
      <c r="L263" t="s">
        <v>74</v>
      </c>
      <c r="M263" t="s">
        <v>78</v>
      </c>
      <c r="N263" t="s">
        <v>79</v>
      </c>
      <c r="O263" t="s">
        <v>74</v>
      </c>
      <c r="P263" t="s">
        <v>74</v>
      </c>
      <c r="Q263" t="s">
        <v>74</v>
      </c>
      <c r="R263" t="s">
        <v>74</v>
      </c>
      <c r="S263" t="s">
        <v>74</v>
      </c>
      <c r="T263" t="s">
        <v>74</v>
      </c>
      <c r="U263" t="s">
        <v>74</v>
      </c>
      <c r="V263" t="s">
        <v>5287</v>
      </c>
      <c r="W263" t="s">
        <v>5288</v>
      </c>
      <c r="X263" t="s">
        <v>74</v>
      </c>
      <c r="Y263" t="s">
        <v>5289</v>
      </c>
      <c r="Z263" t="s">
        <v>5290</v>
      </c>
      <c r="AA263" t="s">
        <v>74</v>
      </c>
      <c r="AB263" t="s">
        <v>74</v>
      </c>
      <c r="AC263" t="s">
        <v>74</v>
      </c>
      <c r="AD263" t="s">
        <v>74</v>
      </c>
      <c r="AE263" t="s">
        <v>74</v>
      </c>
      <c r="AF263" t="s">
        <v>74</v>
      </c>
      <c r="AG263">
        <v>21</v>
      </c>
      <c r="AH263">
        <v>0</v>
      </c>
      <c r="AI263">
        <v>0</v>
      </c>
      <c r="AJ263">
        <v>0</v>
      </c>
      <c r="AK263">
        <v>0</v>
      </c>
      <c r="AL263" t="s">
        <v>803</v>
      </c>
      <c r="AM263" t="s">
        <v>430</v>
      </c>
      <c r="AN263" t="s">
        <v>804</v>
      </c>
      <c r="AO263" t="s">
        <v>5261</v>
      </c>
      <c r="AP263" t="s">
        <v>5262</v>
      </c>
      <c r="AQ263" t="s">
        <v>74</v>
      </c>
      <c r="AR263" t="s">
        <v>5263</v>
      </c>
      <c r="AS263" t="s">
        <v>5264</v>
      </c>
      <c r="AT263" t="s">
        <v>4623</v>
      </c>
      <c r="AU263">
        <v>2017</v>
      </c>
      <c r="AV263">
        <v>53</v>
      </c>
      <c r="AW263">
        <v>3</v>
      </c>
      <c r="AX263" t="s">
        <v>74</v>
      </c>
      <c r="AY263" t="s">
        <v>74</v>
      </c>
      <c r="AZ263" t="s">
        <v>74</v>
      </c>
      <c r="BA263" t="s">
        <v>74</v>
      </c>
      <c r="BB263">
        <v>304</v>
      </c>
      <c r="BC263">
        <v>313</v>
      </c>
      <c r="BD263" t="s">
        <v>74</v>
      </c>
      <c r="BE263" t="s">
        <v>5291</v>
      </c>
      <c r="BF263" t="str">
        <f>HYPERLINK("http://dx.doi.org/10.1017/S0032247417000146","http://dx.doi.org/10.1017/S0032247417000146")</f>
        <v>http://dx.doi.org/10.1017/S0032247417000146</v>
      </c>
      <c r="BG263" t="s">
        <v>74</v>
      </c>
      <c r="BH263" t="s">
        <v>74</v>
      </c>
      <c r="BI263">
        <v>10</v>
      </c>
      <c r="BJ263" t="s">
        <v>2339</v>
      </c>
      <c r="BK263" t="s">
        <v>103</v>
      </c>
      <c r="BL263" t="s">
        <v>993</v>
      </c>
      <c r="BM263" t="s">
        <v>5267</v>
      </c>
      <c r="BN263" t="s">
        <v>74</v>
      </c>
      <c r="BO263" t="s">
        <v>74</v>
      </c>
      <c r="BP263" t="s">
        <v>74</v>
      </c>
      <c r="BQ263" t="s">
        <v>74</v>
      </c>
      <c r="BR263" t="s">
        <v>106</v>
      </c>
      <c r="BS263" t="s">
        <v>5292</v>
      </c>
      <c r="BT263" t="str">
        <f>HYPERLINK("https%3A%2F%2Fwww.webofscience.com%2Fwos%2Fwoscc%2Ffull-record%2FWOS:000402812400008","View Full Record in Web of Science")</f>
        <v>View Full Record in Web of Science</v>
      </c>
    </row>
    <row r="264" spans="1:72" x14ac:dyDescent="0.15">
      <c r="A264" t="s">
        <v>72</v>
      </c>
      <c r="B264" t="s">
        <v>5293</v>
      </c>
      <c r="C264" t="s">
        <v>74</v>
      </c>
      <c r="D264" t="s">
        <v>74</v>
      </c>
      <c r="E264" t="s">
        <v>74</v>
      </c>
      <c r="F264" t="s">
        <v>5294</v>
      </c>
      <c r="G264" t="s">
        <v>74</v>
      </c>
      <c r="H264" t="s">
        <v>74</v>
      </c>
      <c r="I264" t="s">
        <v>5295</v>
      </c>
      <c r="J264" t="s">
        <v>1299</v>
      </c>
      <c r="K264" t="s">
        <v>74</v>
      </c>
      <c r="L264" t="s">
        <v>74</v>
      </c>
      <c r="M264" t="s">
        <v>78</v>
      </c>
      <c r="N264" t="s">
        <v>79</v>
      </c>
      <c r="O264" t="s">
        <v>74</v>
      </c>
      <c r="P264" t="s">
        <v>74</v>
      </c>
      <c r="Q264" t="s">
        <v>74</v>
      </c>
      <c r="R264" t="s">
        <v>74</v>
      </c>
      <c r="S264" t="s">
        <v>74</v>
      </c>
      <c r="T264" t="s">
        <v>5296</v>
      </c>
      <c r="U264" t="s">
        <v>5297</v>
      </c>
      <c r="V264" t="s">
        <v>5298</v>
      </c>
      <c r="W264" t="s">
        <v>5299</v>
      </c>
      <c r="X264" t="s">
        <v>2864</v>
      </c>
      <c r="Y264" t="s">
        <v>5300</v>
      </c>
      <c r="Z264" t="s">
        <v>5301</v>
      </c>
      <c r="AA264" t="s">
        <v>5302</v>
      </c>
      <c r="AB264" t="s">
        <v>5303</v>
      </c>
      <c r="AC264" t="s">
        <v>5304</v>
      </c>
      <c r="AD264" t="s">
        <v>5305</v>
      </c>
      <c r="AE264" t="s">
        <v>5306</v>
      </c>
      <c r="AF264" t="s">
        <v>74</v>
      </c>
      <c r="AG264">
        <v>109</v>
      </c>
      <c r="AH264">
        <v>18</v>
      </c>
      <c r="AI264">
        <v>20</v>
      </c>
      <c r="AJ264">
        <v>2</v>
      </c>
      <c r="AK264">
        <v>45</v>
      </c>
      <c r="AL264" t="s">
        <v>656</v>
      </c>
      <c r="AM264" t="s">
        <v>93</v>
      </c>
      <c r="AN264" t="s">
        <v>657</v>
      </c>
      <c r="AO264" t="s">
        <v>1312</v>
      </c>
      <c r="AP264" t="s">
        <v>1313</v>
      </c>
      <c r="AQ264" t="s">
        <v>74</v>
      </c>
      <c r="AR264" t="s">
        <v>1314</v>
      </c>
      <c r="AS264" t="s">
        <v>1315</v>
      </c>
      <c r="AT264" t="s">
        <v>5138</v>
      </c>
      <c r="AU264">
        <v>2017</v>
      </c>
      <c r="AV264">
        <v>204</v>
      </c>
      <c r="AW264" t="s">
        <v>74</v>
      </c>
      <c r="AX264" t="s">
        <v>74</v>
      </c>
      <c r="AY264" t="s">
        <v>74</v>
      </c>
      <c r="AZ264" t="s">
        <v>74</v>
      </c>
      <c r="BA264" t="s">
        <v>74</v>
      </c>
      <c r="BB264">
        <v>120</v>
      </c>
      <c r="BC264">
        <v>139</v>
      </c>
      <c r="BD264" t="s">
        <v>74</v>
      </c>
      <c r="BE264" t="s">
        <v>5307</v>
      </c>
      <c r="BF264" t="str">
        <f>HYPERLINK("http://dx.doi.org/10.1016/j.gca.2017.01.045","http://dx.doi.org/10.1016/j.gca.2017.01.045")</f>
        <v>http://dx.doi.org/10.1016/j.gca.2017.01.045</v>
      </c>
      <c r="BG264" t="s">
        <v>74</v>
      </c>
      <c r="BH264" t="s">
        <v>74</v>
      </c>
      <c r="BI264">
        <v>20</v>
      </c>
      <c r="BJ264" t="s">
        <v>176</v>
      </c>
      <c r="BK264" t="s">
        <v>103</v>
      </c>
      <c r="BL264" t="s">
        <v>176</v>
      </c>
      <c r="BM264" t="s">
        <v>5308</v>
      </c>
      <c r="BN264" t="s">
        <v>74</v>
      </c>
      <c r="BO264" t="s">
        <v>74</v>
      </c>
      <c r="BP264" t="s">
        <v>74</v>
      </c>
      <c r="BQ264" t="s">
        <v>74</v>
      </c>
      <c r="BR264" t="s">
        <v>106</v>
      </c>
      <c r="BS264" t="s">
        <v>5309</v>
      </c>
      <c r="BT264" t="str">
        <f>HYPERLINK("https%3A%2F%2Fwww.webofscience.com%2Fwos%2Fwoscc%2Ffull-record%2FWOS:000402487100008","View Full Record in Web of Science")</f>
        <v>View Full Record in Web of Science</v>
      </c>
    </row>
    <row r="265" spans="1:72" x14ac:dyDescent="0.15">
      <c r="A265" t="s">
        <v>72</v>
      </c>
      <c r="B265" t="s">
        <v>5310</v>
      </c>
      <c r="C265" t="s">
        <v>74</v>
      </c>
      <c r="D265" t="s">
        <v>74</v>
      </c>
      <c r="E265" t="s">
        <v>74</v>
      </c>
      <c r="F265" t="s">
        <v>5311</v>
      </c>
      <c r="G265" t="s">
        <v>74</v>
      </c>
      <c r="H265" t="s">
        <v>74</v>
      </c>
      <c r="I265" t="s">
        <v>5312</v>
      </c>
      <c r="J265" t="s">
        <v>1299</v>
      </c>
      <c r="K265" t="s">
        <v>74</v>
      </c>
      <c r="L265" t="s">
        <v>74</v>
      </c>
      <c r="M265" t="s">
        <v>78</v>
      </c>
      <c r="N265" t="s">
        <v>79</v>
      </c>
      <c r="O265" t="s">
        <v>74</v>
      </c>
      <c r="P265" t="s">
        <v>74</v>
      </c>
      <c r="Q265" t="s">
        <v>74</v>
      </c>
      <c r="R265" t="s">
        <v>74</v>
      </c>
      <c r="S265" t="s">
        <v>74</v>
      </c>
      <c r="T265" t="s">
        <v>5313</v>
      </c>
      <c r="U265" t="s">
        <v>5314</v>
      </c>
      <c r="V265" t="s">
        <v>5315</v>
      </c>
      <c r="W265" t="s">
        <v>5316</v>
      </c>
      <c r="X265" t="s">
        <v>5317</v>
      </c>
      <c r="Y265" t="s">
        <v>5318</v>
      </c>
      <c r="Z265" t="s">
        <v>5319</v>
      </c>
      <c r="AA265" t="s">
        <v>5320</v>
      </c>
      <c r="AB265" t="s">
        <v>5321</v>
      </c>
      <c r="AC265" t="s">
        <v>5322</v>
      </c>
      <c r="AD265" t="s">
        <v>5323</v>
      </c>
      <c r="AE265" t="s">
        <v>5324</v>
      </c>
      <c r="AF265" t="s">
        <v>74</v>
      </c>
      <c r="AG265">
        <v>109</v>
      </c>
      <c r="AH265">
        <v>6</v>
      </c>
      <c r="AI265">
        <v>9</v>
      </c>
      <c r="AJ265">
        <v>1</v>
      </c>
      <c r="AK265">
        <v>31</v>
      </c>
      <c r="AL265" t="s">
        <v>656</v>
      </c>
      <c r="AM265" t="s">
        <v>93</v>
      </c>
      <c r="AN265" t="s">
        <v>657</v>
      </c>
      <c r="AO265" t="s">
        <v>1312</v>
      </c>
      <c r="AP265" t="s">
        <v>1313</v>
      </c>
      <c r="AQ265" t="s">
        <v>74</v>
      </c>
      <c r="AR265" t="s">
        <v>1314</v>
      </c>
      <c r="AS265" t="s">
        <v>1315</v>
      </c>
      <c r="AT265" t="s">
        <v>5138</v>
      </c>
      <c r="AU265">
        <v>2017</v>
      </c>
      <c r="AV265">
        <v>204</v>
      </c>
      <c r="AW265" t="s">
        <v>74</v>
      </c>
      <c r="AX265" t="s">
        <v>74</v>
      </c>
      <c r="AY265" t="s">
        <v>74</v>
      </c>
      <c r="AZ265" t="s">
        <v>74</v>
      </c>
      <c r="BA265" t="s">
        <v>74</v>
      </c>
      <c r="BB265">
        <v>350</v>
      </c>
      <c r="BC265">
        <v>374</v>
      </c>
      <c r="BD265" t="s">
        <v>74</v>
      </c>
      <c r="BE265" t="s">
        <v>5325</v>
      </c>
      <c r="BF265" t="str">
        <f>HYPERLINK("http://dx.doi.org/10.1016/j.gca.2017.01.052","http://dx.doi.org/10.1016/j.gca.2017.01.052")</f>
        <v>http://dx.doi.org/10.1016/j.gca.2017.01.052</v>
      </c>
      <c r="BG265" t="s">
        <v>74</v>
      </c>
      <c r="BH265" t="s">
        <v>74</v>
      </c>
      <c r="BI265">
        <v>25</v>
      </c>
      <c r="BJ265" t="s">
        <v>176</v>
      </c>
      <c r="BK265" t="s">
        <v>103</v>
      </c>
      <c r="BL265" t="s">
        <v>176</v>
      </c>
      <c r="BM265" t="s">
        <v>5308</v>
      </c>
      <c r="BN265" t="s">
        <v>74</v>
      </c>
      <c r="BO265" t="s">
        <v>2617</v>
      </c>
      <c r="BP265" t="s">
        <v>74</v>
      </c>
      <c r="BQ265" t="s">
        <v>74</v>
      </c>
      <c r="BR265" t="s">
        <v>106</v>
      </c>
      <c r="BS265" t="s">
        <v>5326</v>
      </c>
      <c r="BT265" t="str">
        <f>HYPERLINK("https%3A%2F%2Fwww.webofscience.com%2Fwos%2Fwoscc%2Ffull-record%2FWOS:000402487100021","View Full Record in Web of Science")</f>
        <v>View Full Record in Web of Science</v>
      </c>
    </row>
    <row r="266" spans="1:72" x14ac:dyDescent="0.15">
      <c r="A266" t="s">
        <v>72</v>
      </c>
      <c r="B266" t="s">
        <v>5327</v>
      </c>
      <c r="C266" t="s">
        <v>74</v>
      </c>
      <c r="D266" t="s">
        <v>74</v>
      </c>
      <c r="E266" t="s">
        <v>74</v>
      </c>
      <c r="F266" t="s">
        <v>5328</v>
      </c>
      <c r="G266" t="s">
        <v>74</v>
      </c>
      <c r="H266" t="s">
        <v>74</v>
      </c>
      <c r="I266" t="s">
        <v>5329</v>
      </c>
      <c r="J266" t="s">
        <v>160</v>
      </c>
      <c r="K266" t="s">
        <v>74</v>
      </c>
      <c r="L266" t="s">
        <v>74</v>
      </c>
      <c r="M266" t="s">
        <v>78</v>
      </c>
      <c r="N266" t="s">
        <v>79</v>
      </c>
      <c r="O266" t="s">
        <v>74</v>
      </c>
      <c r="P266" t="s">
        <v>74</v>
      </c>
      <c r="Q266" t="s">
        <v>74</v>
      </c>
      <c r="R266" t="s">
        <v>74</v>
      </c>
      <c r="S266" t="s">
        <v>74</v>
      </c>
      <c r="T266" t="s">
        <v>5330</v>
      </c>
      <c r="U266" t="s">
        <v>5331</v>
      </c>
      <c r="V266" t="s">
        <v>5332</v>
      </c>
      <c r="W266" t="s">
        <v>5333</v>
      </c>
      <c r="X266" t="s">
        <v>5334</v>
      </c>
      <c r="Y266" t="s">
        <v>5335</v>
      </c>
      <c r="Z266" t="s">
        <v>5336</v>
      </c>
      <c r="AA266" t="s">
        <v>5337</v>
      </c>
      <c r="AB266" t="s">
        <v>5338</v>
      </c>
      <c r="AC266" t="s">
        <v>5339</v>
      </c>
      <c r="AD266" t="s">
        <v>5340</v>
      </c>
      <c r="AE266" t="s">
        <v>5341</v>
      </c>
      <c r="AF266" t="s">
        <v>74</v>
      </c>
      <c r="AG266">
        <v>70</v>
      </c>
      <c r="AH266">
        <v>9</v>
      </c>
      <c r="AI266">
        <v>10</v>
      </c>
      <c r="AJ266">
        <v>1</v>
      </c>
      <c r="AK266">
        <v>13</v>
      </c>
      <c r="AL266" t="s">
        <v>92</v>
      </c>
      <c r="AM266" t="s">
        <v>93</v>
      </c>
      <c r="AN266" t="s">
        <v>94</v>
      </c>
      <c r="AO266" t="s">
        <v>171</v>
      </c>
      <c r="AP266" t="s">
        <v>172</v>
      </c>
      <c r="AQ266" t="s">
        <v>74</v>
      </c>
      <c r="AR266" t="s">
        <v>173</v>
      </c>
      <c r="AS266" t="s">
        <v>174</v>
      </c>
      <c r="AT266" t="s">
        <v>4623</v>
      </c>
      <c r="AU266">
        <v>2017</v>
      </c>
      <c r="AV266">
        <v>209</v>
      </c>
      <c r="AW266">
        <v>2</v>
      </c>
      <c r="AX266" t="s">
        <v>74</v>
      </c>
      <c r="AY266" t="s">
        <v>74</v>
      </c>
      <c r="AZ266" t="s">
        <v>74</v>
      </c>
      <c r="BA266" t="s">
        <v>74</v>
      </c>
      <c r="BB266">
        <v>1064</v>
      </c>
      <c r="BC266">
        <v>1079</v>
      </c>
      <c r="BD266" t="s">
        <v>74</v>
      </c>
      <c r="BE266" t="s">
        <v>5342</v>
      </c>
      <c r="BF266" t="str">
        <f>HYPERLINK("http://dx.doi.org/10.1093/gji/ggx075","http://dx.doi.org/10.1093/gji/ggx075")</f>
        <v>http://dx.doi.org/10.1093/gji/ggx075</v>
      </c>
      <c r="BG266" t="s">
        <v>74</v>
      </c>
      <c r="BH266" t="s">
        <v>74</v>
      </c>
      <c r="BI266">
        <v>16</v>
      </c>
      <c r="BJ266" t="s">
        <v>176</v>
      </c>
      <c r="BK266" t="s">
        <v>103</v>
      </c>
      <c r="BL266" t="s">
        <v>176</v>
      </c>
      <c r="BM266" t="s">
        <v>5343</v>
      </c>
      <c r="BN266" t="s">
        <v>74</v>
      </c>
      <c r="BO266" t="s">
        <v>412</v>
      </c>
      <c r="BP266" t="s">
        <v>74</v>
      </c>
      <c r="BQ266" t="s">
        <v>74</v>
      </c>
      <c r="BR266" t="s">
        <v>106</v>
      </c>
      <c r="BS266" t="s">
        <v>5344</v>
      </c>
      <c r="BT266" t="str">
        <f>HYPERLINK("https%3A%2F%2Fwww.webofscience.com%2Fwos%2Fwoscc%2Ffull-record%2FWOS:000402641600040","View Full Record in Web of Science")</f>
        <v>View Full Record in Web of Science</v>
      </c>
    </row>
    <row r="267" spans="1:72" x14ac:dyDescent="0.15">
      <c r="A267" t="s">
        <v>72</v>
      </c>
      <c r="B267" t="s">
        <v>5345</v>
      </c>
      <c r="C267" t="s">
        <v>74</v>
      </c>
      <c r="D267" t="s">
        <v>74</v>
      </c>
      <c r="E267" t="s">
        <v>74</v>
      </c>
      <c r="F267" t="s">
        <v>5346</v>
      </c>
      <c r="G267" t="s">
        <v>74</v>
      </c>
      <c r="H267" t="s">
        <v>74</v>
      </c>
      <c r="I267" t="s">
        <v>5347</v>
      </c>
      <c r="J267" t="s">
        <v>160</v>
      </c>
      <c r="K267" t="s">
        <v>74</v>
      </c>
      <c r="L267" t="s">
        <v>74</v>
      </c>
      <c r="M267" t="s">
        <v>78</v>
      </c>
      <c r="N267" t="s">
        <v>79</v>
      </c>
      <c r="O267" t="s">
        <v>74</v>
      </c>
      <c r="P267" t="s">
        <v>74</v>
      </c>
      <c r="Q267" t="s">
        <v>74</v>
      </c>
      <c r="R267" t="s">
        <v>74</v>
      </c>
      <c r="S267" t="s">
        <v>74</v>
      </c>
      <c r="T267" t="s">
        <v>5348</v>
      </c>
      <c r="U267" t="s">
        <v>5349</v>
      </c>
      <c r="V267" t="s">
        <v>5350</v>
      </c>
      <c r="W267" t="s">
        <v>5351</v>
      </c>
      <c r="X267" t="s">
        <v>5352</v>
      </c>
      <c r="Y267" t="s">
        <v>5353</v>
      </c>
      <c r="Z267" t="s">
        <v>5354</v>
      </c>
      <c r="AA267" t="s">
        <v>5355</v>
      </c>
      <c r="AB267" t="s">
        <v>5356</v>
      </c>
      <c r="AC267" t="s">
        <v>5357</v>
      </c>
      <c r="AD267" t="s">
        <v>5358</v>
      </c>
      <c r="AE267" t="s">
        <v>5359</v>
      </c>
      <c r="AF267" t="s">
        <v>74</v>
      </c>
      <c r="AG267">
        <v>108</v>
      </c>
      <c r="AH267">
        <v>29</v>
      </c>
      <c r="AI267">
        <v>33</v>
      </c>
      <c r="AJ267">
        <v>0</v>
      </c>
      <c r="AK267">
        <v>14</v>
      </c>
      <c r="AL267" t="s">
        <v>92</v>
      </c>
      <c r="AM267" t="s">
        <v>93</v>
      </c>
      <c r="AN267" t="s">
        <v>94</v>
      </c>
      <c r="AO267" t="s">
        <v>171</v>
      </c>
      <c r="AP267" t="s">
        <v>172</v>
      </c>
      <c r="AQ267" t="s">
        <v>74</v>
      </c>
      <c r="AR267" t="s">
        <v>173</v>
      </c>
      <c r="AS267" t="s">
        <v>174</v>
      </c>
      <c r="AT267" t="s">
        <v>4623</v>
      </c>
      <c r="AU267">
        <v>2017</v>
      </c>
      <c r="AV267">
        <v>209</v>
      </c>
      <c r="AW267">
        <v>2</v>
      </c>
      <c r="AX267" t="s">
        <v>74</v>
      </c>
      <c r="AY267" t="s">
        <v>74</v>
      </c>
      <c r="AZ267" t="s">
        <v>74</v>
      </c>
      <c r="BA267" t="s">
        <v>74</v>
      </c>
      <c r="BB267">
        <v>1126</v>
      </c>
      <c r="BC267">
        <v>1147</v>
      </c>
      <c r="BD267" t="s">
        <v>74</v>
      </c>
      <c r="BE267" t="s">
        <v>5360</v>
      </c>
      <c r="BF267" t="str">
        <f>HYPERLINK("http://dx.doi.org/10.1093/gji/ggx083","http://dx.doi.org/10.1093/gji/ggx083")</f>
        <v>http://dx.doi.org/10.1093/gji/ggx083</v>
      </c>
      <c r="BG267" t="s">
        <v>74</v>
      </c>
      <c r="BH267" t="s">
        <v>74</v>
      </c>
      <c r="BI267">
        <v>22</v>
      </c>
      <c r="BJ267" t="s">
        <v>176</v>
      </c>
      <c r="BK267" t="s">
        <v>103</v>
      </c>
      <c r="BL267" t="s">
        <v>176</v>
      </c>
      <c r="BM267" t="s">
        <v>5343</v>
      </c>
      <c r="BN267" t="s">
        <v>74</v>
      </c>
      <c r="BO267" t="s">
        <v>1538</v>
      </c>
      <c r="BP267" t="s">
        <v>74</v>
      </c>
      <c r="BQ267" t="s">
        <v>74</v>
      </c>
      <c r="BR267" t="s">
        <v>106</v>
      </c>
      <c r="BS267" t="s">
        <v>5361</v>
      </c>
      <c r="BT267" t="str">
        <f>HYPERLINK("https%3A%2F%2Fwww.webofscience.com%2Fwos%2Fwoscc%2Ffull-record%2FWOS:000402641600045","View Full Record in Web of Science")</f>
        <v>View Full Record in Web of Science</v>
      </c>
    </row>
    <row r="268" spans="1:72" x14ac:dyDescent="0.15">
      <c r="A268" t="s">
        <v>72</v>
      </c>
      <c r="B268" t="s">
        <v>5362</v>
      </c>
      <c r="C268" t="s">
        <v>74</v>
      </c>
      <c r="D268" t="s">
        <v>74</v>
      </c>
      <c r="E268" t="s">
        <v>74</v>
      </c>
      <c r="F268" t="s">
        <v>5363</v>
      </c>
      <c r="G268" t="s">
        <v>74</v>
      </c>
      <c r="H268" t="s">
        <v>74</v>
      </c>
      <c r="I268" t="s">
        <v>5364</v>
      </c>
      <c r="J268" t="s">
        <v>5365</v>
      </c>
      <c r="K268" t="s">
        <v>74</v>
      </c>
      <c r="L268" t="s">
        <v>74</v>
      </c>
      <c r="M268" t="s">
        <v>78</v>
      </c>
      <c r="N268" t="s">
        <v>79</v>
      </c>
      <c r="O268" t="s">
        <v>74</v>
      </c>
      <c r="P268" t="s">
        <v>74</v>
      </c>
      <c r="Q268" t="s">
        <v>74</v>
      </c>
      <c r="R268" t="s">
        <v>74</v>
      </c>
      <c r="S268" t="s">
        <v>74</v>
      </c>
      <c r="T268" t="s">
        <v>5366</v>
      </c>
      <c r="U268" t="s">
        <v>5367</v>
      </c>
      <c r="V268" t="s">
        <v>5368</v>
      </c>
      <c r="W268" t="s">
        <v>5369</v>
      </c>
      <c r="X268" t="s">
        <v>5370</v>
      </c>
      <c r="Y268" t="s">
        <v>5371</v>
      </c>
      <c r="Z268" t="s">
        <v>5372</v>
      </c>
      <c r="AA268" t="s">
        <v>74</v>
      </c>
      <c r="AB268" t="s">
        <v>5373</v>
      </c>
      <c r="AC268" t="s">
        <v>5374</v>
      </c>
      <c r="AD268" t="s">
        <v>5375</v>
      </c>
      <c r="AE268" t="s">
        <v>5376</v>
      </c>
      <c r="AF268" t="s">
        <v>74</v>
      </c>
      <c r="AG268">
        <v>65</v>
      </c>
      <c r="AH268">
        <v>10</v>
      </c>
      <c r="AI268">
        <v>11</v>
      </c>
      <c r="AJ268">
        <v>0</v>
      </c>
      <c r="AK268">
        <v>5</v>
      </c>
      <c r="AL268" t="s">
        <v>5377</v>
      </c>
      <c r="AM268" t="s">
        <v>403</v>
      </c>
      <c r="AN268" t="s">
        <v>5378</v>
      </c>
      <c r="AO268" t="s">
        <v>5379</v>
      </c>
      <c r="AP268" t="s">
        <v>74</v>
      </c>
      <c r="AQ268" t="s">
        <v>74</v>
      </c>
      <c r="AR268" t="s">
        <v>5380</v>
      </c>
      <c r="AS268" t="s">
        <v>5381</v>
      </c>
      <c r="AT268" t="s">
        <v>4623</v>
      </c>
      <c r="AU268">
        <v>2017</v>
      </c>
      <c r="AV268">
        <v>4</v>
      </c>
      <c r="AW268">
        <v>5</v>
      </c>
      <c r="AX268" t="s">
        <v>74</v>
      </c>
      <c r="AY268" t="s">
        <v>74</v>
      </c>
      <c r="AZ268" t="s">
        <v>74</v>
      </c>
      <c r="BA268" t="s">
        <v>74</v>
      </c>
      <c r="BB268" t="s">
        <v>74</v>
      </c>
      <c r="BC268" t="s">
        <v>74</v>
      </c>
      <c r="BD268">
        <v>161083</v>
      </c>
      <c r="BE268" t="s">
        <v>5382</v>
      </c>
      <c r="BF268" t="str">
        <f>HYPERLINK("http://dx.doi.org/10.1098/rsos.161083","http://dx.doi.org/10.1098/rsos.161083")</f>
        <v>http://dx.doi.org/10.1098/rsos.161083</v>
      </c>
      <c r="BG268" t="s">
        <v>74</v>
      </c>
      <c r="BH268" t="s">
        <v>74</v>
      </c>
      <c r="BI268">
        <v>18</v>
      </c>
      <c r="BJ268" t="s">
        <v>1617</v>
      </c>
      <c r="BK268" t="s">
        <v>103</v>
      </c>
      <c r="BL268" t="s">
        <v>1618</v>
      </c>
      <c r="BM268" t="s">
        <v>5383</v>
      </c>
      <c r="BN268">
        <v>28573002</v>
      </c>
      <c r="BO268" t="s">
        <v>5384</v>
      </c>
      <c r="BP268" t="s">
        <v>74</v>
      </c>
      <c r="BQ268" t="s">
        <v>74</v>
      </c>
      <c r="BR268" t="s">
        <v>106</v>
      </c>
      <c r="BS268" t="s">
        <v>5385</v>
      </c>
      <c r="BT268" t="str">
        <f>HYPERLINK("https%3A%2F%2Fwww.webofscience.com%2Fwos%2Fwoscc%2Ffull-record%2FWOS:000402541800019","View Full Record in Web of Science")</f>
        <v>View Full Record in Web of Science</v>
      </c>
    </row>
    <row r="269" spans="1:72" x14ac:dyDescent="0.15">
      <c r="A269" t="s">
        <v>72</v>
      </c>
      <c r="B269" t="s">
        <v>5386</v>
      </c>
      <c r="C269" t="s">
        <v>74</v>
      </c>
      <c r="D269" t="s">
        <v>74</v>
      </c>
      <c r="E269" t="s">
        <v>74</v>
      </c>
      <c r="F269" t="s">
        <v>5387</v>
      </c>
      <c r="G269" t="s">
        <v>74</v>
      </c>
      <c r="H269" t="s">
        <v>74</v>
      </c>
      <c r="I269" t="s">
        <v>5388</v>
      </c>
      <c r="J269" t="s">
        <v>5389</v>
      </c>
      <c r="K269" t="s">
        <v>74</v>
      </c>
      <c r="L269" t="s">
        <v>74</v>
      </c>
      <c r="M269" t="s">
        <v>78</v>
      </c>
      <c r="N269" t="s">
        <v>79</v>
      </c>
      <c r="O269" t="s">
        <v>74</v>
      </c>
      <c r="P269" t="s">
        <v>74</v>
      </c>
      <c r="Q269" t="s">
        <v>74</v>
      </c>
      <c r="R269" t="s">
        <v>74</v>
      </c>
      <c r="S269" t="s">
        <v>74</v>
      </c>
      <c r="T269" t="s">
        <v>5390</v>
      </c>
      <c r="U269" t="s">
        <v>74</v>
      </c>
      <c r="V269" t="s">
        <v>5391</v>
      </c>
      <c r="W269" t="s">
        <v>5392</v>
      </c>
      <c r="X269" t="s">
        <v>74</v>
      </c>
      <c r="Y269" t="s">
        <v>5393</v>
      </c>
      <c r="Z269" t="s">
        <v>5394</v>
      </c>
      <c r="AA269" t="s">
        <v>74</v>
      </c>
      <c r="AB269" t="s">
        <v>74</v>
      </c>
      <c r="AC269" t="s">
        <v>74</v>
      </c>
      <c r="AD269" t="s">
        <v>74</v>
      </c>
      <c r="AE269" t="s">
        <v>74</v>
      </c>
      <c r="AF269" t="s">
        <v>74</v>
      </c>
      <c r="AG269">
        <v>13</v>
      </c>
      <c r="AH269">
        <v>0</v>
      </c>
      <c r="AI269">
        <v>1</v>
      </c>
      <c r="AJ269">
        <v>0</v>
      </c>
      <c r="AK269">
        <v>17</v>
      </c>
      <c r="AL269" t="s">
        <v>5395</v>
      </c>
      <c r="AM269" t="s">
        <v>430</v>
      </c>
      <c r="AN269" t="s">
        <v>5396</v>
      </c>
      <c r="AO269" t="s">
        <v>5397</v>
      </c>
      <c r="AP269" t="s">
        <v>5398</v>
      </c>
      <c r="AQ269" t="s">
        <v>74</v>
      </c>
      <c r="AR269" t="s">
        <v>5399</v>
      </c>
      <c r="AS269" t="s">
        <v>5400</v>
      </c>
      <c r="AT269" t="s">
        <v>4623</v>
      </c>
      <c r="AU269">
        <v>2017</v>
      </c>
      <c r="AV269">
        <v>42</v>
      </c>
      <c r="AW269">
        <v>5</v>
      </c>
      <c r="AX269" t="s">
        <v>74</v>
      </c>
      <c r="AY269" t="s">
        <v>74</v>
      </c>
      <c r="AZ269" t="s">
        <v>74</v>
      </c>
      <c r="BA269" t="s">
        <v>74</v>
      </c>
      <c r="BB269">
        <v>314</v>
      </c>
      <c r="BC269">
        <v>318</v>
      </c>
      <c r="BD269" t="s">
        <v>74</v>
      </c>
      <c r="BE269" t="s">
        <v>5401</v>
      </c>
      <c r="BF269" t="str">
        <f>HYPERLINK("http://dx.doi.org/10.3103/S1068373917050065","http://dx.doi.org/10.3103/S1068373917050065")</f>
        <v>http://dx.doi.org/10.3103/S1068373917050065</v>
      </c>
      <c r="BG269" t="s">
        <v>74</v>
      </c>
      <c r="BH269" t="s">
        <v>74</v>
      </c>
      <c r="BI269">
        <v>5</v>
      </c>
      <c r="BJ269" t="s">
        <v>1261</v>
      </c>
      <c r="BK269" t="s">
        <v>103</v>
      </c>
      <c r="BL269" t="s">
        <v>1261</v>
      </c>
      <c r="BM269" t="s">
        <v>5402</v>
      </c>
      <c r="BN269" t="s">
        <v>74</v>
      </c>
      <c r="BO269" t="s">
        <v>74</v>
      </c>
      <c r="BP269" t="s">
        <v>74</v>
      </c>
      <c r="BQ269" t="s">
        <v>74</v>
      </c>
      <c r="BR269" t="s">
        <v>106</v>
      </c>
      <c r="BS269" t="s">
        <v>5403</v>
      </c>
      <c r="BT269" t="str">
        <f>HYPERLINK("https%3A%2F%2Fwww.webofscience.com%2Fwos%2Fwoscc%2Ffull-record%2FWOS:000402746600006","View Full Record in Web of Science")</f>
        <v>View Full Record in Web of Science</v>
      </c>
    </row>
    <row r="270" spans="1:72" x14ac:dyDescent="0.15">
      <c r="A270" t="s">
        <v>72</v>
      </c>
      <c r="B270" t="s">
        <v>5404</v>
      </c>
      <c r="C270" t="s">
        <v>74</v>
      </c>
      <c r="D270" t="s">
        <v>74</v>
      </c>
      <c r="E270" t="s">
        <v>74</v>
      </c>
      <c r="F270" t="s">
        <v>5405</v>
      </c>
      <c r="G270" t="s">
        <v>74</v>
      </c>
      <c r="H270" t="s">
        <v>74</v>
      </c>
      <c r="I270" t="s">
        <v>5406</v>
      </c>
      <c r="J270" t="s">
        <v>5407</v>
      </c>
      <c r="K270" t="s">
        <v>74</v>
      </c>
      <c r="L270" t="s">
        <v>74</v>
      </c>
      <c r="M270" t="s">
        <v>78</v>
      </c>
      <c r="N270" t="s">
        <v>79</v>
      </c>
      <c r="O270" t="s">
        <v>74</v>
      </c>
      <c r="P270" t="s">
        <v>74</v>
      </c>
      <c r="Q270" t="s">
        <v>74</v>
      </c>
      <c r="R270" t="s">
        <v>74</v>
      </c>
      <c r="S270" t="s">
        <v>74</v>
      </c>
      <c r="T270" t="s">
        <v>74</v>
      </c>
      <c r="U270" t="s">
        <v>5408</v>
      </c>
      <c r="V270" t="s">
        <v>5409</v>
      </c>
      <c r="W270" t="s">
        <v>5410</v>
      </c>
      <c r="X270" t="s">
        <v>5411</v>
      </c>
      <c r="Y270" t="s">
        <v>5412</v>
      </c>
      <c r="Z270" t="s">
        <v>5413</v>
      </c>
      <c r="AA270" t="s">
        <v>5414</v>
      </c>
      <c r="AB270" t="s">
        <v>5415</v>
      </c>
      <c r="AC270" t="s">
        <v>74</v>
      </c>
      <c r="AD270" t="s">
        <v>74</v>
      </c>
      <c r="AE270" t="s">
        <v>74</v>
      </c>
      <c r="AF270" t="s">
        <v>74</v>
      </c>
      <c r="AG270">
        <v>17</v>
      </c>
      <c r="AH270">
        <v>4</v>
      </c>
      <c r="AI270">
        <v>5</v>
      </c>
      <c r="AJ270">
        <v>0</v>
      </c>
      <c r="AK270">
        <v>13</v>
      </c>
      <c r="AL270" t="s">
        <v>1115</v>
      </c>
      <c r="AM270" t="s">
        <v>1116</v>
      </c>
      <c r="AN270" t="s">
        <v>1117</v>
      </c>
      <c r="AO270" t="s">
        <v>5416</v>
      </c>
      <c r="AP270" t="s">
        <v>5417</v>
      </c>
      <c r="AQ270" t="s">
        <v>74</v>
      </c>
      <c r="AR270" t="s">
        <v>5418</v>
      </c>
      <c r="AS270" t="s">
        <v>5419</v>
      </c>
      <c r="AT270" t="s">
        <v>4623</v>
      </c>
      <c r="AU270">
        <v>2017</v>
      </c>
      <c r="AV270">
        <v>34</v>
      </c>
      <c r="AW270">
        <v>5</v>
      </c>
      <c r="AX270" t="s">
        <v>74</v>
      </c>
      <c r="AY270" t="s">
        <v>74</v>
      </c>
      <c r="AZ270" t="s">
        <v>74</v>
      </c>
      <c r="BA270" t="s">
        <v>74</v>
      </c>
      <c r="BB270">
        <v>1139</v>
      </c>
      <c r="BC270">
        <v>1153</v>
      </c>
      <c r="BD270" t="s">
        <v>74</v>
      </c>
      <c r="BE270" t="s">
        <v>5420</v>
      </c>
      <c r="BF270" t="str">
        <f>HYPERLINK("http://dx.doi.org/10.1175/JTECH-D-16-0058.1","http://dx.doi.org/10.1175/JTECH-D-16-0058.1")</f>
        <v>http://dx.doi.org/10.1175/JTECH-D-16-0058.1</v>
      </c>
      <c r="BG270" t="s">
        <v>74</v>
      </c>
      <c r="BH270" t="s">
        <v>74</v>
      </c>
      <c r="BI270">
        <v>15</v>
      </c>
      <c r="BJ270" t="s">
        <v>5421</v>
      </c>
      <c r="BK270" t="s">
        <v>103</v>
      </c>
      <c r="BL270" t="s">
        <v>5422</v>
      </c>
      <c r="BM270" t="s">
        <v>5423</v>
      </c>
      <c r="BN270" t="s">
        <v>74</v>
      </c>
      <c r="BO270" t="s">
        <v>1538</v>
      </c>
      <c r="BP270" t="s">
        <v>74</v>
      </c>
      <c r="BQ270" t="s">
        <v>74</v>
      </c>
      <c r="BR270" t="s">
        <v>106</v>
      </c>
      <c r="BS270" t="s">
        <v>5424</v>
      </c>
      <c r="BT270" t="str">
        <f>HYPERLINK("https%3A%2F%2Fwww.webofscience.com%2Fwos%2Fwoscc%2Ffull-record%2FWOS:000402077000012","View Full Record in Web of Science")</f>
        <v>View Full Record in Web of Science</v>
      </c>
    </row>
    <row r="271" spans="1:72" x14ac:dyDescent="0.15">
      <c r="A271" t="s">
        <v>72</v>
      </c>
      <c r="B271" t="s">
        <v>5425</v>
      </c>
      <c r="C271" t="s">
        <v>74</v>
      </c>
      <c r="D271" t="s">
        <v>74</v>
      </c>
      <c r="E271" t="s">
        <v>74</v>
      </c>
      <c r="F271" t="s">
        <v>5426</v>
      </c>
      <c r="G271" t="s">
        <v>74</v>
      </c>
      <c r="H271" t="s">
        <v>74</v>
      </c>
      <c r="I271" t="s">
        <v>5427</v>
      </c>
      <c r="J271" t="s">
        <v>1000</v>
      </c>
      <c r="K271" t="s">
        <v>74</v>
      </c>
      <c r="L271" t="s">
        <v>74</v>
      </c>
      <c r="M271" t="s">
        <v>78</v>
      </c>
      <c r="N271" t="s">
        <v>79</v>
      </c>
      <c r="O271" t="s">
        <v>74</v>
      </c>
      <c r="P271" t="s">
        <v>74</v>
      </c>
      <c r="Q271" t="s">
        <v>74</v>
      </c>
      <c r="R271" t="s">
        <v>74</v>
      </c>
      <c r="S271" t="s">
        <v>74</v>
      </c>
      <c r="T271" t="s">
        <v>5428</v>
      </c>
      <c r="U271" t="s">
        <v>5429</v>
      </c>
      <c r="V271" t="s">
        <v>5430</v>
      </c>
      <c r="W271" t="s">
        <v>5431</v>
      </c>
      <c r="X271" t="s">
        <v>2864</v>
      </c>
      <c r="Y271" t="s">
        <v>5432</v>
      </c>
      <c r="Z271" t="s">
        <v>5433</v>
      </c>
      <c r="AA271" t="s">
        <v>5434</v>
      </c>
      <c r="AB271" t="s">
        <v>5435</v>
      </c>
      <c r="AC271" t="s">
        <v>74</v>
      </c>
      <c r="AD271" t="s">
        <v>74</v>
      </c>
      <c r="AE271" t="s">
        <v>74</v>
      </c>
      <c r="AF271" t="s">
        <v>74</v>
      </c>
      <c r="AG271">
        <v>86</v>
      </c>
      <c r="AH271">
        <v>30</v>
      </c>
      <c r="AI271">
        <v>35</v>
      </c>
      <c r="AJ271">
        <v>0</v>
      </c>
      <c r="AK271">
        <v>19</v>
      </c>
      <c r="AL271" t="s">
        <v>986</v>
      </c>
      <c r="AM271" t="s">
        <v>430</v>
      </c>
      <c r="AN271" t="s">
        <v>1663</v>
      </c>
      <c r="AO271" t="s">
        <v>1013</v>
      </c>
      <c r="AP271" t="s">
        <v>1014</v>
      </c>
      <c r="AQ271" t="s">
        <v>74</v>
      </c>
      <c r="AR271" t="s">
        <v>1015</v>
      </c>
      <c r="AS271" t="s">
        <v>1016</v>
      </c>
      <c r="AT271" t="s">
        <v>4623</v>
      </c>
      <c r="AU271">
        <v>2017</v>
      </c>
      <c r="AV271">
        <v>40</v>
      </c>
      <c r="AW271">
        <v>5</v>
      </c>
      <c r="AX271" t="s">
        <v>74</v>
      </c>
      <c r="AY271" t="s">
        <v>74</v>
      </c>
      <c r="AZ271" t="s">
        <v>74</v>
      </c>
      <c r="BA271" t="s">
        <v>74</v>
      </c>
      <c r="BB271">
        <v>961</v>
      </c>
      <c r="BC271">
        <v>976</v>
      </c>
      <c r="BD271" t="s">
        <v>74</v>
      </c>
      <c r="BE271" t="s">
        <v>5436</v>
      </c>
      <c r="BF271" t="str">
        <f>HYPERLINK("http://dx.doi.org/10.1007/s00300-016-2020-0","http://dx.doi.org/10.1007/s00300-016-2020-0")</f>
        <v>http://dx.doi.org/10.1007/s00300-016-2020-0</v>
      </c>
      <c r="BG271" t="s">
        <v>74</v>
      </c>
      <c r="BH271" t="s">
        <v>74</v>
      </c>
      <c r="BI271">
        <v>16</v>
      </c>
      <c r="BJ271" t="s">
        <v>1018</v>
      </c>
      <c r="BK271" t="s">
        <v>103</v>
      </c>
      <c r="BL271" t="s">
        <v>326</v>
      </c>
      <c r="BM271" t="s">
        <v>5437</v>
      </c>
      <c r="BN271" t="s">
        <v>74</v>
      </c>
      <c r="BO271" t="s">
        <v>105</v>
      </c>
      <c r="BP271" t="s">
        <v>74</v>
      </c>
      <c r="BQ271" t="s">
        <v>74</v>
      </c>
      <c r="BR271" t="s">
        <v>106</v>
      </c>
      <c r="BS271" t="s">
        <v>5438</v>
      </c>
      <c r="BT271" t="str">
        <f>HYPERLINK("https%3A%2F%2Fwww.webofscience.com%2Fwos%2Fwoscc%2Ffull-record%2FWOS:000402123800001","View Full Record in Web of Science")</f>
        <v>View Full Record in Web of Science</v>
      </c>
    </row>
    <row r="272" spans="1:72" x14ac:dyDescent="0.15">
      <c r="A272" t="s">
        <v>72</v>
      </c>
      <c r="B272" t="s">
        <v>5439</v>
      </c>
      <c r="C272" t="s">
        <v>74</v>
      </c>
      <c r="D272" t="s">
        <v>74</v>
      </c>
      <c r="E272" t="s">
        <v>74</v>
      </c>
      <c r="F272" t="s">
        <v>5440</v>
      </c>
      <c r="G272" t="s">
        <v>74</v>
      </c>
      <c r="H272" t="s">
        <v>74</v>
      </c>
      <c r="I272" t="s">
        <v>5441</v>
      </c>
      <c r="J272" t="s">
        <v>1000</v>
      </c>
      <c r="K272" t="s">
        <v>74</v>
      </c>
      <c r="L272" t="s">
        <v>74</v>
      </c>
      <c r="M272" t="s">
        <v>78</v>
      </c>
      <c r="N272" t="s">
        <v>79</v>
      </c>
      <c r="O272" t="s">
        <v>74</v>
      </c>
      <c r="P272" t="s">
        <v>74</v>
      </c>
      <c r="Q272" t="s">
        <v>74</v>
      </c>
      <c r="R272" t="s">
        <v>74</v>
      </c>
      <c r="S272" t="s">
        <v>74</v>
      </c>
      <c r="T272" t="s">
        <v>5442</v>
      </c>
      <c r="U272" t="s">
        <v>5443</v>
      </c>
      <c r="V272" t="s">
        <v>5444</v>
      </c>
      <c r="W272" t="s">
        <v>5445</v>
      </c>
      <c r="X272" t="s">
        <v>5446</v>
      </c>
      <c r="Y272" t="s">
        <v>5447</v>
      </c>
      <c r="Z272" t="s">
        <v>5448</v>
      </c>
      <c r="AA272" t="s">
        <v>5449</v>
      </c>
      <c r="AB272" t="s">
        <v>5450</v>
      </c>
      <c r="AC272" t="s">
        <v>5451</v>
      </c>
      <c r="AD272" t="s">
        <v>5452</v>
      </c>
      <c r="AE272" t="s">
        <v>5453</v>
      </c>
      <c r="AF272" t="s">
        <v>74</v>
      </c>
      <c r="AG272">
        <v>66</v>
      </c>
      <c r="AH272">
        <v>20</v>
      </c>
      <c r="AI272">
        <v>22</v>
      </c>
      <c r="AJ272">
        <v>3</v>
      </c>
      <c r="AK272">
        <v>83</v>
      </c>
      <c r="AL272" t="s">
        <v>986</v>
      </c>
      <c r="AM272" t="s">
        <v>430</v>
      </c>
      <c r="AN272" t="s">
        <v>1663</v>
      </c>
      <c r="AO272" t="s">
        <v>1013</v>
      </c>
      <c r="AP272" t="s">
        <v>1014</v>
      </c>
      <c r="AQ272" t="s">
        <v>74</v>
      </c>
      <c r="AR272" t="s">
        <v>1015</v>
      </c>
      <c r="AS272" t="s">
        <v>1016</v>
      </c>
      <c r="AT272" t="s">
        <v>4623</v>
      </c>
      <c r="AU272">
        <v>2017</v>
      </c>
      <c r="AV272">
        <v>40</v>
      </c>
      <c r="AW272">
        <v>5</v>
      </c>
      <c r="AX272" t="s">
        <v>74</v>
      </c>
      <c r="AY272" t="s">
        <v>74</v>
      </c>
      <c r="AZ272" t="s">
        <v>74</v>
      </c>
      <c r="BA272" t="s">
        <v>74</v>
      </c>
      <c r="BB272">
        <v>1007</v>
      </c>
      <c r="BC272">
        <v>1022</v>
      </c>
      <c r="BD272" t="s">
        <v>74</v>
      </c>
      <c r="BE272" t="s">
        <v>5454</v>
      </c>
      <c r="BF272" t="str">
        <f>HYPERLINK("http://dx.doi.org/10.1007/s00300-016-2025-8","http://dx.doi.org/10.1007/s00300-016-2025-8")</f>
        <v>http://dx.doi.org/10.1007/s00300-016-2025-8</v>
      </c>
      <c r="BG272" t="s">
        <v>74</v>
      </c>
      <c r="BH272" t="s">
        <v>74</v>
      </c>
      <c r="BI272">
        <v>16</v>
      </c>
      <c r="BJ272" t="s">
        <v>1018</v>
      </c>
      <c r="BK272" t="s">
        <v>103</v>
      </c>
      <c r="BL272" t="s">
        <v>326</v>
      </c>
      <c r="BM272" t="s">
        <v>5437</v>
      </c>
      <c r="BN272" t="s">
        <v>74</v>
      </c>
      <c r="BO272" t="s">
        <v>74</v>
      </c>
      <c r="BP272" t="s">
        <v>74</v>
      </c>
      <c r="BQ272" t="s">
        <v>74</v>
      </c>
      <c r="BR272" t="s">
        <v>106</v>
      </c>
      <c r="BS272" t="s">
        <v>5455</v>
      </c>
      <c r="BT272" t="str">
        <f>HYPERLINK("https%3A%2F%2Fwww.webofscience.com%2Fwos%2Fwoscc%2Ffull-record%2FWOS:000402123800005","View Full Record in Web of Science")</f>
        <v>View Full Record in Web of Science</v>
      </c>
    </row>
    <row r="273" spans="1:72" x14ac:dyDescent="0.15">
      <c r="A273" t="s">
        <v>72</v>
      </c>
      <c r="B273" t="s">
        <v>5456</v>
      </c>
      <c r="C273" t="s">
        <v>74</v>
      </c>
      <c r="D273" t="s">
        <v>74</v>
      </c>
      <c r="E273" t="s">
        <v>74</v>
      </c>
      <c r="F273" t="s">
        <v>5457</v>
      </c>
      <c r="G273" t="s">
        <v>74</v>
      </c>
      <c r="H273" t="s">
        <v>74</v>
      </c>
      <c r="I273" t="s">
        <v>5458</v>
      </c>
      <c r="J273" t="s">
        <v>1000</v>
      </c>
      <c r="K273" t="s">
        <v>74</v>
      </c>
      <c r="L273" t="s">
        <v>74</v>
      </c>
      <c r="M273" t="s">
        <v>78</v>
      </c>
      <c r="N273" t="s">
        <v>79</v>
      </c>
      <c r="O273" t="s">
        <v>74</v>
      </c>
      <c r="P273" t="s">
        <v>74</v>
      </c>
      <c r="Q273" t="s">
        <v>74</v>
      </c>
      <c r="R273" t="s">
        <v>74</v>
      </c>
      <c r="S273" t="s">
        <v>74</v>
      </c>
      <c r="T273" t="s">
        <v>5459</v>
      </c>
      <c r="U273" t="s">
        <v>5460</v>
      </c>
      <c r="V273" t="s">
        <v>5461</v>
      </c>
      <c r="W273" t="s">
        <v>5462</v>
      </c>
      <c r="X273" t="s">
        <v>5463</v>
      </c>
      <c r="Y273" t="s">
        <v>5464</v>
      </c>
      <c r="Z273" t="s">
        <v>5465</v>
      </c>
      <c r="AA273" t="s">
        <v>5466</v>
      </c>
      <c r="AB273" t="s">
        <v>5467</v>
      </c>
      <c r="AC273" t="s">
        <v>74</v>
      </c>
      <c r="AD273" t="s">
        <v>74</v>
      </c>
      <c r="AE273" t="s">
        <v>74</v>
      </c>
      <c r="AF273" t="s">
        <v>74</v>
      </c>
      <c r="AG273">
        <v>19</v>
      </c>
      <c r="AH273">
        <v>6</v>
      </c>
      <c r="AI273">
        <v>9</v>
      </c>
      <c r="AJ273">
        <v>0</v>
      </c>
      <c r="AK273">
        <v>5</v>
      </c>
      <c r="AL273" t="s">
        <v>986</v>
      </c>
      <c r="AM273" t="s">
        <v>430</v>
      </c>
      <c r="AN273" t="s">
        <v>987</v>
      </c>
      <c r="AO273" t="s">
        <v>1013</v>
      </c>
      <c r="AP273" t="s">
        <v>1014</v>
      </c>
      <c r="AQ273" t="s">
        <v>74</v>
      </c>
      <c r="AR273" t="s">
        <v>1015</v>
      </c>
      <c r="AS273" t="s">
        <v>1016</v>
      </c>
      <c r="AT273" t="s">
        <v>4623</v>
      </c>
      <c r="AU273">
        <v>2017</v>
      </c>
      <c r="AV273">
        <v>40</v>
      </c>
      <c r="AW273">
        <v>5</v>
      </c>
      <c r="AX273" t="s">
        <v>74</v>
      </c>
      <c r="AY273" t="s">
        <v>74</v>
      </c>
      <c r="AZ273" t="s">
        <v>74</v>
      </c>
      <c r="BA273" t="s">
        <v>74</v>
      </c>
      <c r="BB273">
        <v>1035</v>
      </c>
      <c r="BC273">
        <v>1042</v>
      </c>
      <c r="BD273" t="s">
        <v>74</v>
      </c>
      <c r="BE273" t="s">
        <v>5468</v>
      </c>
      <c r="BF273" t="str">
        <f>HYPERLINK("http://dx.doi.org/10.1007/s00300-016-2028-5","http://dx.doi.org/10.1007/s00300-016-2028-5")</f>
        <v>http://dx.doi.org/10.1007/s00300-016-2028-5</v>
      </c>
      <c r="BG273" t="s">
        <v>74</v>
      </c>
      <c r="BH273" t="s">
        <v>74</v>
      </c>
      <c r="BI273">
        <v>8</v>
      </c>
      <c r="BJ273" t="s">
        <v>1018</v>
      </c>
      <c r="BK273" t="s">
        <v>103</v>
      </c>
      <c r="BL273" t="s">
        <v>326</v>
      </c>
      <c r="BM273" t="s">
        <v>5437</v>
      </c>
      <c r="BN273" t="s">
        <v>74</v>
      </c>
      <c r="BO273" t="s">
        <v>74</v>
      </c>
      <c r="BP273" t="s">
        <v>74</v>
      </c>
      <c r="BQ273" t="s">
        <v>74</v>
      </c>
      <c r="BR273" t="s">
        <v>106</v>
      </c>
      <c r="BS273" t="s">
        <v>5469</v>
      </c>
      <c r="BT273" t="str">
        <f>HYPERLINK("https%3A%2F%2Fwww.webofscience.com%2Fwos%2Fwoscc%2Ffull-record%2FWOS:000402123800008","View Full Record in Web of Science")</f>
        <v>View Full Record in Web of Science</v>
      </c>
    </row>
    <row r="274" spans="1:72" x14ac:dyDescent="0.15">
      <c r="A274" t="s">
        <v>72</v>
      </c>
      <c r="B274" t="s">
        <v>5470</v>
      </c>
      <c r="C274" t="s">
        <v>74</v>
      </c>
      <c r="D274" t="s">
        <v>74</v>
      </c>
      <c r="E274" t="s">
        <v>74</v>
      </c>
      <c r="F274" t="s">
        <v>5471</v>
      </c>
      <c r="G274" t="s">
        <v>74</v>
      </c>
      <c r="H274" t="s">
        <v>74</v>
      </c>
      <c r="I274" t="s">
        <v>5472</v>
      </c>
      <c r="J274" t="s">
        <v>1000</v>
      </c>
      <c r="K274" t="s">
        <v>74</v>
      </c>
      <c r="L274" t="s">
        <v>74</v>
      </c>
      <c r="M274" t="s">
        <v>78</v>
      </c>
      <c r="N274" t="s">
        <v>79</v>
      </c>
      <c r="O274" t="s">
        <v>74</v>
      </c>
      <c r="P274" t="s">
        <v>74</v>
      </c>
      <c r="Q274" t="s">
        <v>74</v>
      </c>
      <c r="R274" t="s">
        <v>74</v>
      </c>
      <c r="S274" t="s">
        <v>74</v>
      </c>
      <c r="T274" t="s">
        <v>5473</v>
      </c>
      <c r="U274" t="s">
        <v>5474</v>
      </c>
      <c r="V274" t="s">
        <v>5475</v>
      </c>
      <c r="W274" t="s">
        <v>5476</v>
      </c>
      <c r="X274" t="s">
        <v>5477</v>
      </c>
      <c r="Y274" t="s">
        <v>5478</v>
      </c>
      <c r="Z274" t="s">
        <v>5479</v>
      </c>
      <c r="AA274" t="s">
        <v>74</v>
      </c>
      <c r="AB274" t="s">
        <v>74</v>
      </c>
      <c r="AC274" t="s">
        <v>5480</v>
      </c>
      <c r="AD274" t="s">
        <v>5481</v>
      </c>
      <c r="AE274" t="s">
        <v>5482</v>
      </c>
      <c r="AF274" t="s">
        <v>74</v>
      </c>
      <c r="AG274">
        <v>34</v>
      </c>
      <c r="AH274">
        <v>8</v>
      </c>
      <c r="AI274">
        <v>8</v>
      </c>
      <c r="AJ274">
        <v>0</v>
      </c>
      <c r="AK274">
        <v>2</v>
      </c>
      <c r="AL274" t="s">
        <v>986</v>
      </c>
      <c r="AM274" t="s">
        <v>430</v>
      </c>
      <c r="AN274" t="s">
        <v>987</v>
      </c>
      <c r="AO274" t="s">
        <v>1013</v>
      </c>
      <c r="AP274" t="s">
        <v>1014</v>
      </c>
      <c r="AQ274" t="s">
        <v>74</v>
      </c>
      <c r="AR274" t="s">
        <v>1015</v>
      </c>
      <c r="AS274" t="s">
        <v>1016</v>
      </c>
      <c r="AT274" t="s">
        <v>4623</v>
      </c>
      <c r="AU274">
        <v>2017</v>
      </c>
      <c r="AV274">
        <v>40</v>
      </c>
      <c r="AW274">
        <v>5</v>
      </c>
      <c r="AX274" t="s">
        <v>74</v>
      </c>
      <c r="AY274" t="s">
        <v>74</v>
      </c>
      <c r="AZ274" t="s">
        <v>74</v>
      </c>
      <c r="BA274" t="s">
        <v>74</v>
      </c>
      <c r="BB274">
        <v>1053</v>
      </c>
      <c r="BC274">
        <v>1061</v>
      </c>
      <c r="BD274" t="s">
        <v>74</v>
      </c>
      <c r="BE274" t="s">
        <v>5483</v>
      </c>
      <c r="BF274" t="str">
        <f>HYPERLINK("http://dx.doi.org/10.1007/s00300-016-2031-x","http://dx.doi.org/10.1007/s00300-016-2031-x")</f>
        <v>http://dx.doi.org/10.1007/s00300-016-2031-x</v>
      </c>
      <c r="BG274" t="s">
        <v>74</v>
      </c>
      <c r="BH274" t="s">
        <v>74</v>
      </c>
      <c r="BI274">
        <v>9</v>
      </c>
      <c r="BJ274" t="s">
        <v>1018</v>
      </c>
      <c r="BK274" t="s">
        <v>103</v>
      </c>
      <c r="BL274" t="s">
        <v>326</v>
      </c>
      <c r="BM274" t="s">
        <v>5437</v>
      </c>
      <c r="BN274" t="s">
        <v>74</v>
      </c>
      <c r="BO274" t="s">
        <v>74</v>
      </c>
      <c r="BP274" t="s">
        <v>74</v>
      </c>
      <c r="BQ274" t="s">
        <v>74</v>
      </c>
      <c r="BR274" t="s">
        <v>106</v>
      </c>
      <c r="BS274" t="s">
        <v>5484</v>
      </c>
      <c r="BT274" t="str">
        <f>HYPERLINK("https%3A%2F%2Fwww.webofscience.com%2Fwos%2Fwoscc%2Ffull-record%2FWOS:000402123800010","View Full Record in Web of Science")</f>
        <v>View Full Record in Web of Science</v>
      </c>
    </row>
    <row r="275" spans="1:72" x14ac:dyDescent="0.15">
      <c r="A275" t="s">
        <v>72</v>
      </c>
      <c r="B275" t="s">
        <v>5485</v>
      </c>
      <c r="C275" t="s">
        <v>74</v>
      </c>
      <c r="D275" t="s">
        <v>74</v>
      </c>
      <c r="E275" t="s">
        <v>74</v>
      </c>
      <c r="F275" t="s">
        <v>5486</v>
      </c>
      <c r="G275" t="s">
        <v>74</v>
      </c>
      <c r="H275" t="s">
        <v>74</v>
      </c>
      <c r="I275" t="s">
        <v>5487</v>
      </c>
      <c r="J275" t="s">
        <v>1000</v>
      </c>
      <c r="K275" t="s">
        <v>74</v>
      </c>
      <c r="L275" t="s">
        <v>74</v>
      </c>
      <c r="M275" t="s">
        <v>78</v>
      </c>
      <c r="N275" t="s">
        <v>79</v>
      </c>
      <c r="O275" t="s">
        <v>74</v>
      </c>
      <c r="P275" t="s">
        <v>74</v>
      </c>
      <c r="Q275" t="s">
        <v>74</v>
      </c>
      <c r="R275" t="s">
        <v>74</v>
      </c>
      <c r="S275" t="s">
        <v>74</v>
      </c>
      <c r="T275" t="s">
        <v>5488</v>
      </c>
      <c r="U275" t="s">
        <v>5489</v>
      </c>
      <c r="V275" t="s">
        <v>5490</v>
      </c>
      <c r="W275" t="s">
        <v>5491</v>
      </c>
      <c r="X275" t="s">
        <v>74</v>
      </c>
      <c r="Y275" t="s">
        <v>5492</v>
      </c>
      <c r="Z275" t="s">
        <v>5493</v>
      </c>
      <c r="AA275" t="s">
        <v>5494</v>
      </c>
      <c r="AB275" t="s">
        <v>5495</v>
      </c>
      <c r="AC275" t="s">
        <v>74</v>
      </c>
      <c r="AD275" t="s">
        <v>74</v>
      </c>
      <c r="AE275" t="s">
        <v>74</v>
      </c>
      <c r="AF275" t="s">
        <v>74</v>
      </c>
      <c r="AG275">
        <v>55</v>
      </c>
      <c r="AH275">
        <v>1</v>
      </c>
      <c r="AI275">
        <v>1</v>
      </c>
      <c r="AJ275">
        <v>0</v>
      </c>
      <c r="AK275">
        <v>11</v>
      </c>
      <c r="AL275" t="s">
        <v>986</v>
      </c>
      <c r="AM275" t="s">
        <v>430</v>
      </c>
      <c r="AN275" t="s">
        <v>987</v>
      </c>
      <c r="AO275" t="s">
        <v>1013</v>
      </c>
      <c r="AP275" t="s">
        <v>1014</v>
      </c>
      <c r="AQ275" t="s">
        <v>74</v>
      </c>
      <c r="AR275" t="s">
        <v>1015</v>
      </c>
      <c r="AS275" t="s">
        <v>1016</v>
      </c>
      <c r="AT275" t="s">
        <v>4623</v>
      </c>
      <c r="AU275">
        <v>2017</v>
      </c>
      <c r="AV275">
        <v>40</v>
      </c>
      <c r="AW275">
        <v>5</v>
      </c>
      <c r="AX275" t="s">
        <v>74</v>
      </c>
      <c r="AY275" t="s">
        <v>74</v>
      </c>
      <c r="AZ275" t="s">
        <v>74</v>
      </c>
      <c r="BA275" t="s">
        <v>74</v>
      </c>
      <c r="BB275">
        <v>1071</v>
      </c>
      <c r="BC275">
        <v>1083</v>
      </c>
      <c r="BD275" t="s">
        <v>74</v>
      </c>
      <c r="BE275" t="s">
        <v>5496</v>
      </c>
      <c r="BF275" t="str">
        <f>HYPERLINK("http://dx.doi.org/10.1007/s00300-016-2034-7","http://dx.doi.org/10.1007/s00300-016-2034-7")</f>
        <v>http://dx.doi.org/10.1007/s00300-016-2034-7</v>
      </c>
      <c r="BG275" t="s">
        <v>74</v>
      </c>
      <c r="BH275" t="s">
        <v>74</v>
      </c>
      <c r="BI275">
        <v>13</v>
      </c>
      <c r="BJ275" t="s">
        <v>1018</v>
      </c>
      <c r="BK275" t="s">
        <v>103</v>
      </c>
      <c r="BL275" t="s">
        <v>326</v>
      </c>
      <c r="BM275" t="s">
        <v>5437</v>
      </c>
      <c r="BN275" t="s">
        <v>74</v>
      </c>
      <c r="BO275" t="s">
        <v>74</v>
      </c>
      <c r="BP275" t="s">
        <v>74</v>
      </c>
      <c r="BQ275" t="s">
        <v>74</v>
      </c>
      <c r="BR275" t="s">
        <v>106</v>
      </c>
      <c r="BS275" t="s">
        <v>5497</v>
      </c>
      <c r="BT275" t="str">
        <f>HYPERLINK("https%3A%2F%2Fwww.webofscience.com%2Fwos%2Fwoscc%2Ffull-record%2FWOS:000402123800012","View Full Record in Web of Science")</f>
        <v>View Full Record in Web of Science</v>
      </c>
    </row>
    <row r="276" spans="1:72" x14ac:dyDescent="0.15">
      <c r="A276" t="s">
        <v>72</v>
      </c>
      <c r="B276" t="s">
        <v>5498</v>
      </c>
      <c r="C276" t="s">
        <v>74</v>
      </c>
      <c r="D276" t="s">
        <v>74</v>
      </c>
      <c r="E276" t="s">
        <v>74</v>
      </c>
      <c r="F276" t="s">
        <v>5499</v>
      </c>
      <c r="G276" t="s">
        <v>74</v>
      </c>
      <c r="H276" t="s">
        <v>74</v>
      </c>
      <c r="I276" t="s">
        <v>5500</v>
      </c>
      <c r="J276" t="s">
        <v>1000</v>
      </c>
      <c r="K276" t="s">
        <v>74</v>
      </c>
      <c r="L276" t="s">
        <v>74</v>
      </c>
      <c r="M276" t="s">
        <v>78</v>
      </c>
      <c r="N276" t="s">
        <v>79</v>
      </c>
      <c r="O276" t="s">
        <v>74</v>
      </c>
      <c r="P276" t="s">
        <v>74</v>
      </c>
      <c r="Q276" t="s">
        <v>74</v>
      </c>
      <c r="R276" t="s">
        <v>74</v>
      </c>
      <c r="S276" t="s">
        <v>74</v>
      </c>
      <c r="T276" t="s">
        <v>5501</v>
      </c>
      <c r="U276" t="s">
        <v>5502</v>
      </c>
      <c r="V276" t="s">
        <v>5503</v>
      </c>
      <c r="W276" t="s">
        <v>5504</v>
      </c>
      <c r="X276" t="s">
        <v>5505</v>
      </c>
      <c r="Y276" t="s">
        <v>5506</v>
      </c>
      <c r="Z276" t="s">
        <v>5507</v>
      </c>
      <c r="AA276" t="s">
        <v>74</v>
      </c>
      <c r="AB276" t="s">
        <v>74</v>
      </c>
      <c r="AC276" t="s">
        <v>5508</v>
      </c>
      <c r="AD276" t="s">
        <v>5508</v>
      </c>
      <c r="AE276" t="s">
        <v>5509</v>
      </c>
      <c r="AF276" t="s">
        <v>74</v>
      </c>
      <c r="AG276">
        <v>53</v>
      </c>
      <c r="AH276">
        <v>2</v>
      </c>
      <c r="AI276">
        <v>2</v>
      </c>
      <c r="AJ276">
        <v>1</v>
      </c>
      <c r="AK276">
        <v>15</v>
      </c>
      <c r="AL276" t="s">
        <v>986</v>
      </c>
      <c r="AM276" t="s">
        <v>430</v>
      </c>
      <c r="AN276" t="s">
        <v>987</v>
      </c>
      <c r="AO276" t="s">
        <v>1013</v>
      </c>
      <c r="AP276" t="s">
        <v>1014</v>
      </c>
      <c r="AQ276" t="s">
        <v>74</v>
      </c>
      <c r="AR276" t="s">
        <v>1015</v>
      </c>
      <c r="AS276" t="s">
        <v>1016</v>
      </c>
      <c r="AT276" t="s">
        <v>4623</v>
      </c>
      <c r="AU276">
        <v>2017</v>
      </c>
      <c r="AV276">
        <v>40</v>
      </c>
      <c r="AW276">
        <v>5</v>
      </c>
      <c r="AX276" t="s">
        <v>74</v>
      </c>
      <c r="AY276" t="s">
        <v>74</v>
      </c>
      <c r="AZ276" t="s">
        <v>74</v>
      </c>
      <c r="BA276" t="s">
        <v>74</v>
      </c>
      <c r="BB276">
        <v>1139</v>
      </c>
      <c r="BC276">
        <v>1148</v>
      </c>
      <c r="BD276" t="s">
        <v>74</v>
      </c>
      <c r="BE276" t="s">
        <v>5510</v>
      </c>
      <c r="BF276" t="str">
        <f>HYPERLINK("http://dx.doi.org/10.1007/s00300-016-2042-7","http://dx.doi.org/10.1007/s00300-016-2042-7")</f>
        <v>http://dx.doi.org/10.1007/s00300-016-2042-7</v>
      </c>
      <c r="BG276" t="s">
        <v>74</v>
      </c>
      <c r="BH276" t="s">
        <v>74</v>
      </c>
      <c r="BI276">
        <v>10</v>
      </c>
      <c r="BJ276" t="s">
        <v>1018</v>
      </c>
      <c r="BK276" t="s">
        <v>103</v>
      </c>
      <c r="BL276" t="s">
        <v>326</v>
      </c>
      <c r="BM276" t="s">
        <v>5437</v>
      </c>
      <c r="BN276" t="s">
        <v>74</v>
      </c>
      <c r="BO276" t="s">
        <v>74</v>
      </c>
      <c r="BP276" t="s">
        <v>74</v>
      </c>
      <c r="BQ276" t="s">
        <v>74</v>
      </c>
      <c r="BR276" t="s">
        <v>106</v>
      </c>
      <c r="BS276" t="s">
        <v>5511</v>
      </c>
      <c r="BT276" t="str">
        <f>HYPERLINK("https%3A%2F%2Fwww.webofscience.com%2Fwos%2Fwoscc%2Ffull-record%2FWOS:000402123800017","View Full Record in Web of Science")</f>
        <v>View Full Record in Web of Science</v>
      </c>
    </row>
    <row r="277" spans="1:72" x14ac:dyDescent="0.15">
      <c r="A277" t="s">
        <v>72</v>
      </c>
      <c r="B277" t="s">
        <v>5512</v>
      </c>
      <c r="C277" t="s">
        <v>74</v>
      </c>
      <c r="D277" t="s">
        <v>74</v>
      </c>
      <c r="E277" t="s">
        <v>74</v>
      </c>
      <c r="F277" t="s">
        <v>5513</v>
      </c>
      <c r="G277" t="s">
        <v>74</v>
      </c>
      <c r="H277" t="s">
        <v>74</v>
      </c>
      <c r="I277" t="s">
        <v>5514</v>
      </c>
      <c r="J277" t="s">
        <v>1000</v>
      </c>
      <c r="K277" t="s">
        <v>74</v>
      </c>
      <c r="L277" t="s">
        <v>74</v>
      </c>
      <c r="M277" t="s">
        <v>78</v>
      </c>
      <c r="N277" t="s">
        <v>1041</v>
      </c>
      <c r="O277" t="s">
        <v>74</v>
      </c>
      <c r="P277" t="s">
        <v>74</v>
      </c>
      <c r="Q277" t="s">
        <v>74</v>
      </c>
      <c r="R277" t="s">
        <v>74</v>
      </c>
      <c r="S277" t="s">
        <v>74</v>
      </c>
      <c r="T277" t="s">
        <v>74</v>
      </c>
      <c r="U277" t="s">
        <v>74</v>
      </c>
      <c r="V277" t="s">
        <v>74</v>
      </c>
      <c r="W277" t="s">
        <v>5515</v>
      </c>
      <c r="X277" t="s">
        <v>5516</v>
      </c>
      <c r="Y277" t="s">
        <v>5517</v>
      </c>
      <c r="Z277" t="s">
        <v>5518</v>
      </c>
      <c r="AA277" t="s">
        <v>5519</v>
      </c>
      <c r="AB277" t="s">
        <v>5520</v>
      </c>
      <c r="AC277" t="s">
        <v>74</v>
      </c>
      <c r="AD277" t="s">
        <v>74</v>
      </c>
      <c r="AE277" t="s">
        <v>74</v>
      </c>
      <c r="AF277" t="s">
        <v>74</v>
      </c>
      <c r="AG277">
        <v>1</v>
      </c>
      <c r="AH277">
        <v>1</v>
      </c>
      <c r="AI277">
        <v>1</v>
      </c>
      <c r="AJ277">
        <v>1</v>
      </c>
      <c r="AK277">
        <v>6</v>
      </c>
      <c r="AL277" t="s">
        <v>986</v>
      </c>
      <c r="AM277" t="s">
        <v>430</v>
      </c>
      <c r="AN277" t="s">
        <v>987</v>
      </c>
      <c r="AO277" t="s">
        <v>1013</v>
      </c>
      <c r="AP277" t="s">
        <v>1014</v>
      </c>
      <c r="AQ277" t="s">
        <v>74</v>
      </c>
      <c r="AR277" t="s">
        <v>1015</v>
      </c>
      <c r="AS277" t="s">
        <v>1016</v>
      </c>
      <c r="AT277" t="s">
        <v>4623</v>
      </c>
      <c r="AU277">
        <v>2017</v>
      </c>
      <c r="AV277">
        <v>40</v>
      </c>
      <c r="AW277">
        <v>5</v>
      </c>
      <c r="AX277" t="s">
        <v>74</v>
      </c>
      <c r="AY277" t="s">
        <v>74</v>
      </c>
      <c r="AZ277" t="s">
        <v>74</v>
      </c>
      <c r="BA277" t="s">
        <v>74</v>
      </c>
      <c r="BB277">
        <v>1167</v>
      </c>
      <c r="BC277">
        <v>1168</v>
      </c>
      <c r="BD277" t="s">
        <v>74</v>
      </c>
      <c r="BE277" t="s">
        <v>5521</v>
      </c>
      <c r="BF277" t="str">
        <f>HYPERLINK("http://dx.doi.org/10.1007/s00300-016-2050-7","http://dx.doi.org/10.1007/s00300-016-2050-7")</f>
        <v>http://dx.doi.org/10.1007/s00300-016-2050-7</v>
      </c>
      <c r="BG277" t="s">
        <v>74</v>
      </c>
      <c r="BH277" t="s">
        <v>74</v>
      </c>
      <c r="BI277">
        <v>2</v>
      </c>
      <c r="BJ277" t="s">
        <v>1018</v>
      </c>
      <c r="BK277" t="s">
        <v>103</v>
      </c>
      <c r="BL277" t="s">
        <v>326</v>
      </c>
      <c r="BM277" t="s">
        <v>5437</v>
      </c>
      <c r="BN277" t="s">
        <v>74</v>
      </c>
      <c r="BO277" t="s">
        <v>2510</v>
      </c>
      <c r="BP277" t="s">
        <v>74</v>
      </c>
      <c r="BQ277" t="s">
        <v>74</v>
      </c>
      <c r="BR277" t="s">
        <v>106</v>
      </c>
      <c r="BS277" t="s">
        <v>5522</v>
      </c>
      <c r="BT277" t="str">
        <f>HYPERLINK("https%3A%2F%2Fwww.webofscience.com%2Fwos%2Fwoscc%2Ffull-record%2FWOS:000402123800019","View Full Record in Web of Science")</f>
        <v>View Full Record in Web of Science</v>
      </c>
    </row>
    <row r="278" spans="1:72" x14ac:dyDescent="0.15">
      <c r="A278" t="s">
        <v>72</v>
      </c>
      <c r="B278" t="s">
        <v>5523</v>
      </c>
      <c r="C278" t="s">
        <v>74</v>
      </c>
      <c r="D278" t="s">
        <v>74</v>
      </c>
      <c r="E278" t="s">
        <v>74</v>
      </c>
      <c r="F278" t="s">
        <v>5524</v>
      </c>
      <c r="G278" t="s">
        <v>74</v>
      </c>
      <c r="H278" t="s">
        <v>74</v>
      </c>
      <c r="I278" t="s">
        <v>5525</v>
      </c>
      <c r="J278" t="s">
        <v>5526</v>
      </c>
      <c r="K278" t="s">
        <v>74</v>
      </c>
      <c r="L278" t="s">
        <v>74</v>
      </c>
      <c r="M278" t="s">
        <v>78</v>
      </c>
      <c r="N278" t="s">
        <v>5527</v>
      </c>
      <c r="O278" t="s">
        <v>74</v>
      </c>
      <c r="P278" t="s">
        <v>74</v>
      </c>
      <c r="Q278" t="s">
        <v>74</v>
      </c>
      <c r="R278" t="s">
        <v>74</v>
      </c>
      <c r="S278" t="s">
        <v>74</v>
      </c>
      <c r="T278" t="s">
        <v>74</v>
      </c>
      <c r="U278" t="s">
        <v>74</v>
      </c>
      <c r="V278" t="s">
        <v>74</v>
      </c>
      <c r="W278" t="s">
        <v>5528</v>
      </c>
      <c r="X278" t="s">
        <v>5529</v>
      </c>
      <c r="Y278" t="s">
        <v>5530</v>
      </c>
      <c r="Z278" t="s">
        <v>74</v>
      </c>
      <c r="AA278" t="s">
        <v>74</v>
      </c>
      <c r="AB278" t="s">
        <v>74</v>
      </c>
      <c r="AC278" t="s">
        <v>74</v>
      </c>
      <c r="AD278" t="s">
        <v>74</v>
      </c>
      <c r="AE278" t="s">
        <v>74</v>
      </c>
      <c r="AF278" t="s">
        <v>74</v>
      </c>
      <c r="AG278">
        <v>1</v>
      </c>
      <c r="AH278">
        <v>0</v>
      </c>
      <c r="AI278">
        <v>0</v>
      </c>
      <c r="AJ278">
        <v>0</v>
      </c>
      <c r="AK278">
        <v>0</v>
      </c>
      <c r="AL278" t="s">
        <v>5531</v>
      </c>
      <c r="AM278" t="s">
        <v>5030</v>
      </c>
      <c r="AN278" t="s">
        <v>5532</v>
      </c>
      <c r="AO278" t="s">
        <v>5533</v>
      </c>
      <c r="AP278" t="s">
        <v>5534</v>
      </c>
      <c r="AQ278" t="s">
        <v>74</v>
      </c>
      <c r="AR278" t="s">
        <v>5535</v>
      </c>
      <c r="AS278" t="s">
        <v>5536</v>
      </c>
      <c r="AT278" t="s">
        <v>4623</v>
      </c>
      <c r="AU278">
        <v>2017</v>
      </c>
      <c r="AV278">
        <v>49</v>
      </c>
      <c r="AW278">
        <v>2</v>
      </c>
      <c r="AX278" t="s">
        <v>74</v>
      </c>
      <c r="AY278" t="s">
        <v>74</v>
      </c>
      <c r="AZ278" t="s">
        <v>74</v>
      </c>
      <c r="BA278" t="s">
        <v>74</v>
      </c>
      <c r="BB278">
        <v>197</v>
      </c>
      <c r="BC278">
        <v>199</v>
      </c>
      <c r="BD278" t="s">
        <v>74</v>
      </c>
      <c r="BE278" t="s">
        <v>5537</v>
      </c>
      <c r="BF278" t="str">
        <f>HYPERLINK("http://dx.doi.org/10.1657/AAAR0049-2-Memoriam","http://dx.doi.org/10.1657/AAAR0049-2-Memoriam")</f>
        <v>http://dx.doi.org/10.1657/AAAR0049-2-Memoriam</v>
      </c>
      <c r="BG278" t="s">
        <v>74</v>
      </c>
      <c r="BH278" t="s">
        <v>74</v>
      </c>
      <c r="BI278">
        <v>3</v>
      </c>
      <c r="BJ278" t="s">
        <v>5538</v>
      </c>
      <c r="BK278" t="s">
        <v>103</v>
      </c>
      <c r="BL278" t="s">
        <v>5539</v>
      </c>
      <c r="BM278" t="s">
        <v>5540</v>
      </c>
      <c r="BN278" t="s">
        <v>74</v>
      </c>
      <c r="BO278" t="s">
        <v>412</v>
      </c>
      <c r="BP278" t="s">
        <v>74</v>
      </c>
      <c r="BQ278" t="s">
        <v>74</v>
      </c>
      <c r="BR278" t="s">
        <v>106</v>
      </c>
      <c r="BS278" t="s">
        <v>5541</v>
      </c>
      <c r="BT278" t="str">
        <f>HYPERLINK("https%3A%2F%2Fwww.webofscience.com%2Fwos%2Fwoscc%2Ffull-record%2FWOS:000402283000001","View Full Record in Web of Science")</f>
        <v>View Full Record in Web of Science</v>
      </c>
    </row>
    <row r="279" spans="1:72" x14ac:dyDescent="0.15">
      <c r="A279" t="s">
        <v>72</v>
      </c>
      <c r="B279" t="s">
        <v>5542</v>
      </c>
      <c r="C279" t="s">
        <v>74</v>
      </c>
      <c r="D279" t="s">
        <v>74</v>
      </c>
      <c r="E279" t="s">
        <v>74</v>
      </c>
      <c r="F279" t="s">
        <v>5543</v>
      </c>
      <c r="G279" t="s">
        <v>74</v>
      </c>
      <c r="H279" t="s">
        <v>74</v>
      </c>
      <c r="I279" t="s">
        <v>5544</v>
      </c>
      <c r="J279" t="s">
        <v>5526</v>
      </c>
      <c r="K279" t="s">
        <v>74</v>
      </c>
      <c r="L279" t="s">
        <v>74</v>
      </c>
      <c r="M279" t="s">
        <v>78</v>
      </c>
      <c r="N279" t="s">
        <v>79</v>
      </c>
      <c r="O279" t="s">
        <v>74</v>
      </c>
      <c r="P279" t="s">
        <v>74</v>
      </c>
      <c r="Q279" t="s">
        <v>74</v>
      </c>
      <c r="R279" t="s">
        <v>74</v>
      </c>
      <c r="S279" t="s">
        <v>74</v>
      </c>
      <c r="T279" t="s">
        <v>74</v>
      </c>
      <c r="U279" t="s">
        <v>5545</v>
      </c>
      <c r="V279" t="s">
        <v>5546</v>
      </c>
      <c r="W279" t="s">
        <v>5547</v>
      </c>
      <c r="X279" t="s">
        <v>5548</v>
      </c>
      <c r="Y279" t="s">
        <v>5549</v>
      </c>
      <c r="Z279" t="s">
        <v>5550</v>
      </c>
      <c r="AA279" t="s">
        <v>5551</v>
      </c>
      <c r="AB279" t="s">
        <v>5552</v>
      </c>
      <c r="AC279" t="s">
        <v>5553</v>
      </c>
      <c r="AD279" t="s">
        <v>5554</v>
      </c>
      <c r="AE279" t="s">
        <v>5555</v>
      </c>
      <c r="AF279" t="s">
        <v>74</v>
      </c>
      <c r="AG279">
        <v>45</v>
      </c>
      <c r="AH279">
        <v>5</v>
      </c>
      <c r="AI279">
        <v>5</v>
      </c>
      <c r="AJ279">
        <v>0</v>
      </c>
      <c r="AK279">
        <v>23</v>
      </c>
      <c r="AL279" t="s">
        <v>5531</v>
      </c>
      <c r="AM279" t="s">
        <v>5030</v>
      </c>
      <c r="AN279" t="s">
        <v>5532</v>
      </c>
      <c r="AO279" t="s">
        <v>5533</v>
      </c>
      <c r="AP279" t="s">
        <v>5534</v>
      </c>
      <c r="AQ279" t="s">
        <v>74</v>
      </c>
      <c r="AR279" t="s">
        <v>5535</v>
      </c>
      <c r="AS279" t="s">
        <v>5536</v>
      </c>
      <c r="AT279" t="s">
        <v>4623</v>
      </c>
      <c r="AU279">
        <v>2017</v>
      </c>
      <c r="AV279">
        <v>49</v>
      </c>
      <c r="AW279">
        <v>2</v>
      </c>
      <c r="AX279" t="s">
        <v>74</v>
      </c>
      <c r="AY279" t="s">
        <v>74</v>
      </c>
      <c r="AZ279" t="s">
        <v>74</v>
      </c>
      <c r="BA279" t="s">
        <v>74</v>
      </c>
      <c r="BB279">
        <v>201</v>
      </c>
      <c r="BC279">
        <v>211</v>
      </c>
      <c r="BD279" t="s">
        <v>74</v>
      </c>
      <c r="BE279" t="s">
        <v>5556</v>
      </c>
      <c r="BF279" t="str">
        <f>HYPERLINK("http://dx.doi.org/10.1657/AAAR0016-020","http://dx.doi.org/10.1657/AAAR0016-020")</f>
        <v>http://dx.doi.org/10.1657/AAAR0016-020</v>
      </c>
      <c r="BG279" t="s">
        <v>74</v>
      </c>
      <c r="BH279" t="s">
        <v>74</v>
      </c>
      <c r="BI279">
        <v>11</v>
      </c>
      <c r="BJ279" t="s">
        <v>5538</v>
      </c>
      <c r="BK279" t="s">
        <v>103</v>
      </c>
      <c r="BL279" t="s">
        <v>5539</v>
      </c>
      <c r="BM279" t="s">
        <v>5540</v>
      </c>
      <c r="BN279" t="s">
        <v>74</v>
      </c>
      <c r="BO279" t="s">
        <v>5557</v>
      </c>
      <c r="BP279" t="s">
        <v>74</v>
      </c>
      <c r="BQ279" t="s">
        <v>74</v>
      </c>
      <c r="BR279" t="s">
        <v>106</v>
      </c>
      <c r="BS279" t="s">
        <v>5558</v>
      </c>
      <c r="BT279" t="str">
        <f>HYPERLINK("https%3A%2F%2Fwww.webofscience.com%2Fwos%2Fwoscc%2Ffull-record%2FWOS:000402283000002","View Full Record in Web of Science")</f>
        <v>View Full Record in Web of Science</v>
      </c>
    </row>
    <row r="280" spans="1:72" x14ac:dyDescent="0.15">
      <c r="A280" t="s">
        <v>72</v>
      </c>
      <c r="B280" t="s">
        <v>5559</v>
      </c>
      <c r="C280" t="s">
        <v>74</v>
      </c>
      <c r="D280" t="s">
        <v>74</v>
      </c>
      <c r="E280" t="s">
        <v>74</v>
      </c>
      <c r="F280" t="s">
        <v>5560</v>
      </c>
      <c r="G280" t="s">
        <v>74</v>
      </c>
      <c r="H280" t="s">
        <v>74</v>
      </c>
      <c r="I280" t="s">
        <v>5561</v>
      </c>
      <c r="J280" t="s">
        <v>5526</v>
      </c>
      <c r="K280" t="s">
        <v>74</v>
      </c>
      <c r="L280" t="s">
        <v>74</v>
      </c>
      <c r="M280" t="s">
        <v>78</v>
      </c>
      <c r="N280" t="s">
        <v>79</v>
      </c>
      <c r="O280" t="s">
        <v>74</v>
      </c>
      <c r="P280" t="s">
        <v>74</v>
      </c>
      <c r="Q280" t="s">
        <v>74</v>
      </c>
      <c r="R280" t="s">
        <v>74</v>
      </c>
      <c r="S280" t="s">
        <v>74</v>
      </c>
      <c r="T280" t="s">
        <v>74</v>
      </c>
      <c r="U280" t="s">
        <v>5562</v>
      </c>
      <c r="V280" t="s">
        <v>5563</v>
      </c>
      <c r="W280" t="s">
        <v>5564</v>
      </c>
      <c r="X280" t="s">
        <v>5565</v>
      </c>
      <c r="Y280" t="s">
        <v>5566</v>
      </c>
      <c r="Z280" t="s">
        <v>5567</v>
      </c>
      <c r="AA280" t="s">
        <v>5568</v>
      </c>
      <c r="AB280" t="s">
        <v>74</v>
      </c>
      <c r="AC280" t="s">
        <v>5569</v>
      </c>
      <c r="AD280" t="s">
        <v>5570</v>
      </c>
      <c r="AE280" t="s">
        <v>5571</v>
      </c>
      <c r="AF280" t="s">
        <v>74</v>
      </c>
      <c r="AG280">
        <v>45</v>
      </c>
      <c r="AH280">
        <v>6</v>
      </c>
      <c r="AI280">
        <v>7</v>
      </c>
      <c r="AJ280">
        <v>3</v>
      </c>
      <c r="AK280">
        <v>28</v>
      </c>
      <c r="AL280" t="s">
        <v>5572</v>
      </c>
      <c r="AM280" t="s">
        <v>5573</v>
      </c>
      <c r="AN280" t="s">
        <v>5574</v>
      </c>
      <c r="AO280" t="s">
        <v>5533</v>
      </c>
      <c r="AP280" t="s">
        <v>5534</v>
      </c>
      <c r="AQ280" t="s">
        <v>74</v>
      </c>
      <c r="AR280" t="s">
        <v>5535</v>
      </c>
      <c r="AS280" t="s">
        <v>5536</v>
      </c>
      <c r="AT280" t="s">
        <v>4623</v>
      </c>
      <c r="AU280">
        <v>2017</v>
      </c>
      <c r="AV280">
        <v>49</v>
      </c>
      <c r="AW280">
        <v>2</v>
      </c>
      <c r="AX280" t="s">
        <v>74</v>
      </c>
      <c r="AY280" t="s">
        <v>74</v>
      </c>
      <c r="AZ280" t="s">
        <v>74</v>
      </c>
      <c r="BA280" t="s">
        <v>74</v>
      </c>
      <c r="BB280">
        <v>213</v>
      </c>
      <c r="BC280">
        <v>225</v>
      </c>
      <c r="BD280" t="s">
        <v>74</v>
      </c>
      <c r="BE280" t="s">
        <v>5575</v>
      </c>
      <c r="BF280" t="str">
        <f>HYPERLINK("http://dx.doi.org/10.1657/AAAR0015-032","http://dx.doi.org/10.1657/AAAR0015-032")</f>
        <v>http://dx.doi.org/10.1657/AAAR0015-032</v>
      </c>
      <c r="BG280" t="s">
        <v>74</v>
      </c>
      <c r="BH280" t="s">
        <v>74</v>
      </c>
      <c r="BI280">
        <v>13</v>
      </c>
      <c r="BJ280" t="s">
        <v>5538</v>
      </c>
      <c r="BK280" t="s">
        <v>103</v>
      </c>
      <c r="BL280" t="s">
        <v>5539</v>
      </c>
      <c r="BM280" t="s">
        <v>5540</v>
      </c>
      <c r="BN280" t="s">
        <v>74</v>
      </c>
      <c r="BO280" t="s">
        <v>5576</v>
      </c>
      <c r="BP280" t="s">
        <v>74</v>
      </c>
      <c r="BQ280" t="s">
        <v>74</v>
      </c>
      <c r="BR280" t="s">
        <v>106</v>
      </c>
      <c r="BS280" t="s">
        <v>5577</v>
      </c>
      <c r="BT280" t="str">
        <f>HYPERLINK("https%3A%2F%2Fwww.webofscience.com%2Fwos%2Fwoscc%2Ffull-record%2FWOS:000402283000003","View Full Record in Web of Science")</f>
        <v>View Full Record in Web of Science</v>
      </c>
    </row>
    <row r="281" spans="1:72" x14ac:dyDescent="0.15">
      <c r="A281" t="s">
        <v>72</v>
      </c>
      <c r="B281" t="s">
        <v>5578</v>
      </c>
      <c r="C281" t="s">
        <v>74</v>
      </c>
      <c r="D281" t="s">
        <v>74</v>
      </c>
      <c r="E281" t="s">
        <v>74</v>
      </c>
      <c r="F281" t="s">
        <v>5579</v>
      </c>
      <c r="G281" t="s">
        <v>74</v>
      </c>
      <c r="H281" t="s">
        <v>74</v>
      </c>
      <c r="I281" t="s">
        <v>5580</v>
      </c>
      <c r="J281" t="s">
        <v>5526</v>
      </c>
      <c r="K281" t="s">
        <v>74</v>
      </c>
      <c r="L281" t="s">
        <v>74</v>
      </c>
      <c r="M281" t="s">
        <v>78</v>
      </c>
      <c r="N281" t="s">
        <v>79</v>
      </c>
      <c r="O281" t="s">
        <v>74</v>
      </c>
      <c r="P281" t="s">
        <v>74</v>
      </c>
      <c r="Q281" t="s">
        <v>74</v>
      </c>
      <c r="R281" t="s">
        <v>74</v>
      </c>
      <c r="S281" t="s">
        <v>74</v>
      </c>
      <c r="T281" t="s">
        <v>74</v>
      </c>
      <c r="U281" t="s">
        <v>5581</v>
      </c>
      <c r="V281" t="s">
        <v>5582</v>
      </c>
      <c r="W281" t="s">
        <v>5583</v>
      </c>
      <c r="X281" t="s">
        <v>5584</v>
      </c>
      <c r="Y281" t="s">
        <v>5585</v>
      </c>
      <c r="Z281" t="s">
        <v>5586</v>
      </c>
      <c r="AA281" t="s">
        <v>5587</v>
      </c>
      <c r="AB281" t="s">
        <v>5588</v>
      </c>
      <c r="AC281" t="s">
        <v>5589</v>
      </c>
      <c r="AD281" t="s">
        <v>5590</v>
      </c>
      <c r="AE281" t="s">
        <v>5591</v>
      </c>
      <c r="AF281" t="s">
        <v>74</v>
      </c>
      <c r="AG281">
        <v>82</v>
      </c>
      <c r="AH281">
        <v>19</v>
      </c>
      <c r="AI281">
        <v>20</v>
      </c>
      <c r="AJ281">
        <v>5</v>
      </c>
      <c r="AK281">
        <v>44</v>
      </c>
      <c r="AL281" t="s">
        <v>5572</v>
      </c>
      <c r="AM281" t="s">
        <v>5573</v>
      </c>
      <c r="AN281" t="s">
        <v>5574</v>
      </c>
      <c r="AO281" t="s">
        <v>5533</v>
      </c>
      <c r="AP281" t="s">
        <v>5534</v>
      </c>
      <c r="AQ281" t="s">
        <v>74</v>
      </c>
      <c r="AR281" t="s">
        <v>5535</v>
      </c>
      <c r="AS281" t="s">
        <v>5536</v>
      </c>
      <c r="AT281" t="s">
        <v>4623</v>
      </c>
      <c r="AU281">
        <v>2017</v>
      </c>
      <c r="AV281">
        <v>49</v>
      </c>
      <c r="AW281">
        <v>2</v>
      </c>
      <c r="AX281" t="s">
        <v>74</v>
      </c>
      <c r="AY281" t="s">
        <v>74</v>
      </c>
      <c r="AZ281" t="s">
        <v>74</v>
      </c>
      <c r="BA281" t="s">
        <v>74</v>
      </c>
      <c r="BB281">
        <v>227</v>
      </c>
      <c r="BC281">
        <v>242</v>
      </c>
      <c r="BD281" t="s">
        <v>74</v>
      </c>
      <c r="BE281" t="s">
        <v>5592</v>
      </c>
      <c r="BF281" t="str">
        <f>HYPERLINK("http://dx.doi.org/10.1657/AAAR0016-037","http://dx.doi.org/10.1657/AAAR0016-037")</f>
        <v>http://dx.doi.org/10.1657/AAAR0016-037</v>
      </c>
      <c r="BG281" t="s">
        <v>74</v>
      </c>
      <c r="BH281" t="s">
        <v>74</v>
      </c>
      <c r="BI281">
        <v>16</v>
      </c>
      <c r="BJ281" t="s">
        <v>5538</v>
      </c>
      <c r="BK281" t="s">
        <v>103</v>
      </c>
      <c r="BL281" t="s">
        <v>5539</v>
      </c>
      <c r="BM281" t="s">
        <v>5540</v>
      </c>
      <c r="BN281" t="s">
        <v>74</v>
      </c>
      <c r="BO281" t="s">
        <v>5593</v>
      </c>
      <c r="BP281" t="s">
        <v>74</v>
      </c>
      <c r="BQ281" t="s">
        <v>74</v>
      </c>
      <c r="BR281" t="s">
        <v>106</v>
      </c>
      <c r="BS281" t="s">
        <v>5594</v>
      </c>
      <c r="BT281" t="str">
        <f>HYPERLINK("https%3A%2F%2Fwww.webofscience.com%2Fwos%2Fwoscc%2Ffull-record%2FWOS:000402283000004","View Full Record in Web of Science")</f>
        <v>View Full Record in Web of Science</v>
      </c>
    </row>
    <row r="282" spans="1:72" x14ac:dyDescent="0.15">
      <c r="A282" t="s">
        <v>72</v>
      </c>
      <c r="B282" t="s">
        <v>5595</v>
      </c>
      <c r="C282" t="s">
        <v>74</v>
      </c>
      <c r="D282" t="s">
        <v>74</v>
      </c>
      <c r="E282" t="s">
        <v>74</v>
      </c>
      <c r="F282" t="s">
        <v>5596</v>
      </c>
      <c r="G282" t="s">
        <v>74</v>
      </c>
      <c r="H282" t="s">
        <v>74</v>
      </c>
      <c r="I282" t="s">
        <v>5597</v>
      </c>
      <c r="J282" t="s">
        <v>5526</v>
      </c>
      <c r="K282" t="s">
        <v>74</v>
      </c>
      <c r="L282" t="s">
        <v>74</v>
      </c>
      <c r="M282" t="s">
        <v>78</v>
      </c>
      <c r="N282" t="s">
        <v>79</v>
      </c>
      <c r="O282" t="s">
        <v>74</v>
      </c>
      <c r="P282" t="s">
        <v>74</v>
      </c>
      <c r="Q282" t="s">
        <v>74</v>
      </c>
      <c r="R282" t="s">
        <v>74</v>
      </c>
      <c r="S282" t="s">
        <v>74</v>
      </c>
      <c r="T282" t="s">
        <v>74</v>
      </c>
      <c r="U282" t="s">
        <v>5598</v>
      </c>
      <c r="V282" t="s">
        <v>5599</v>
      </c>
      <c r="W282" t="s">
        <v>5600</v>
      </c>
      <c r="X282" t="s">
        <v>5601</v>
      </c>
      <c r="Y282" t="s">
        <v>5602</v>
      </c>
      <c r="Z282" t="s">
        <v>5603</v>
      </c>
      <c r="AA282" t="s">
        <v>74</v>
      </c>
      <c r="AB282" t="s">
        <v>5604</v>
      </c>
      <c r="AC282" t="s">
        <v>5605</v>
      </c>
      <c r="AD282" t="s">
        <v>5605</v>
      </c>
      <c r="AE282" t="s">
        <v>5606</v>
      </c>
      <c r="AF282" t="s">
        <v>74</v>
      </c>
      <c r="AG282">
        <v>42</v>
      </c>
      <c r="AH282">
        <v>1</v>
      </c>
      <c r="AI282">
        <v>3</v>
      </c>
      <c r="AJ282">
        <v>0</v>
      </c>
      <c r="AK282">
        <v>17</v>
      </c>
      <c r="AL282" t="s">
        <v>5572</v>
      </c>
      <c r="AM282" t="s">
        <v>5573</v>
      </c>
      <c r="AN282" t="s">
        <v>5574</v>
      </c>
      <c r="AO282" t="s">
        <v>5533</v>
      </c>
      <c r="AP282" t="s">
        <v>5534</v>
      </c>
      <c r="AQ282" t="s">
        <v>74</v>
      </c>
      <c r="AR282" t="s">
        <v>5535</v>
      </c>
      <c r="AS282" t="s">
        <v>5536</v>
      </c>
      <c r="AT282" t="s">
        <v>4623</v>
      </c>
      <c r="AU282">
        <v>2017</v>
      </c>
      <c r="AV282">
        <v>49</v>
      </c>
      <c r="AW282">
        <v>2</v>
      </c>
      <c r="AX282" t="s">
        <v>74</v>
      </c>
      <c r="AY282" t="s">
        <v>74</v>
      </c>
      <c r="AZ282" t="s">
        <v>74</v>
      </c>
      <c r="BA282" t="s">
        <v>74</v>
      </c>
      <c r="BB282">
        <v>243</v>
      </c>
      <c r="BC282">
        <v>257</v>
      </c>
      <c r="BD282" t="s">
        <v>74</v>
      </c>
      <c r="BE282" t="s">
        <v>5607</v>
      </c>
      <c r="BF282" t="str">
        <f>HYPERLINK("http://dx.doi.org/10.1657/AAAR0016-035","http://dx.doi.org/10.1657/AAAR0016-035")</f>
        <v>http://dx.doi.org/10.1657/AAAR0016-035</v>
      </c>
      <c r="BG282" t="s">
        <v>74</v>
      </c>
      <c r="BH282" t="s">
        <v>74</v>
      </c>
      <c r="BI282">
        <v>15</v>
      </c>
      <c r="BJ282" t="s">
        <v>5538</v>
      </c>
      <c r="BK282" t="s">
        <v>103</v>
      </c>
      <c r="BL282" t="s">
        <v>5539</v>
      </c>
      <c r="BM282" t="s">
        <v>5540</v>
      </c>
      <c r="BN282" t="s">
        <v>74</v>
      </c>
      <c r="BO282" t="s">
        <v>2510</v>
      </c>
      <c r="BP282" t="s">
        <v>74</v>
      </c>
      <c r="BQ282" t="s">
        <v>74</v>
      </c>
      <c r="BR282" t="s">
        <v>106</v>
      </c>
      <c r="BS282" t="s">
        <v>5608</v>
      </c>
      <c r="BT282" t="str">
        <f>HYPERLINK("https%3A%2F%2Fwww.webofscience.com%2Fwos%2Fwoscc%2Ffull-record%2FWOS:000402283000005","View Full Record in Web of Science")</f>
        <v>View Full Record in Web of Science</v>
      </c>
    </row>
    <row r="283" spans="1:72" x14ac:dyDescent="0.15">
      <c r="A283" t="s">
        <v>72</v>
      </c>
      <c r="B283" t="s">
        <v>5609</v>
      </c>
      <c r="C283" t="s">
        <v>74</v>
      </c>
      <c r="D283" t="s">
        <v>74</v>
      </c>
      <c r="E283" t="s">
        <v>74</v>
      </c>
      <c r="F283" t="s">
        <v>5610</v>
      </c>
      <c r="G283" t="s">
        <v>74</v>
      </c>
      <c r="H283" t="s">
        <v>74</v>
      </c>
      <c r="I283" t="s">
        <v>5611</v>
      </c>
      <c r="J283" t="s">
        <v>5526</v>
      </c>
      <c r="K283" t="s">
        <v>74</v>
      </c>
      <c r="L283" t="s">
        <v>74</v>
      </c>
      <c r="M283" t="s">
        <v>78</v>
      </c>
      <c r="N283" t="s">
        <v>79</v>
      </c>
      <c r="O283" t="s">
        <v>74</v>
      </c>
      <c r="P283" t="s">
        <v>74</v>
      </c>
      <c r="Q283" t="s">
        <v>74</v>
      </c>
      <c r="R283" t="s">
        <v>74</v>
      </c>
      <c r="S283" t="s">
        <v>74</v>
      </c>
      <c r="T283" t="s">
        <v>74</v>
      </c>
      <c r="U283" t="s">
        <v>5612</v>
      </c>
      <c r="V283" t="s">
        <v>5613</v>
      </c>
      <c r="W283" t="s">
        <v>5614</v>
      </c>
      <c r="X283" t="s">
        <v>5615</v>
      </c>
      <c r="Y283" t="s">
        <v>5616</v>
      </c>
      <c r="Z283" t="s">
        <v>5617</v>
      </c>
      <c r="AA283" t="s">
        <v>74</v>
      </c>
      <c r="AB283" t="s">
        <v>74</v>
      </c>
      <c r="AC283" t="s">
        <v>5618</v>
      </c>
      <c r="AD283" t="s">
        <v>5619</v>
      </c>
      <c r="AE283" t="s">
        <v>5620</v>
      </c>
      <c r="AF283" t="s">
        <v>74</v>
      </c>
      <c r="AG283">
        <v>84</v>
      </c>
      <c r="AH283">
        <v>6</v>
      </c>
      <c r="AI283">
        <v>6</v>
      </c>
      <c r="AJ283">
        <v>1</v>
      </c>
      <c r="AK283">
        <v>16</v>
      </c>
      <c r="AL283" t="s">
        <v>5572</v>
      </c>
      <c r="AM283" t="s">
        <v>5573</v>
      </c>
      <c r="AN283" t="s">
        <v>5574</v>
      </c>
      <c r="AO283" t="s">
        <v>5533</v>
      </c>
      <c r="AP283" t="s">
        <v>5534</v>
      </c>
      <c r="AQ283" t="s">
        <v>74</v>
      </c>
      <c r="AR283" t="s">
        <v>5535</v>
      </c>
      <c r="AS283" t="s">
        <v>5536</v>
      </c>
      <c r="AT283" t="s">
        <v>4623</v>
      </c>
      <c r="AU283">
        <v>2017</v>
      </c>
      <c r="AV283">
        <v>49</v>
      </c>
      <c r="AW283">
        <v>2</v>
      </c>
      <c r="AX283" t="s">
        <v>74</v>
      </c>
      <c r="AY283" t="s">
        <v>74</v>
      </c>
      <c r="AZ283" t="s">
        <v>74</v>
      </c>
      <c r="BA283" t="s">
        <v>74</v>
      </c>
      <c r="BB283">
        <v>259</v>
      </c>
      <c r="BC283">
        <v>276</v>
      </c>
      <c r="BD283" t="s">
        <v>74</v>
      </c>
      <c r="BE283" t="s">
        <v>5621</v>
      </c>
      <c r="BF283" t="str">
        <f>HYPERLINK("http://dx.doi.org/10.1657/AAAR0016-012","http://dx.doi.org/10.1657/AAAR0016-012")</f>
        <v>http://dx.doi.org/10.1657/AAAR0016-012</v>
      </c>
      <c r="BG283" t="s">
        <v>74</v>
      </c>
      <c r="BH283" t="s">
        <v>74</v>
      </c>
      <c r="BI283">
        <v>18</v>
      </c>
      <c r="BJ283" t="s">
        <v>5538</v>
      </c>
      <c r="BK283" t="s">
        <v>103</v>
      </c>
      <c r="BL283" t="s">
        <v>5539</v>
      </c>
      <c r="BM283" t="s">
        <v>5540</v>
      </c>
      <c r="BN283" t="s">
        <v>74</v>
      </c>
      <c r="BO283" t="s">
        <v>5576</v>
      </c>
      <c r="BP283" t="s">
        <v>74</v>
      </c>
      <c r="BQ283" t="s">
        <v>74</v>
      </c>
      <c r="BR283" t="s">
        <v>106</v>
      </c>
      <c r="BS283" t="s">
        <v>5622</v>
      </c>
      <c r="BT283" t="str">
        <f>HYPERLINK("https%3A%2F%2Fwww.webofscience.com%2Fwos%2Fwoscc%2Ffull-record%2FWOS:000402283000006","View Full Record in Web of Science")</f>
        <v>View Full Record in Web of Science</v>
      </c>
    </row>
    <row r="284" spans="1:72" x14ac:dyDescent="0.15">
      <c r="A284" t="s">
        <v>72</v>
      </c>
      <c r="B284" t="s">
        <v>5623</v>
      </c>
      <c r="C284" t="s">
        <v>74</v>
      </c>
      <c r="D284" t="s">
        <v>74</v>
      </c>
      <c r="E284" t="s">
        <v>74</v>
      </c>
      <c r="F284" t="s">
        <v>5624</v>
      </c>
      <c r="G284" t="s">
        <v>74</v>
      </c>
      <c r="H284" t="s">
        <v>74</v>
      </c>
      <c r="I284" t="s">
        <v>5625</v>
      </c>
      <c r="J284" t="s">
        <v>5526</v>
      </c>
      <c r="K284" t="s">
        <v>74</v>
      </c>
      <c r="L284" t="s">
        <v>74</v>
      </c>
      <c r="M284" t="s">
        <v>78</v>
      </c>
      <c r="N284" t="s">
        <v>79</v>
      </c>
      <c r="O284" t="s">
        <v>74</v>
      </c>
      <c r="P284" t="s">
        <v>74</v>
      </c>
      <c r="Q284" t="s">
        <v>74</v>
      </c>
      <c r="R284" t="s">
        <v>74</v>
      </c>
      <c r="S284" t="s">
        <v>74</v>
      </c>
      <c r="T284" t="s">
        <v>74</v>
      </c>
      <c r="U284" t="s">
        <v>5626</v>
      </c>
      <c r="V284" t="s">
        <v>5627</v>
      </c>
      <c r="W284" t="s">
        <v>5628</v>
      </c>
      <c r="X284" t="s">
        <v>5629</v>
      </c>
      <c r="Y284" t="s">
        <v>5630</v>
      </c>
      <c r="Z284" t="s">
        <v>5631</v>
      </c>
      <c r="AA284" t="s">
        <v>5632</v>
      </c>
      <c r="AB284" t="s">
        <v>5633</v>
      </c>
      <c r="AC284" t="s">
        <v>5634</v>
      </c>
      <c r="AD284" t="s">
        <v>5635</v>
      </c>
      <c r="AE284" t="s">
        <v>5636</v>
      </c>
      <c r="AF284" t="s">
        <v>74</v>
      </c>
      <c r="AG284">
        <v>79</v>
      </c>
      <c r="AH284">
        <v>12</v>
      </c>
      <c r="AI284">
        <v>13</v>
      </c>
      <c r="AJ284">
        <v>2</v>
      </c>
      <c r="AK284">
        <v>30</v>
      </c>
      <c r="AL284" t="s">
        <v>5572</v>
      </c>
      <c r="AM284" t="s">
        <v>5573</v>
      </c>
      <c r="AN284" t="s">
        <v>5574</v>
      </c>
      <c r="AO284" t="s">
        <v>5533</v>
      </c>
      <c r="AP284" t="s">
        <v>5534</v>
      </c>
      <c r="AQ284" t="s">
        <v>74</v>
      </c>
      <c r="AR284" t="s">
        <v>5535</v>
      </c>
      <c r="AS284" t="s">
        <v>5536</v>
      </c>
      <c r="AT284" t="s">
        <v>4623</v>
      </c>
      <c r="AU284">
        <v>2017</v>
      </c>
      <c r="AV284">
        <v>49</v>
      </c>
      <c r="AW284">
        <v>2</v>
      </c>
      <c r="AX284" t="s">
        <v>74</v>
      </c>
      <c r="AY284" t="s">
        <v>74</v>
      </c>
      <c r="AZ284" t="s">
        <v>74</v>
      </c>
      <c r="BA284" t="s">
        <v>74</v>
      </c>
      <c r="BB284">
        <v>277</v>
      </c>
      <c r="BC284">
        <v>289</v>
      </c>
      <c r="BD284" t="s">
        <v>74</v>
      </c>
      <c r="BE284" t="s">
        <v>5637</v>
      </c>
      <c r="BF284" t="str">
        <f>HYPERLINK("http://dx.doi.org/10.1657/AAAR0016-044","http://dx.doi.org/10.1657/AAAR0016-044")</f>
        <v>http://dx.doi.org/10.1657/AAAR0016-044</v>
      </c>
      <c r="BG284" t="s">
        <v>74</v>
      </c>
      <c r="BH284" t="s">
        <v>74</v>
      </c>
      <c r="BI284">
        <v>13</v>
      </c>
      <c r="BJ284" t="s">
        <v>5538</v>
      </c>
      <c r="BK284" t="s">
        <v>103</v>
      </c>
      <c r="BL284" t="s">
        <v>5539</v>
      </c>
      <c r="BM284" t="s">
        <v>5540</v>
      </c>
      <c r="BN284" t="s">
        <v>74</v>
      </c>
      <c r="BO284" t="s">
        <v>2510</v>
      </c>
      <c r="BP284" t="s">
        <v>74</v>
      </c>
      <c r="BQ284" t="s">
        <v>74</v>
      </c>
      <c r="BR284" t="s">
        <v>106</v>
      </c>
      <c r="BS284" t="s">
        <v>5638</v>
      </c>
      <c r="BT284" t="str">
        <f>HYPERLINK("https%3A%2F%2Fwww.webofscience.com%2Fwos%2Fwoscc%2Ffull-record%2FWOS:000402283000007","View Full Record in Web of Science")</f>
        <v>View Full Record in Web of Science</v>
      </c>
    </row>
    <row r="285" spans="1:72" x14ac:dyDescent="0.15">
      <c r="A285" t="s">
        <v>72</v>
      </c>
      <c r="B285" t="s">
        <v>5639</v>
      </c>
      <c r="C285" t="s">
        <v>74</v>
      </c>
      <c r="D285" t="s">
        <v>74</v>
      </c>
      <c r="E285" t="s">
        <v>74</v>
      </c>
      <c r="F285" t="s">
        <v>5640</v>
      </c>
      <c r="G285" t="s">
        <v>74</v>
      </c>
      <c r="H285" t="s">
        <v>74</v>
      </c>
      <c r="I285" t="s">
        <v>5641</v>
      </c>
      <c r="J285" t="s">
        <v>5526</v>
      </c>
      <c r="K285" t="s">
        <v>74</v>
      </c>
      <c r="L285" t="s">
        <v>74</v>
      </c>
      <c r="M285" t="s">
        <v>78</v>
      </c>
      <c r="N285" t="s">
        <v>79</v>
      </c>
      <c r="O285" t="s">
        <v>74</v>
      </c>
      <c r="P285" t="s">
        <v>74</v>
      </c>
      <c r="Q285" t="s">
        <v>74</v>
      </c>
      <c r="R285" t="s">
        <v>74</v>
      </c>
      <c r="S285" t="s">
        <v>74</v>
      </c>
      <c r="T285" t="s">
        <v>74</v>
      </c>
      <c r="U285" t="s">
        <v>5642</v>
      </c>
      <c r="V285" t="s">
        <v>5643</v>
      </c>
      <c r="W285" t="s">
        <v>5644</v>
      </c>
      <c r="X285" t="s">
        <v>5645</v>
      </c>
      <c r="Y285" t="s">
        <v>5646</v>
      </c>
      <c r="Z285" t="s">
        <v>5647</v>
      </c>
      <c r="AA285" t="s">
        <v>5648</v>
      </c>
      <c r="AB285" t="s">
        <v>74</v>
      </c>
      <c r="AC285" t="s">
        <v>5649</v>
      </c>
      <c r="AD285" t="s">
        <v>5650</v>
      </c>
      <c r="AE285" t="s">
        <v>5651</v>
      </c>
      <c r="AF285" t="s">
        <v>74</v>
      </c>
      <c r="AG285">
        <v>93</v>
      </c>
      <c r="AH285">
        <v>11</v>
      </c>
      <c r="AI285">
        <v>16</v>
      </c>
      <c r="AJ285">
        <v>0</v>
      </c>
      <c r="AK285">
        <v>59</v>
      </c>
      <c r="AL285" t="s">
        <v>5572</v>
      </c>
      <c r="AM285" t="s">
        <v>5573</v>
      </c>
      <c r="AN285" t="s">
        <v>5574</v>
      </c>
      <c r="AO285" t="s">
        <v>5533</v>
      </c>
      <c r="AP285" t="s">
        <v>5534</v>
      </c>
      <c r="AQ285" t="s">
        <v>74</v>
      </c>
      <c r="AR285" t="s">
        <v>5535</v>
      </c>
      <c r="AS285" t="s">
        <v>5536</v>
      </c>
      <c r="AT285" t="s">
        <v>4623</v>
      </c>
      <c r="AU285">
        <v>2017</v>
      </c>
      <c r="AV285">
        <v>49</v>
      </c>
      <c r="AW285">
        <v>2</v>
      </c>
      <c r="AX285" t="s">
        <v>74</v>
      </c>
      <c r="AY285" t="s">
        <v>74</v>
      </c>
      <c r="AZ285" t="s">
        <v>74</v>
      </c>
      <c r="BA285" t="s">
        <v>74</v>
      </c>
      <c r="BB285">
        <v>291</v>
      </c>
      <c r="BC285">
        <v>304</v>
      </c>
      <c r="BD285" t="s">
        <v>74</v>
      </c>
      <c r="BE285" t="s">
        <v>5652</v>
      </c>
      <c r="BF285" t="str">
        <f>HYPERLINK("http://dx.doi.org/10.1657/AAAR0016-058","http://dx.doi.org/10.1657/AAAR0016-058")</f>
        <v>http://dx.doi.org/10.1657/AAAR0016-058</v>
      </c>
      <c r="BG285" t="s">
        <v>74</v>
      </c>
      <c r="BH285" t="s">
        <v>74</v>
      </c>
      <c r="BI285">
        <v>14</v>
      </c>
      <c r="BJ285" t="s">
        <v>5538</v>
      </c>
      <c r="BK285" t="s">
        <v>103</v>
      </c>
      <c r="BL285" t="s">
        <v>5539</v>
      </c>
      <c r="BM285" t="s">
        <v>5540</v>
      </c>
      <c r="BN285" t="s">
        <v>74</v>
      </c>
      <c r="BO285" t="s">
        <v>2510</v>
      </c>
      <c r="BP285" t="s">
        <v>74</v>
      </c>
      <c r="BQ285" t="s">
        <v>74</v>
      </c>
      <c r="BR285" t="s">
        <v>106</v>
      </c>
      <c r="BS285" t="s">
        <v>5653</v>
      </c>
      <c r="BT285" t="str">
        <f>HYPERLINK("https%3A%2F%2Fwww.webofscience.com%2Fwos%2Fwoscc%2Ffull-record%2FWOS:000402283000008","View Full Record in Web of Science")</f>
        <v>View Full Record in Web of Science</v>
      </c>
    </row>
    <row r="286" spans="1:72" x14ac:dyDescent="0.15">
      <c r="A286" t="s">
        <v>72</v>
      </c>
      <c r="B286" t="s">
        <v>5654</v>
      </c>
      <c r="C286" t="s">
        <v>74</v>
      </c>
      <c r="D286" t="s">
        <v>74</v>
      </c>
      <c r="E286" t="s">
        <v>74</v>
      </c>
      <c r="F286" t="s">
        <v>5655</v>
      </c>
      <c r="G286" t="s">
        <v>74</v>
      </c>
      <c r="H286" t="s">
        <v>74</v>
      </c>
      <c r="I286" t="s">
        <v>5656</v>
      </c>
      <c r="J286" t="s">
        <v>5526</v>
      </c>
      <c r="K286" t="s">
        <v>74</v>
      </c>
      <c r="L286" t="s">
        <v>74</v>
      </c>
      <c r="M286" t="s">
        <v>78</v>
      </c>
      <c r="N286" t="s">
        <v>79</v>
      </c>
      <c r="O286" t="s">
        <v>74</v>
      </c>
      <c r="P286" t="s">
        <v>74</v>
      </c>
      <c r="Q286" t="s">
        <v>74</v>
      </c>
      <c r="R286" t="s">
        <v>74</v>
      </c>
      <c r="S286" t="s">
        <v>74</v>
      </c>
      <c r="T286" t="s">
        <v>74</v>
      </c>
      <c r="U286" t="s">
        <v>5657</v>
      </c>
      <c r="V286" t="s">
        <v>5658</v>
      </c>
      <c r="W286" t="s">
        <v>5659</v>
      </c>
      <c r="X286" t="s">
        <v>5660</v>
      </c>
      <c r="Y286" t="s">
        <v>5661</v>
      </c>
      <c r="Z286" t="s">
        <v>5662</v>
      </c>
      <c r="AA286" t="s">
        <v>5663</v>
      </c>
      <c r="AB286" t="s">
        <v>5664</v>
      </c>
      <c r="AC286" t="s">
        <v>5665</v>
      </c>
      <c r="AD286" t="s">
        <v>5666</v>
      </c>
      <c r="AE286" t="s">
        <v>5667</v>
      </c>
      <c r="AF286" t="s">
        <v>74</v>
      </c>
      <c r="AG286">
        <v>70</v>
      </c>
      <c r="AH286">
        <v>12</v>
      </c>
      <c r="AI286">
        <v>15</v>
      </c>
      <c r="AJ286">
        <v>2</v>
      </c>
      <c r="AK286">
        <v>32</v>
      </c>
      <c r="AL286" t="s">
        <v>5531</v>
      </c>
      <c r="AM286" t="s">
        <v>5030</v>
      </c>
      <c r="AN286" t="s">
        <v>5532</v>
      </c>
      <c r="AO286" t="s">
        <v>5533</v>
      </c>
      <c r="AP286" t="s">
        <v>5534</v>
      </c>
      <c r="AQ286" t="s">
        <v>74</v>
      </c>
      <c r="AR286" t="s">
        <v>5535</v>
      </c>
      <c r="AS286" t="s">
        <v>5536</v>
      </c>
      <c r="AT286" t="s">
        <v>4623</v>
      </c>
      <c r="AU286">
        <v>2017</v>
      </c>
      <c r="AV286">
        <v>49</v>
      </c>
      <c r="AW286">
        <v>2</v>
      </c>
      <c r="AX286" t="s">
        <v>74</v>
      </c>
      <c r="AY286" t="s">
        <v>74</v>
      </c>
      <c r="AZ286" t="s">
        <v>74</v>
      </c>
      <c r="BA286" t="s">
        <v>74</v>
      </c>
      <c r="BB286">
        <v>305</v>
      </c>
      <c r="BC286">
        <v>319</v>
      </c>
      <c r="BD286" t="s">
        <v>74</v>
      </c>
      <c r="BE286" t="s">
        <v>5668</v>
      </c>
      <c r="BF286" t="str">
        <f>HYPERLINK("http://dx.doi.org/10.1657/AAAR0016-026","http://dx.doi.org/10.1657/AAAR0016-026")</f>
        <v>http://dx.doi.org/10.1657/AAAR0016-026</v>
      </c>
      <c r="BG286" t="s">
        <v>74</v>
      </c>
      <c r="BH286" t="s">
        <v>74</v>
      </c>
      <c r="BI286">
        <v>15</v>
      </c>
      <c r="BJ286" t="s">
        <v>5538</v>
      </c>
      <c r="BK286" t="s">
        <v>103</v>
      </c>
      <c r="BL286" t="s">
        <v>5539</v>
      </c>
      <c r="BM286" t="s">
        <v>5540</v>
      </c>
      <c r="BN286" t="s">
        <v>74</v>
      </c>
      <c r="BO286" t="s">
        <v>5576</v>
      </c>
      <c r="BP286" t="s">
        <v>74</v>
      </c>
      <c r="BQ286" t="s">
        <v>74</v>
      </c>
      <c r="BR286" t="s">
        <v>106</v>
      </c>
      <c r="BS286" t="s">
        <v>5669</v>
      </c>
      <c r="BT286" t="str">
        <f>HYPERLINK("https%3A%2F%2Fwww.webofscience.com%2Fwos%2Fwoscc%2Ffull-record%2FWOS:000402283000009","View Full Record in Web of Science")</f>
        <v>View Full Record in Web of Science</v>
      </c>
    </row>
    <row r="287" spans="1:72" x14ac:dyDescent="0.15">
      <c r="A287" t="s">
        <v>72</v>
      </c>
      <c r="B287" t="s">
        <v>5670</v>
      </c>
      <c r="C287" t="s">
        <v>74</v>
      </c>
      <c r="D287" t="s">
        <v>74</v>
      </c>
      <c r="E287" t="s">
        <v>74</v>
      </c>
      <c r="F287" t="s">
        <v>5671</v>
      </c>
      <c r="G287" t="s">
        <v>74</v>
      </c>
      <c r="H287" t="s">
        <v>74</v>
      </c>
      <c r="I287" t="s">
        <v>5672</v>
      </c>
      <c r="J287" t="s">
        <v>5526</v>
      </c>
      <c r="K287" t="s">
        <v>74</v>
      </c>
      <c r="L287" t="s">
        <v>74</v>
      </c>
      <c r="M287" t="s">
        <v>78</v>
      </c>
      <c r="N287" t="s">
        <v>79</v>
      </c>
      <c r="O287" t="s">
        <v>74</v>
      </c>
      <c r="P287" t="s">
        <v>74</v>
      </c>
      <c r="Q287" t="s">
        <v>74</v>
      </c>
      <c r="R287" t="s">
        <v>74</v>
      </c>
      <c r="S287" t="s">
        <v>74</v>
      </c>
      <c r="T287" t="s">
        <v>74</v>
      </c>
      <c r="U287" t="s">
        <v>5673</v>
      </c>
      <c r="V287" t="s">
        <v>5674</v>
      </c>
      <c r="W287" t="s">
        <v>5675</v>
      </c>
      <c r="X287" t="s">
        <v>5676</v>
      </c>
      <c r="Y287" t="s">
        <v>5677</v>
      </c>
      <c r="Z287" t="s">
        <v>5678</v>
      </c>
      <c r="AA287" t="s">
        <v>5679</v>
      </c>
      <c r="AB287" t="s">
        <v>5680</v>
      </c>
      <c r="AC287" t="s">
        <v>5681</v>
      </c>
      <c r="AD287" t="s">
        <v>5682</v>
      </c>
      <c r="AE287" t="s">
        <v>5683</v>
      </c>
      <c r="AF287" t="s">
        <v>74</v>
      </c>
      <c r="AG287">
        <v>36</v>
      </c>
      <c r="AH287">
        <v>4</v>
      </c>
      <c r="AI287">
        <v>4</v>
      </c>
      <c r="AJ287">
        <v>0</v>
      </c>
      <c r="AK287">
        <v>11</v>
      </c>
      <c r="AL287" t="s">
        <v>5531</v>
      </c>
      <c r="AM287" t="s">
        <v>5030</v>
      </c>
      <c r="AN287" t="s">
        <v>5532</v>
      </c>
      <c r="AO287" t="s">
        <v>5533</v>
      </c>
      <c r="AP287" t="s">
        <v>5534</v>
      </c>
      <c r="AQ287" t="s">
        <v>74</v>
      </c>
      <c r="AR287" t="s">
        <v>5535</v>
      </c>
      <c r="AS287" t="s">
        <v>5536</v>
      </c>
      <c r="AT287" t="s">
        <v>4623</v>
      </c>
      <c r="AU287">
        <v>2017</v>
      </c>
      <c r="AV287">
        <v>49</v>
      </c>
      <c r="AW287">
        <v>2</v>
      </c>
      <c r="AX287" t="s">
        <v>74</v>
      </c>
      <c r="AY287" t="s">
        <v>74</v>
      </c>
      <c r="AZ287" t="s">
        <v>74</v>
      </c>
      <c r="BA287" t="s">
        <v>74</v>
      </c>
      <c r="BB287">
        <v>321</v>
      </c>
      <c r="BC287">
        <v>330</v>
      </c>
      <c r="BD287" t="s">
        <v>74</v>
      </c>
      <c r="BE287" t="s">
        <v>5684</v>
      </c>
      <c r="BF287" t="str">
        <f>HYPERLINK("http://dx.doi.org/10.1657/AAAR0016-059","http://dx.doi.org/10.1657/AAAR0016-059")</f>
        <v>http://dx.doi.org/10.1657/AAAR0016-059</v>
      </c>
      <c r="BG287" t="s">
        <v>74</v>
      </c>
      <c r="BH287" t="s">
        <v>74</v>
      </c>
      <c r="BI287">
        <v>10</v>
      </c>
      <c r="BJ287" t="s">
        <v>5538</v>
      </c>
      <c r="BK287" t="s">
        <v>103</v>
      </c>
      <c r="BL287" t="s">
        <v>5539</v>
      </c>
      <c r="BM287" t="s">
        <v>5540</v>
      </c>
      <c r="BN287" t="s">
        <v>74</v>
      </c>
      <c r="BO287" t="s">
        <v>2510</v>
      </c>
      <c r="BP287" t="s">
        <v>74</v>
      </c>
      <c r="BQ287" t="s">
        <v>74</v>
      </c>
      <c r="BR287" t="s">
        <v>106</v>
      </c>
      <c r="BS287" t="s">
        <v>5685</v>
      </c>
      <c r="BT287" t="str">
        <f>HYPERLINK("https%3A%2F%2Fwww.webofscience.com%2Fwos%2Fwoscc%2Ffull-record%2FWOS:000402283000010","View Full Record in Web of Science")</f>
        <v>View Full Record in Web of Science</v>
      </c>
    </row>
    <row r="288" spans="1:72" x14ac:dyDescent="0.15">
      <c r="A288" t="s">
        <v>72</v>
      </c>
      <c r="B288" t="s">
        <v>5686</v>
      </c>
      <c r="C288" t="s">
        <v>74</v>
      </c>
      <c r="D288" t="s">
        <v>74</v>
      </c>
      <c r="E288" t="s">
        <v>74</v>
      </c>
      <c r="F288" t="s">
        <v>5687</v>
      </c>
      <c r="G288" t="s">
        <v>74</v>
      </c>
      <c r="H288" t="s">
        <v>74</v>
      </c>
      <c r="I288" t="s">
        <v>5688</v>
      </c>
      <c r="J288" t="s">
        <v>5689</v>
      </c>
      <c r="K288" t="s">
        <v>74</v>
      </c>
      <c r="L288" t="s">
        <v>74</v>
      </c>
      <c r="M288" t="s">
        <v>78</v>
      </c>
      <c r="N288" t="s">
        <v>79</v>
      </c>
      <c r="O288" t="s">
        <v>74</v>
      </c>
      <c r="P288" t="s">
        <v>74</v>
      </c>
      <c r="Q288" t="s">
        <v>74</v>
      </c>
      <c r="R288" t="s">
        <v>74</v>
      </c>
      <c r="S288" t="s">
        <v>74</v>
      </c>
      <c r="T288" t="s">
        <v>5690</v>
      </c>
      <c r="U288" t="s">
        <v>5691</v>
      </c>
      <c r="V288" t="s">
        <v>5692</v>
      </c>
      <c r="W288" t="s">
        <v>5693</v>
      </c>
      <c r="X288" t="s">
        <v>5694</v>
      </c>
      <c r="Y288" t="s">
        <v>5695</v>
      </c>
      <c r="Z288" t="s">
        <v>5696</v>
      </c>
      <c r="AA288" t="s">
        <v>5697</v>
      </c>
      <c r="AB288" t="s">
        <v>5698</v>
      </c>
      <c r="AC288" t="s">
        <v>5699</v>
      </c>
      <c r="AD288" t="s">
        <v>5700</v>
      </c>
      <c r="AE288" t="s">
        <v>5701</v>
      </c>
      <c r="AF288" t="s">
        <v>74</v>
      </c>
      <c r="AG288">
        <v>100</v>
      </c>
      <c r="AH288">
        <v>18</v>
      </c>
      <c r="AI288">
        <v>19</v>
      </c>
      <c r="AJ288">
        <v>2</v>
      </c>
      <c r="AK288">
        <v>72</v>
      </c>
      <c r="AL288" t="s">
        <v>5702</v>
      </c>
      <c r="AM288" t="s">
        <v>5703</v>
      </c>
      <c r="AN288" t="s">
        <v>5704</v>
      </c>
      <c r="AO288" t="s">
        <v>5705</v>
      </c>
      <c r="AP288" t="s">
        <v>5706</v>
      </c>
      <c r="AQ288" t="s">
        <v>74</v>
      </c>
      <c r="AR288" t="s">
        <v>5707</v>
      </c>
      <c r="AS288" t="s">
        <v>5708</v>
      </c>
      <c r="AT288" t="s">
        <v>4943</v>
      </c>
      <c r="AU288">
        <v>2017</v>
      </c>
      <c r="AV288">
        <v>28</v>
      </c>
      <c r="AW288">
        <v>3</v>
      </c>
      <c r="AX288" t="s">
        <v>74</v>
      </c>
      <c r="AY288" t="s">
        <v>74</v>
      </c>
      <c r="AZ288" t="s">
        <v>74</v>
      </c>
      <c r="BA288" t="s">
        <v>74</v>
      </c>
      <c r="BB288">
        <v>750</v>
      </c>
      <c r="BC288">
        <v>759</v>
      </c>
      <c r="BD288" t="s">
        <v>74</v>
      </c>
      <c r="BE288" t="s">
        <v>5709</v>
      </c>
      <c r="BF288" t="str">
        <f>HYPERLINK("http://dx.doi.org/10.1093/beheco/arx034","http://dx.doi.org/10.1093/beheco/arx034")</f>
        <v>http://dx.doi.org/10.1093/beheco/arx034</v>
      </c>
      <c r="BG288" t="s">
        <v>74</v>
      </c>
      <c r="BH288" t="s">
        <v>74</v>
      </c>
      <c r="BI288">
        <v>10</v>
      </c>
      <c r="BJ288" t="s">
        <v>5710</v>
      </c>
      <c r="BK288" t="s">
        <v>103</v>
      </c>
      <c r="BL288" t="s">
        <v>5711</v>
      </c>
      <c r="BM288" t="s">
        <v>5712</v>
      </c>
      <c r="BN288" t="s">
        <v>74</v>
      </c>
      <c r="BO288" t="s">
        <v>5713</v>
      </c>
      <c r="BP288" t="s">
        <v>74</v>
      </c>
      <c r="BQ288" t="s">
        <v>74</v>
      </c>
      <c r="BR288" t="s">
        <v>106</v>
      </c>
      <c r="BS288" t="s">
        <v>5714</v>
      </c>
      <c r="BT288" t="str">
        <f>HYPERLINK("https%3A%2F%2Fwww.webofscience.com%2Fwos%2Fwoscc%2Ffull-record%2FWOS:000401942800022","View Full Record in Web of Science")</f>
        <v>View Full Record in Web of Science</v>
      </c>
    </row>
    <row r="289" spans="1:72" x14ac:dyDescent="0.15">
      <c r="A289" t="s">
        <v>72</v>
      </c>
      <c r="B289" t="s">
        <v>5715</v>
      </c>
      <c r="C289" t="s">
        <v>74</v>
      </c>
      <c r="D289" t="s">
        <v>74</v>
      </c>
      <c r="E289" t="s">
        <v>74</v>
      </c>
      <c r="F289" t="s">
        <v>5716</v>
      </c>
      <c r="G289" t="s">
        <v>74</v>
      </c>
      <c r="H289" t="s">
        <v>74</v>
      </c>
      <c r="I289" t="s">
        <v>5717</v>
      </c>
      <c r="J289" t="s">
        <v>1408</v>
      </c>
      <c r="K289" t="s">
        <v>74</v>
      </c>
      <c r="L289" t="s">
        <v>74</v>
      </c>
      <c r="M289" t="s">
        <v>78</v>
      </c>
      <c r="N289" t="s">
        <v>79</v>
      </c>
      <c r="O289" t="s">
        <v>74</v>
      </c>
      <c r="P289" t="s">
        <v>74</v>
      </c>
      <c r="Q289" t="s">
        <v>74</v>
      </c>
      <c r="R289" t="s">
        <v>74</v>
      </c>
      <c r="S289" t="s">
        <v>74</v>
      </c>
      <c r="T289" t="s">
        <v>74</v>
      </c>
      <c r="U289" t="s">
        <v>5718</v>
      </c>
      <c r="V289" t="s">
        <v>5719</v>
      </c>
      <c r="W289" t="s">
        <v>5720</v>
      </c>
      <c r="X289" t="s">
        <v>5721</v>
      </c>
      <c r="Y289" t="s">
        <v>5722</v>
      </c>
      <c r="Z289" t="s">
        <v>5723</v>
      </c>
      <c r="AA289" t="s">
        <v>5724</v>
      </c>
      <c r="AB289" t="s">
        <v>5725</v>
      </c>
      <c r="AC289" t="s">
        <v>5726</v>
      </c>
      <c r="AD289" t="s">
        <v>5727</v>
      </c>
      <c r="AE289" t="s">
        <v>5728</v>
      </c>
      <c r="AF289" t="s">
        <v>74</v>
      </c>
      <c r="AG289">
        <v>52</v>
      </c>
      <c r="AH289">
        <v>21</v>
      </c>
      <c r="AI289">
        <v>22</v>
      </c>
      <c r="AJ289">
        <v>1</v>
      </c>
      <c r="AK289">
        <v>16</v>
      </c>
      <c r="AL289" t="s">
        <v>681</v>
      </c>
      <c r="AM289" t="s">
        <v>682</v>
      </c>
      <c r="AN289" t="s">
        <v>683</v>
      </c>
      <c r="AO289" t="s">
        <v>1419</v>
      </c>
      <c r="AP289" t="s">
        <v>1420</v>
      </c>
      <c r="AQ289" t="s">
        <v>74</v>
      </c>
      <c r="AR289" t="s">
        <v>1421</v>
      </c>
      <c r="AS289" t="s">
        <v>1422</v>
      </c>
      <c r="AT289" t="s">
        <v>4623</v>
      </c>
      <c r="AU289">
        <v>2017</v>
      </c>
      <c r="AV289">
        <v>52</v>
      </c>
      <c r="AW289">
        <v>5</v>
      </c>
      <c r="AX289" t="s">
        <v>74</v>
      </c>
      <c r="AY289" t="s">
        <v>74</v>
      </c>
      <c r="AZ289" t="s">
        <v>74</v>
      </c>
      <c r="BA289" t="s">
        <v>74</v>
      </c>
      <c r="BB289">
        <v>781</v>
      </c>
      <c r="BC289">
        <v>806</v>
      </c>
      <c r="BD289" t="s">
        <v>74</v>
      </c>
      <c r="BE289" t="s">
        <v>5729</v>
      </c>
      <c r="BF289" t="str">
        <f>HYPERLINK("http://dx.doi.org/10.1111/maps.12832","http://dx.doi.org/10.1111/maps.12832")</f>
        <v>http://dx.doi.org/10.1111/maps.12832</v>
      </c>
      <c r="BG289" t="s">
        <v>74</v>
      </c>
      <c r="BH289" t="s">
        <v>74</v>
      </c>
      <c r="BI289">
        <v>26</v>
      </c>
      <c r="BJ289" t="s">
        <v>176</v>
      </c>
      <c r="BK289" t="s">
        <v>103</v>
      </c>
      <c r="BL289" t="s">
        <v>176</v>
      </c>
      <c r="BM289" t="s">
        <v>5730</v>
      </c>
      <c r="BN289" t="s">
        <v>74</v>
      </c>
      <c r="BO289" t="s">
        <v>5731</v>
      </c>
      <c r="BP289" t="s">
        <v>74</v>
      </c>
      <c r="BQ289" t="s">
        <v>74</v>
      </c>
      <c r="BR289" t="s">
        <v>106</v>
      </c>
      <c r="BS289" t="s">
        <v>5732</v>
      </c>
      <c r="BT289" t="str">
        <f>HYPERLINK("https%3A%2F%2Fwww.webofscience.com%2Fwos%2Fwoscc%2Ffull-record%2FWOS:000401720000001","View Full Record in Web of Science")</f>
        <v>View Full Record in Web of Science</v>
      </c>
    </row>
    <row r="290" spans="1:72" x14ac:dyDescent="0.15">
      <c r="A290" t="s">
        <v>72</v>
      </c>
      <c r="B290" t="s">
        <v>5733</v>
      </c>
      <c r="C290" t="s">
        <v>74</v>
      </c>
      <c r="D290" t="s">
        <v>74</v>
      </c>
      <c r="E290" t="s">
        <v>74</v>
      </c>
      <c r="F290" t="s">
        <v>5734</v>
      </c>
      <c r="G290" t="s">
        <v>74</v>
      </c>
      <c r="H290" t="s">
        <v>74</v>
      </c>
      <c r="I290" t="s">
        <v>5735</v>
      </c>
      <c r="J290" t="s">
        <v>1408</v>
      </c>
      <c r="K290" t="s">
        <v>74</v>
      </c>
      <c r="L290" t="s">
        <v>74</v>
      </c>
      <c r="M290" t="s">
        <v>78</v>
      </c>
      <c r="N290" t="s">
        <v>79</v>
      </c>
      <c r="O290" t="s">
        <v>74</v>
      </c>
      <c r="P290" t="s">
        <v>74</v>
      </c>
      <c r="Q290" t="s">
        <v>74</v>
      </c>
      <c r="R290" t="s">
        <v>74</v>
      </c>
      <c r="S290" t="s">
        <v>74</v>
      </c>
      <c r="T290" t="s">
        <v>74</v>
      </c>
      <c r="U290" t="s">
        <v>5736</v>
      </c>
      <c r="V290" t="s">
        <v>5737</v>
      </c>
      <c r="W290" t="s">
        <v>5738</v>
      </c>
      <c r="X290" t="s">
        <v>5739</v>
      </c>
      <c r="Y290" t="s">
        <v>5740</v>
      </c>
      <c r="Z290" t="s">
        <v>5741</v>
      </c>
      <c r="AA290" t="s">
        <v>5742</v>
      </c>
      <c r="AB290" t="s">
        <v>5743</v>
      </c>
      <c r="AC290" t="s">
        <v>5744</v>
      </c>
      <c r="AD290" t="s">
        <v>5745</v>
      </c>
      <c r="AE290" t="s">
        <v>5746</v>
      </c>
      <c r="AF290" t="s">
        <v>74</v>
      </c>
      <c r="AG290">
        <v>80</v>
      </c>
      <c r="AH290">
        <v>20</v>
      </c>
      <c r="AI290">
        <v>23</v>
      </c>
      <c r="AJ290">
        <v>0</v>
      </c>
      <c r="AK290">
        <v>9</v>
      </c>
      <c r="AL290" t="s">
        <v>681</v>
      </c>
      <c r="AM290" t="s">
        <v>682</v>
      </c>
      <c r="AN290" t="s">
        <v>683</v>
      </c>
      <c r="AO290" t="s">
        <v>1419</v>
      </c>
      <c r="AP290" t="s">
        <v>1420</v>
      </c>
      <c r="AQ290" t="s">
        <v>74</v>
      </c>
      <c r="AR290" t="s">
        <v>1421</v>
      </c>
      <c r="AS290" t="s">
        <v>1422</v>
      </c>
      <c r="AT290" t="s">
        <v>4623</v>
      </c>
      <c r="AU290">
        <v>2017</v>
      </c>
      <c r="AV290">
        <v>52</v>
      </c>
      <c r="AW290">
        <v>5</v>
      </c>
      <c r="AX290" t="s">
        <v>74</v>
      </c>
      <c r="AY290" t="s">
        <v>74</v>
      </c>
      <c r="AZ290" t="s">
        <v>74</v>
      </c>
      <c r="BA290" t="s">
        <v>74</v>
      </c>
      <c r="BB290">
        <v>949</v>
      </c>
      <c r="BC290">
        <v>978</v>
      </c>
      <c r="BD290" t="s">
        <v>74</v>
      </c>
      <c r="BE290" t="s">
        <v>5747</v>
      </c>
      <c r="BF290" t="str">
        <f>HYPERLINK("http://dx.doi.org/10.1111/maps.12846","http://dx.doi.org/10.1111/maps.12846")</f>
        <v>http://dx.doi.org/10.1111/maps.12846</v>
      </c>
      <c r="BG290" t="s">
        <v>74</v>
      </c>
      <c r="BH290" t="s">
        <v>74</v>
      </c>
      <c r="BI290">
        <v>30</v>
      </c>
      <c r="BJ290" t="s">
        <v>176</v>
      </c>
      <c r="BK290" t="s">
        <v>103</v>
      </c>
      <c r="BL290" t="s">
        <v>176</v>
      </c>
      <c r="BM290" t="s">
        <v>5730</v>
      </c>
      <c r="BN290">
        <v>30498327</v>
      </c>
      <c r="BO290" t="s">
        <v>5748</v>
      </c>
      <c r="BP290" t="s">
        <v>74</v>
      </c>
      <c r="BQ290" t="s">
        <v>74</v>
      </c>
      <c r="BR290" t="s">
        <v>106</v>
      </c>
      <c r="BS290" t="s">
        <v>5749</v>
      </c>
      <c r="BT290" t="str">
        <f>HYPERLINK("https%3A%2F%2Fwww.webofscience.com%2Fwos%2Fwoscc%2Ffull-record%2FWOS:000401720000011","View Full Record in Web of Science")</f>
        <v>View Full Record in Web of Science</v>
      </c>
    </row>
    <row r="291" spans="1:72" x14ac:dyDescent="0.15">
      <c r="A291" t="s">
        <v>72</v>
      </c>
      <c r="B291" t="s">
        <v>5750</v>
      </c>
      <c r="C291" t="s">
        <v>74</v>
      </c>
      <c r="D291" t="s">
        <v>74</v>
      </c>
      <c r="E291" t="s">
        <v>74</v>
      </c>
      <c r="F291" t="s">
        <v>5751</v>
      </c>
      <c r="G291" t="s">
        <v>74</v>
      </c>
      <c r="H291" t="s">
        <v>74</v>
      </c>
      <c r="I291" t="s">
        <v>5752</v>
      </c>
      <c r="J291" t="s">
        <v>1408</v>
      </c>
      <c r="K291" t="s">
        <v>74</v>
      </c>
      <c r="L291" t="s">
        <v>74</v>
      </c>
      <c r="M291" t="s">
        <v>78</v>
      </c>
      <c r="N291" t="s">
        <v>79</v>
      </c>
      <c r="O291" t="s">
        <v>74</v>
      </c>
      <c r="P291" t="s">
        <v>74</v>
      </c>
      <c r="Q291" t="s">
        <v>74</v>
      </c>
      <c r="R291" t="s">
        <v>74</v>
      </c>
      <c r="S291" t="s">
        <v>74</v>
      </c>
      <c r="T291" t="s">
        <v>74</v>
      </c>
      <c r="U291" t="s">
        <v>5753</v>
      </c>
      <c r="V291" t="s">
        <v>5754</v>
      </c>
      <c r="W291" t="s">
        <v>5755</v>
      </c>
      <c r="X291" t="s">
        <v>5756</v>
      </c>
      <c r="Y291" t="s">
        <v>5757</v>
      </c>
      <c r="Z291" t="s">
        <v>5758</v>
      </c>
      <c r="AA291" t="s">
        <v>74</v>
      </c>
      <c r="AB291" t="s">
        <v>5759</v>
      </c>
      <c r="AC291" t="s">
        <v>5760</v>
      </c>
      <c r="AD291" t="s">
        <v>5761</v>
      </c>
      <c r="AE291" t="s">
        <v>5762</v>
      </c>
      <c r="AF291" t="s">
        <v>74</v>
      </c>
      <c r="AG291">
        <v>35</v>
      </c>
      <c r="AH291">
        <v>26</v>
      </c>
      <c r="AI291">
        <v>27</v>
      </c>
      <c r="AJ291">
        <v>0</v>
      </c>
      <c r="AK291">
        <v>2</v>
      </c>
      <c r="AL291" t="s">
        <v>681</v>
      </c>
      <c r="AM291" t="s">
        <v>682</v>
      </c>
      <c r="AN291" t="s">
        <v>683</v>
      </c>
      <c r="AO291" t="s">
        <v>1419</v>
      </c>
      <c r="AP291" t="s">
        <v>1420</v>
      </c>
      <c r="AQ291" t="s">
        <v>74</v>
      </c>
      <c r="AR291" t="s">
        <v>1421</v>
      </c>
      <c r="AS291" t="s">
        <v>1422</v>
      </c>
      <c r="AT291" t="s">
        <v>4623</v>
      </c>
      <c r="AU291">
        <v>2017</v>
      </c>
      <c r="AV291">
        <v>52</v>
      </c>
      <c r="AW291">
        <v>5</v>
      </c>
      <c r="AX291" t="s">
        <v>74</v>
      </c>
      <c r="AY291" t="s">
        <v>74</v>
      </c>
      <c r="AZ291" t="s">
        <v>74</v>
      </c>
      <c r="BA291" t="s">
        <v>74</v>
      </c>
      <c r="BB291">
        <v>1000</v>
      </c>
      <c r="BC291">
        <v>1013</v>
      </c>
      <c r="BD291" t="s">
        <v>74</v>
      </c>
      <c r="BE291" t="s">
        <v>5763</v>
      </c>
      <c r="BF291" t="str">
        <f>HYPERLINK("http://dx.doi.org/10.1111/maps.12830","http://dx.doi.org/10.1111/maps.12830")</f>
        <v>http://dx.doi.org/10.1111/maps.12830</v>
      </c>
      <c r="BG291" t="s">
        <v>74</v>
      </c>
      <c r="BH291" t="s">
        <v>74</v>
      </c>
      <c r="BI291">
        <v>14</v>
      </c>
      <c r="BJ291" t="s">
        <v>176</v>
      </c>
      <c r="BK291" t="s">
        <v>103</v>
      </c>
      <c r="BL291" t="s">
        <v>176</v>
      </c>
      <c r="BM291" t="s">
        <v>5730</v>
      </c>
      <c r="BN291" t="s">
        <v>74</v>
      </c>
      <c r="BO291" t="s">
        <v>384</v>
      </c>
      <c r="BP291" t="s">
        <v>74</v>
      </c>
      <c r="BQ291" t="s">
        <v>74</v>
      </c>
      <c r="BR291" t="s">
        <v>106</v>
      </c>
      <c r="BS291" t="s">
        <v>5764</v>
      </c>
      <c r="BT291" t="str">
        <f>HYPERLINK("https%3A%2F%2Fwww.webofscience.com%2Fwos%2Fwoscc%2Ffull-record%2FWOS:000401720000013","View Full Record in Web of Science")</f>
        <v>View Full Record in Web of Science</v>
      </c>
    </row>
    <row r="292" spans="1:72" x14ac:dyDescent="0.15">
      <c r="A292" t="s">
        <v>72</v>
      </c>
      <c r="B292" t="s">
        <v>5765</v>
      </c>
      <c r="C292" t="s">
        <v>74</v>
      </c>
      <c r="D292" t="s">
        <v>74</v>
      </c>
      <c r="E292" t="s">
        <v>74</v>
      </c>
      <c r="F292" t="s">
        <v>5766</v>
      </c>
      <c r="G292" t="s">
        <v>74</v>
      </c>
      <c r="H292" t="s">
        <v>74</v>
      </c>
      <c r="I292" t="s">
        <v>5767</v>
      </c>
      <c r="J292" t="s">
        <v>5768</v>
      </c>
      <c r="K292" t="s">
        <v>74</v>
      </c>
      <c r="L292" t="s">
        <v>74</v>
      </c>
      <c r="M292" t="s">
        <v>5769</v>
      </c>
      <c r="N292" t="s">
        <v>79</v>
      </c>
      <c r="O292" t="s">
        <v>74</v>
      </c>
      <c r="P292" t="s">
        <v>74</v>
      </c>
      <c r="Q292" t="s">
        <v>74</v>
      </c>
      <c r="R292" t="s">
        <v>74</v>
      </c>
      <c r="S292" t="s">
        <v>74</v>
      </c>
      <c r="T292" t="s">
        <v>5770</v>
      </c>
      <c r="U292" t="s">
        <v>5771</v>
      </c>
      <c r="V292" t="s">
        <v>5772</v>
      </c>
      <c r="W292" t="s">
        <v>5773</v>
      </c>
      <c r="X292" t="s">
        <v>5774</v>
      </c>
      <c r="Y292" t="s">
        <v>5775</v>
      </c>
      <c r="Z292" t="s">
        <v>5776</v>
      </c>
      <c r="AA292" t="s">
        <v>74</v>
      </c>
      <c r="AB292" t="s">
        <v>74</v>
      </c>
      <c r="AC292" t="s">
        <v>74</v>
      </c>
      <c r="AD292" t="s">
        <v>74</v>
      </c>
      <c r="AE292" t="s">
        <v>74</v>
      </c>
      <c r="AF292" t="s">
        <v>74</v>
      </c>
      <c r="AG292">
        <v>29</v>
      </c>
      <c r="AH292">
        <v>4</v>
      </c>
      <c r="AI292">
        <v>8</v>
      </c>
      <c r="AJ292">
        <v>2</v>
      </c>
      <c r="AK292">
        <v>50</v>
      </c>
      <c r="AL292" t="s">
        <v>5777</v>
      </c>
      <c r="AM292" t="s">
        <v>5778</v>
      </c>
      <c r="AN292" t="s">
        <v>5779</v>
      </c>
      <c r="AO292" t="s">
        <v>5780</v>
      </c>
      <c r="AP292" t="s">
        <v>74</v>
      </c>
      <c r="AQ292" t="s">
        <v>74</v>
      </c>
      <c r="AR292" t="s">
        <v>5781</v>
      </c>
      <c r="AS292" t="s">
        <v>5782</v>
      </c>
      <c r="AT292" t="s">
        <v>4623</v>
      </c>
      <c r="AU292">
        <v>2017</v>
      </c>
      <c r="AV292">
        <v>60</v>
      </c>
      <c r="AW292">
        <v>5</v>
      </c>
      <c r="AX292" t="s">
        <v>74</v>
      </c>
      <c r="AY292" t="s">
        <v>74</v>
      </c>
      <c r="AZ292" t="s">
        <v>74</v>
      </c>
      <c r="BA292" t="s">
        <v>74</v>
      </c>
      <c r="BB292">
        <v>1617</v>
      </c>
      <c r="BC292">
        <v>1629</v>
      </c>
      <c r="BD292" t="s">
        <v>74</v>
      </c>
      <c r="BE292" t="s">
        <v>5783</v>
      </c>
      <c r="BF292" t="str">
        <f>HYPERLINK("http://dx.doi.org/10.6038/cjg20170501","http://dx.doi.org/10.6038/cjg20170501")</f>
        <v>http://dx.doi.org/10.6038/cjg20170501</v>
      </c>
      <c r="BG292" t="s">
        <v>74</v>
      </c>
      <c r="BH292" t="s">
        <v>74</v>
      </c>
      <c r="BI292">
        <v>13</v>
      </c>
      <c r="BJ292" t="s">
        <v>176</v>
      </c>
      <c r="BK292" t="s">
        <v>103</v>
      </c>
      <c r="BL292" t="s">
        <v>176</v>
      </c>
      <c r="BM292" t="s">
        <v>5784</v>
      </c>
      <c r="BN292" t="s">
        <v>74</v>
      </c>
      <c r="BO292" t="s">
        <v>74</v>
      </c>
      <c r="BP292" t="s">
        <v>74</v>
      </c>
      <c r="BQ292" t="s">
        <v>74</v>
      </c>
      <c r="BR292" t="s">
        <v>106</v>
      </c>
      <c r="BS292" t="s">
        <v>5785</v>
      </c>
      <c r="BT292" t="str">
        <f>HYPERLINK("https%3A%2F%2Fwww.webofscience.com%2Fwos%2Fwoscc%2Ffull-record%2FWOS:000400803000001","View Full Record in Web of Science")</f>
        <v>View Full Record in Web of Science</v>
      </c>
    </row>
    <row r="293" spans="1:72" x14ac:dyDescent="0.15">
      <c r="A293" t="s">
        <v>72</v>
      </c>
      <c r="B293" t="s">
        <v>5786</v>
      </c>
      <c r="C293" t="s">
        <v>74</v>
      </c>
      <c r="D293" t="s">
        <v>74</v>
      </c>
      <c r="E293" t="s">
        <v>74</v>
      </c>
      <c r="F293" t="s">
        <v>5787</v>
      </c>
      <c r="G293" t="s">
        <v>74</v>
      </c>
      <c r="H293" t="s">
        <v>74</v>
      </c>
      <c r="I293" t="s">
        <v>5788</v>
      </c>
      <c r="J293" t="s">
        <v>5789</v>
      </c>
      <c r="K293" t="s">
        <v>74</v>
      </c>
      <c r="L293" t="s">
        <v>74</v>
      </c>
      <c r="M293" t="s">
        <v>78</v>
      </c>
      <c r="N293" t="s">
        <v>79</v>
      </c>
      <c r="O293" t="s">
        <v>74</v>
      </c>
      <c r="P293" t="s">
        <v>74</v>
      </c>
      <c r="Q293" t="s">
        <v>74</v>
      </c>
      <c r="R293" t="s">
        <v>74</v>
      </c>
      <c r="S293" t="s">
        <v>74</v>
      </c>
      <c r="T293" t="s">
        <v>5790</v>
      </c>
      <c r="U293" t="s">
        <v>5791</v>
      </c>
      <c r="V293" t="s">
        <v>5792</v>
      </c>
      <c r="W293" t="s">
        <v>5793</v>
      </c>
      <c r="X293" t="s">
        <v>5794</v>
      </c>
      <c r="Y293" t="s">
        <v>5795</v>
      </c>
      <c r="Z293" t="s">
        <v>74</v>
      </c>
      <c r="AA293" t="s">
        <v>74</v>
      </c>
      <c r="AB293" t="s">
        <v>5796</v>
      </c>
      <c r="AC293" t="s">
        <v>5797</v>
      </c>
      <c r="AD293" t="s">
        <v>5798</v>
      </c>
      <c r="AE293" t="s">
        <v>5799</v>
      </c>
      <c r="AF293" t="s">
        <v>74</v>
      </c>
      <c r="AG293">
        <v>31</v>
      </c>
      <c r="AH293">
        <v>0</v>
      </c>
      <c r="AI293">
        <v>0</v>
      </c>
      <c r="AJ293">
        <v>0</v>
      </c>
      <c r="AK293">
        <v>6</v>
      </c>
      <c r="AL293" t="s">
        <v>5800</v>
      </c>
      <c r="AM293" t="s">
        <v>5801</v>
      </c>
      <c r="AN293" t="s">
        <v>5802</v>
      </c>
      <c r="AO293" t="s">
        <v>5803</v>
      </c>
      <c r="AP293" t="s">
        <v>5804</v>
      </c>
      <c r="AQ293" t="s">
        <v>74</v>
      </c>
      <c r="AR293" t="s">
        <v>5805</v>
      </c>
      <c r="AS293" t="s">
        <v>5806</v>
      </c>
      <c r="AT293" t="s">
        <v>4623</v>
      </c>
      <c r="AU293">
        <v>2017</v>
      </c>
      <c r="AV293">
        <v>57</v>
      </c>
      <c r="AW293">
        <v>5</v>
      </c>
      <c r="AX293" t="s">
        <v>74</v>
      </c>
      <c r="AY293" t="s">
        <v>74</v>
      </c>
      <c r="AZ293" t="s">
        <v>100</v>
      </c>
      <c r="BA293" t="s">
        <v>74</v>
      </c>
      <c r="BB293">
        <v>381</v>
      </c>
      <c r="BC293">
        <v>384</v>
      </c>
      <c r="BD293" t="s">
        <v>74</v>
      </c>
      <c r="BE293" t="s">
        <v>5807</v>
      </c>
      <c r="BF293" t="str">
        <f>HYPERLINK("http://dx.doi.org/10.1002/ijch.201600133","http://dx.doi.org/10.1002/ijch.201600133")</f>
        <v>http://dx.doi.org/10.1002/ijch.201600133</v>
      </c>
      <c r="BG293" t="s">
        <v>74</v>
      </c>
      <c r="BH293" t="s">
        <v>74</v>
      </c>
      <c r="BI293">
        <v>4</v>
      </c>
      <c r="BJ293" t="s">
        <v>5808</v>
      </c>
      <c r="BK293" t="s">
        <v>103</v>
      </c>
      <c r="BL293" t="s">
        <v>5809</v>
      </c>
      <c r="BM293" t="s">
        <v>5810</v>
      </c>
      <c r="BN293" t="s">
        <v>74</v>
      </c>
      <c r="BO293" t="s">
        <v>74</v>
      </c>
      <c r="BP293" t="s">
        <v>74</v>
      </c>
      <c r="BQ293" t="s">
        <v>74</v>
      </c>
      <c r="BR293" t="s">
        <v>106</v>
      </c>
      <c r="BS293" t="s">
        <v>5811</v>
      </c>
      <c r="BT293" t="str">
        <f>HYPERLINK("https%3A%2F%2Fwww.webofscience.com%2Fwos%2Fwoscc%2Ffull-record%2FWOS:000401329000004","View Full Record in Web of Science")</f>
        <v>View Full Record in Web of Science</v>
      </c>
    </row>
    <row r="294" spans="1:72" x14ac:dyDescent="0.15">
      <c r="A294" t="s">
        <v>72</v>
      </c>
      <c r="B294" t="s">
        <v>5812</v>
      </c>
      <c r="C294" t="s">
        <v>74</v>
      </c>
      <c r="D294" t="s">
        <v>74</v>
      </c>
      <c r="E294" t="s">
        <v>74</v>
      </c>
      <c r="F294" t="s">
        <v>5813</v>
      </c>
      <c r="G294" t="s">
        <v>74</v>
      </c>
      <c r="H294" t="s">
        <v>74</v>
      </c>
      <c r="I294" t="s">
        <v>5814</v>
      </c>
      <c r="J294" t="s">
        <v>5815</v>
      </c>
      <c r="K294" t="s">
        <v>74</v>
      </c>
      <c r="L294" t="s">
        <v>74</v>
      </c>
      <c r="M294" t="s">
        <v>78</v>
      </c>
      <c r="N294" t="s">
        <v>79</v>
      </c>
      <c r="O294" t="s">
        <v>74</v>
      </c>
      <c r="P294" t="s">
        <v>74</v>
      </c>
      <c r="Q294" t="s">
        <v>74</v>
      </c>
      <c r="R294" t="s">
        <v>74</v>
      </c>
      <c r="S294" t="s">
        <v>74</v>
      </c>
      <c r="T294" t="s">
        <v>5816</v>
      </c>
      <c r="U294" t="s">
        <v>5817</v>
      </c>
      <c r="V294" t="s">
        <v>5818</v>
      </c>
      <c r="W294" t="s">
        <v>5819</v>
      </c>
      <c r="X294" t="s">
        <v>5820</v>
      </c>
      <c r="Y294" t="s">
        <v>5821</v>
      </c>
      <c r="Z294" t="s">
        <v>5822</v>
      </c>
      <c r="AA294" t="s">
        <v>5823</v>
      </c>
      <c r="AB294" t="s">
        <v>5824</v>
      </c>
      <c r="AC294" t="s">
        <v>5825</v>
      </c>
      <c r="AD294" t="s">
        <v>5826</v>
      </c>
      <c r="AE294" t="s">
        <v>5827</v>
      </c>
      <c r="AF294" t="s">
        <v>74</v>
      </c>
      <c r="AG294">
        <v>62</v>
      </c>
      <c r="AH294">
        <v>70</v>
      </c>
      <c r="AI294">
        <v>74</v>
      </c>
      <c r="AJ294">
        <v>1</v>
      </c>
      <c r="AK294">
        <v>14</v>
      </c>
      <c r="AL294" t="s">
        <v>374</v>
      </c>
      <c r="AM294" t="s">
        <v>93</v>
      </c>
      <c r="AN294" t="s">
        <v>375</v>
      </c>
      <c r="AO294" t="s">
        <v>5828</v>
      </c>
      <c r="AP294" t="s">
        <v>5829</v>
      </c>
      <c r="AQ294" t="s">
        <v>74</v>
      </c>
      <c r="AR294" t="s">
        <v>5830</v>
      </c>
      <c r="AS294" t="s">
        <v>5831</v>
      </c>
      <c r="AT294" t="s">
        <v>4623</v>
      </c>
      <c r="AU294">
        <v>2017</v>
      </c>
      <c r="AV294">
        <v>113</v>
      </c>
      <c r="AW294" t="s">
        <v>74</v>
      </c>
      <c r="AX294" t="s">
        <v>74</v>
      </c>
      <c r="AY294" t="s">
        <v>74</v>
      </c>
      <c r="AZ294" t="s">
        <v>74</v>
      </c>
      <c r="BA294" t="s">
        <v>74</v>
      </c>
      <c r="BB294">
        <v>50</v>
      </c>
      <c r="BC294">
        <v>65</v>
      </c>
      <c r="BD294" t="s">
        <v>74</v>
      </c>
      <c r="BE294" t="s">
        <v>5832</v>
      </c>
      <c r="BF294" t="str">
        <f>HYPERLINK("http://dx.doi.org/10.1016/j.ocemod.2017.03.012","http://dx.doi.org/10.1016/j.ocemod.2017.03.012")</f>
        <v>http://dx.doi.org/10.1016/j.ocemod.2017.03.012</v>
      </c>
      <c r="BG294" t="s">
        <v>74</v>
      </c>
      <c r="BH294" t="s">
        <v>74</v>
      </c>
      <c r="BI294">
        <v>16</v>
      </c>
      <c r="BJ294" t="s">
        <v>5833</v>
      </c>
      <c r="BK294" t="s">
        <v>103</v>
      </c>
      <c r="BL294" t="s">
        <v>5833</v>
      </c>
      <c r="BM294" t="s">
        <v>5834</v>
      </c>
      <c r="BN294" t="s">
        <v>74</v>
      </c>
      <c r="BO294" t="s">
        <v>384</v>
      </c>
      <c r="BP294" t="s">
        <v>74</v>
      </c>
      <c r="BQ294" t="s">
        <v>74</v>
      </c>
      <c r="BR294" t="s">
        <v>106</v>
      </c>
      <c r="BS294" t="s">
        <v>5835</v>
      </c>
      <c r="BT294" t="str">
        <f>HYPERLINK("https%3A%2F%2Fwww.webofscience.com%2Fwos%2Fwoscc%2Ffull-record%2FWOS:000401138400005","View Full Record in Web of Science")</f>
        <v>View Full Record in Web of Science</v>
      </c>
    </row>
    <row r="295" spans="1:72" x14ac:dyDescent="0.15">
      <c r="A295" t="s">
        <v>72</v>
      </c>
      <c r="B295" t="s">
        <v>5836</v>
      </c>
      <c r="C295" t="s">
        <v>74</v>
      </c>
      <c r="D295" t="s">
        <v>74</v>
      </c>
      <c r="E295" t="s">
        <v>74</v>
      </c>
      <c r="F295" t="s">
        <v>5837</v>
      </c>
      <c r="G295" t="s">
        <v>74</v>
      </c>
      <c r="H295" t="s">
        <v>74</v>
      </c>
      <c r="I295" t="s">
        <v>5838</v>
      </c>
      <c r="J295" t="s">
        <v>5839</v>
      </c>
      <c r="K295" t="s">
        <v>74</v>
      </c>
      <c r="L295" t="s">
        <v>74</v>
      </c>
      <c r="M295" t="s">
        <v>78</v>
      </c>
      <c r="N295" t="s">
        <v>79</v>
      </c>
      <c r="O295" t="s">
        <v>74</v>
      </c>
      <c r="P295" t="s">
        <v>74</v>
      </c>
      <c r="Q295" t="s">
        <v>74</v>
      </c>
      <c r="R295" t="s">
        <v>74</v>
      </c>
      <c r="S295" t="s">
        <v>74</v>
      </c>
      <c r="T295" t="s">
        <v>5840</v>
      </c>
      <c r="U295" t="s">
        <v>5841</v>
      </c>
      <c r="V295" t="s">
        <v>5842</v>
      </c>
      <c r="W295" t="s">
        <v>5843</v>
      </c>
      <c r="X295" t="s">
        <v>5844</v>
      </c>
      <c r="Y295" t="s">
        <v>5845</v>
      </c>
      <c r="Z295" t="s">
        <v>5846</v>
      </c>
      <c r="AA295" t="s">
        <v>5847</v>
      </c>
      <c r="AB295" t="s">
        <v>5848</v>
      </c>
      <c r="AC295" t="s">
        <v>5849</v>
      </c>
      <c r="AD295" t="s">
        <v>5850</v>
      </c>
      <c r="AE295" t="s">
        <v>5851</v>
      </c>
      <c r="AF295" t="s">
        <v>74</v>
      </c>
      <c r="AG295">
        <v>42</v>
      </c>
      <c r="AH295">
        <v>1</v>
      </c>
      <c r="AI295">
        <v>1</v>
      </c>
      <c r="AJ295">
        <v>3</v>
      </c>
      <c r="AK295">
        <v>39</v>
      </c>
      <c r="AL295" t="s">
        <v>5852</v>
      </c>
      <c r="AM295" t="s">
        <v>5853</v>
      </c>
      <c r="AN295" t="s">
        <v>5854</v>
      </c>
      <c r="AO295" t="s">
        <v>5855</v>
      </c>
      <c r="AP295" t="s">
        <v>5856</v>
      </c>
      <c r="AQ295" t="s">
        <v>74</v>
      </c>
      <c r="AR295" t="s">
        <v>5857</v>
      </c>
      <c r="AS295" t="s">
        <v>5858</v>
      </c>
      <c r="AT295" t="s">
        <v>4623</v>
      </c>
      <c r="AU295">
        <v>2017</v>
      </c>
      <c r="AV295">
        <v>228</v>
      </c>
      <c r="AW295">
        <v>5</v>
      </c>
      <c r="AX295" t="s">
        <v>74</v>
      </c>
      <c r="AY295" t="s">
        <v>74</v>
      </c>
      <c r="AZ295" t="s">
        <v>74</v>
      </c>
      <c r="BA295" t="s">
        <v>74</v>
      </c>
      <c r="BB295" t="s">
        <v>74</v>
      </c>
      <c r="BC295" t="s">
        <v>74</v>
      </c>
      <c r="BD295">
        <v>188</v>
      </c>
      <c r="BE295" t="s">
        <v>5859</v>
      </c>
      <c r="BF295" t="str">
        <f>HYPERLINK("http://dx.doi.org/10.1007/s11270-017-3367-8","http://dx.doi.org/10.1007/s11270-017-3367-8")</f>
        <v>http://dx.doi.org/10.1007/s11270-017-3367-8</v>
      </c>
      <c r="BG295" t="s">
        <v>74</v>
      </c>
      <c r="BH295" t="s">
        <v>74</v>
      </c>
      <c r="BI295">
        <v>11</v>
      </c>
      <c r="BJ295" t="s">
        <v>5860</v>
      </c>
      <c r="BK295" t="s">
        <v>103</v>
      </c>
      <c r="BL295" t="s">
        <v>5861</v>
      </c>
      <c r="BM295" t="s">
        <v>5862</v>
      </c>
      <c r="BN295" t="s">
        <v>74</v>
      </c>
      <c r="BO295" t="s">
        <v>1538</v>
      </c>
      <c r="BP295" t="s">
        <v>74</v>
      </c>
      <c r="BQ295" t="s">
        <v>74</v>
      </c>
      <c r="BR295" t="s">
        <v>106</v>
      </c>
      <c r="BS295" t="s">
        <v>5863</v>
      </c>
      <c r="BT295" t="str">
        <f>HYPERLINK("https%3A%2F%2Fwww.webofscience.com%2Fwos%2Fwoscc%2Ffull-record%2FWOS:000401070100018","View Full Record in Web of Science")</f>
        <v>View Full Record in Web of Science</v>
      </c>
    </row>
    <row r="296" spans="1:72" x14ac:dyDescent="0.15">
      <c r="A296" t="s">
        <v>72</v>
      </c>
      <c r="B296" t="s">
        <v>5864</v>
      </c>
      <c r="C296" t="s">
        <v>74</v>
      </c>
      <c r="D296" t="s">
        <v>74</v>
      </c>
      <c r="E296" t="s">
        <v>74</v>
      </c>
      <c r="F296" t="s">
        <v>5865</v>
      </c>
      <c r="G296" t="s">
        <v>74</v>
      </c>
      <c r="H296" t="s">
        <v>74</v>
      </c>
      <c r="I296" t="s">
        <v>5866</v>
      </c>
      <c r="J296" t="s">
        <v>5867</v>
      </c>
      <c r="K296" t="s">
        <v>74</v>
      </c>
      <c r="L296" t="s">
        <v>74</v>
      </c>
      <c r="M296" t="s">
        <v>78</v>
      </c>
      <c r="N296" t="s">
        <v>79</v>
      </c>
      <c r="O296" t="s">
        <v>74</v>
      </c>
      <c r="P296" t="s">
        <v>74</v>
      </c>
      <c r="Q296" t="s">
        <v>74</v>
      </c>
      <c r="R296" t="s">
        <v>74</v>
      </c>
      <c r="S296" t="s">
        <v>74</v>
      </c>
      <c r="T296" t="s">
        <v>5868</v>
      </c>
      <c r="U296" t="s">
        <v>5869</v>
      </c>
      <c r="V296" t="s">
        <v>5870</v>
      </c>
      <c r="W296" t="s">
        <v>5871</v>
      </c>
      <c r="X296" t="s">
        <v>5872</v>
      </c>
      <c r="Y296" t="s">
        <v>5873</v>
      </c>
      <c r="Z296" t="s">
        <v>5874</v>
      </c>
      <c r="AA296" t="s">
        <v>5875</v>
      </c>
      <c r="AB296" t="s">
        <v>74</v>
      </c>
      <c r="AC296" t="s">
        <v>5876</v>
      </c>
      <c r="AD296" t="s">
        <v>5877</v>
      </c>
      <c r="AE296" t="s">
        <v>5878</v>
      </c>
      <c r="AF296" t="s">
        <v>74</v>
      </c>
      <c r="AG296">
        <v>48</v>
      </c>
      <c r="AH296">
        <v>4</v>
      </c>
      <c r="AI296">
        <v>4</v>
      </c>
      <c r="AJ296">
        <v>0</v>
      </c>
      <c r="AK296">
        <v>13</v>
      </c>
      <c r="AL296" t="s">
        <v>5879</v>
      </c>
      <c r="AM296" t="s">
        <v>430</v>
      </c>
      <c r="AN296" t="s">
        <v>5880</v>
      </c>
      <c r="AO296" t="s">
        <v>5881</v>
      </c>
      <c r="AP296" t="s">
        <v>5882</v>
      </c>
      <c r="AQ296" t="s">
        <v>74</v>
      </c>
      <c r="AR296" t="s">
        <v>5883</v>
      </c>
      <c r="AS296" t="s">
        <v>5884</v>
      </c>
      <c r="AT296" t="s">
        <v>4623</v>
      </c>
      <c r="AU296">
        <v>2017</v>
      </c>
      <c r="AV296">
        <v>207</v>
      </c>
      <c r="AW296" t="s">
        <v>74</v>
      </c>
      <c r="AX296" t="s">
        <v>74</v>
      </c>
      <c r="AY296" t="s">
        <v>74</v>
      </c>
      <c r="AZ296" t="s">
        <v>74</v>
      </c>
      <c r="BA296" t="s">
        <v>74</v>
      </c>
      <c r="BB296">
        <v>100</v>
      </c>
      <c r="BC296">
        <v>106</v>
      </c>
      <c r="BD296" t="s">
        <v>74</v>
      </c>
      <c r="BE296" t="s">
        <v>5885</v>
      </c>
      <c r="BF296" t="str">
        <f>HYPERLINK("http://dx.doi.org/10.1016/j.cbpa.2017.02.026","http://dx.doi.org/10.1016/j.cbpa.2017.02.026")</f>
        <v>http://dx.doi.org/10.1016/j.cbpa.2017.02.026</v>
      </c>
      <c r="BG296" t="s">
        <v>74</v>
      </c>
      <c r="BH296" t="s">
        <v>74</v>
      </c>
      <c r="BI296">
        <v>7</v>
      </c>
      <c r="BJ296" t="s">
        <v>5886</v>
      </c>
      <c r="BK296" t="s">
        <v>103</v>
      </c>
      <c r="BL296" t="s">
        <v>5886</v>
      </c>
      <c r="BM296" t="s">
        <v>5887</v>
      </c>
      <c r="BN296">
        <v>28263884</v>
      </c>
      <c r="BO296" t="s">
        <v>1538</v>
      </c>
      <c r="BP296" t="s">
        <v>74</v>
      </c>
      <c r="BQ296" t="s">
        <v>74</v>
      </c>
      <c r="BR296" t="s">
        <v>106</v>
      </c>
      <c r="BS296" t="s">
        <v>5888</v>
      </c>
      <c r="BT296" t="str">
        <f>HYPERLINK("https%3A%2F%2Fwww.webofscience.com%2Fwos%2Fwoscc%2Ffull-record%2FWOS:000400535700013","View Full Record in Web of Science")</f>
        <v>View Full Record in Web of Science</v>
      </c>
    </row>
    <row r="297" spans="1:72" x14ac:dyDescent="0.15">
      <c r="A297" t="s">
        <v>72</v>
      </c>
      <c r="B297" t="s">
        <v>5889</v>
      </c>
      <c r="C297" t="s">
        <v>74</v>
      </c>
      <c r="D297" t="s">
        <v>74</v>
      </c>
      <c r="E297" t="s">
        <v>74</v>
      </c>
      <c r="F297" t="s">
        <v>5890</v>
      </c>
      <c r="G297" t="s">
        <v>74</v>
      </c>
      <c r="H297" t="s">
        <v>74</v>
      </c>
      <c r="I297" t="s">
        <v>5891</v>
      </c>
      <c r="J297" t="s">
        <v>5892</v>
      </c>
      <c r="K297" t="s">
        <v>74</v>
      </c>
      <c r="L297" t="s">
        <v>74</v>
      </c>
      <c r="M297" t="s">
        <v>78</v>
      </c>
      <c r="N297" t="s">
        <v>79</v>
      </c>
      <c r="O297" t="s">
        <v>74</v>
      </c>
      <c r="P297" t="s">
        <v>74</v>
      </c>
      <c r="Q297" t="s">
        <v>74</v>
      </c>
      <c r="R297" t="s">
        <v>74</v>
      </c>
      <c r="S297" t="s">
        <v>74</v>
      </c>
      <c r="T297" t="s">
        <v>5893</v>
      </c>
      <c r="U297" t="s">
        <v>5894</v>
      </c>
      <c r="V297" t="s">
        <v>5895</v>
      </c>
      <c r="W297" t="s">
        <v>5896</v>
      </c>
      <c r="X297" t="s">
        <v>5897</v>
      </c>
      <c r="Y297" t="s">
        <v>5898</v>
      </c>
      <c r="Z297" t="s">
        <v>5899</v>
      </c>
      <c r="AA297" t="s">
        <v>74</v>
      </c>
      <c r="AB297" t="s">
        <v>74</v>
      </c>
      <c r="AC297" t="s">
        <v>1881</v>
      </c>
      <c r="AD297" t="s">
        <v>1881</v>
      </c>
      <c r="AE297" t="s">
        <v>5900</v>
      </c>
      <c r="AF297" t="s">
        <v>74</v>
      </c>
      <c r="AG297">
        <v>75</v>
      </c>
      <c r="AH297">
        <v>5</v>
      </c>
      <c r="AI297">
        <v>6</v>
      </c>
      <c r="AJ297">
        <v>1</v>
      </c>
      <c r="AK297">
        <v>9</v>
      </c>
      <c r="AL297" t="s">
        <v>5901</v>
      </c>
      <c r="AM297" t="s">
        <v>5902</v>
      </c>
      <c r="AN297" t="s">
        <v>5903</v>
      </c>
      <c r="AO297" t="s">
        <v>5904</v>
      </c>
      <c r="AP297" t="s">
        <v>74</v>
      </c>
      <c r="AQ297" t="s">
        <v>74</v>
      </c>
      <c r="AR297" t="s">
        <v>5905</v>
      </c>
      <c r="AS297" t="s">
        <v>5906</v>
      </c>
      <c r="AT297" t="s">
        <v>4623</v>
      </c>
      <c r="AU297">
        <v>2017</v>
      </c>
      <c r="AV297">
        <v>8</v>
      </c>
      <c r="AW297">
        <v>3</v>
      </c>
      <c r="AX297" t="s">
        <v>74</v>
      </c>
      <c r="AY297" t="s">
        <v>74</v>
      </c>
      <c r="AZ297" t="s">
        <v>74</v>
      </c>
      <c r="BA297" t="s">
        <v>74</v>
      </c>
      <c r="BB297">
        <v>507</v>
      </c>
      <c r="BC297">
        <v>516</v>
      </c>
      <c r="BD297" t="s">
        <v>74</v>
      </c>
      <c r="BE297" t="s">
        <v>5907</v>
      </c>
      <c r="BF297" t="str">
        <f>HYPERLINK("http://dx.doi.org/10.1016/j.gsf.2016.05.002","http://dx.doi.org/10.1016/j.gsf.2016.05.002")</f>
        <v>http://dx.doi.org/10.1016/j.gsf.2016.05.002</v>
      </c>
      <c r="BG297" t="s">
        <v>74</v>
      </c>
      <c r="BH297" t="s">
        <v>74</v>
      </c>
      <c r="BI297">
        <v>10</v>
      </c>
      <c r="BJ297" t="s">
        <v>437</v>
      </c>
      <c r="BK297" t="s">
        <v>103</v>
      </c>
      <c r="BL297" t="s">
        <v>438</v>
      </c>
      <c r="BM297" t="s">
        <v>5908</v>
      </c>
      <c r="BN297" t="s">
        <v>74</v>
      </c>
      <c r="BO297" t="s">
        <v>131</v>
      </c>
      <c r="BP297" t="s">
        <v>74</v>
      </c>
      <c r="BQ297" t="s">
        <v>74</v>
      </c>
      <c r="BR297" t="s">
        <v>106</v>
      </c>
      <c r="BS297" t="s">
        <v>5909</v>
      </c>
      <c r="BT297" t="str">
        <f>HYPERLINK("https%3A%2F%2Fwww.webofscience.com%2Fwos%2Fwoscc%2Ffull-record%2FWOS:000400597400009","View Full Record in Web of Science")</f>
        <v>View Full Record in Web of Science</v>
      </c>
    </row>
    <row r="298" spans="1:72" x14ac:dyDescent="0.15">
      <c r="A298" t="s">
        <v>72</v>
      </c>
      <c r="B298" t="s">
        <v>5910</v>
      </c>
      <c r="C298" t="s">
        <v>74</v>
      </c>
      <c r="D298" t="s">
        <v>74</v>
      </c>
      <c r="E298" t="s">
        <v>74</v>
      </c>
      <c r="F298" t="s">
        <v>5911</v>
      </c>
      <c r="G298" t="s">
        <v>74</v>
      </c>
      <c r="H298" t="s">
        <v>74</v>
      </c>
      <c r="I298" t="s">
        <v>5912</v>
      </c>
      <c r="J298" t="s">
        <v>5913</v>
      </c>
      <c r="K298" t="s">
        <v>74</v>
      </c>
      <c r="L298" t="s">
        <v>74</v>
      </c>
      <c r="M298" t="s">
        <v>78</v>
      </c>
      <c r="N298" t="s">
        <v>79</v>
      </c>
      <c r="O298" t="s">
        <v>74</v>
      </c>
      <c r="P298" t="s">
        <v>74</v>
      </c>
      <c r="Q298" t="s">
        <v>74</v>
      </c>
      <c r="R298" t="s">
        <v>74</v>
      </c>
      <c r="S298" t="s">
        <v>74</v>
      </c>
      <c r="T298" t="s">
        <v>5914</v>
      </c>
      <c r="U298" t="s">
        <v>5915</v>
      </c>
      <c r="V298" t="s">
        <v>5916</v>
      </c>
      <c r="W298" t="s">
        <v>5917</v>
      </c>
      <c r="X298" t="s">
        <v>5918</v>
      </c>
      <c r="Y298" t="s">
        <v>5919</v>
      </c>
      <c r="Z298" t="s">
        <v>5920</v>
      </c>
      <c r="AA298" t="s">
        <v>74</v>
      </c>
      <c r="AB298" t="s">
        <v>5921</v>
      </c>
      <c r="AC298" t="s">
        <v>5922</v>
      </c>
      <c r="AD298" t="s">
        <v>5923</v>
      </c>
      <c r="AE298" t="s">
        <v>5924</v>
      </c>
      <c r="AF298" t="s">
        <v>74</v>
      </c>
      <c r="AG298">
        <v>52</v>
      </c>
      <c r="AH298">
        <v>35</v>
      </c>
      <c r="AI298">
        <v>37</v>
      </c>
      <c r="AJ298">
        <v>1</v>
      </c>
      <c r="AK298">
        <v>40</v>
      </c>
      <c r="AL298" t="s">
        <v>5925</v>
      </c>
      <c r="AM298" t="s">
        <v>5926</v>
      </c>
      <c r="AN298" t="s">
        <v>5927</v>
      </c>
      <c r="AO298" t="s">
        <v>5928</v>
      </c>
      <c r="AP298" t="s">
        <v>5929</v>
      </c>
      <c r="AQ298" t="s">
        <v>74</v>
      </c>
      <c r="AR298" t="s">
        <v>5913</v>
      </c>
      <c r="AS298" t="s">
        <v>5930</v>
      </c>
      <c r="AT298" t="s">
        <v>4623</v>
      </c>
      <c r="AU298">
        <v>2017</v>
      </c>
      <c r="AV298">
        <v>21</v>
      </c>
      <c r="AW298">
        <v>3</v>
      </c>
      <c r="AX298" t="s">
        <v>74</v>
      </c>
      <c r="AY298" t="s">
        <v>74</v>
      </c>
      <c r="AZ298" t="s">
        <v>74</v>
      </c>
      <c r="BA298" t="s">
        <v>74</v>
      </c>
      <c r="BB298">
        <v>445</v>
      </c>
      <c r="BC298">
        <v>457</v>
      </c>
      <c r="BD298" t="s">
        <v>74</v>
      </c>
      <c r="BE298" t="s">
        <v>5931</v>
      </c>
      <c r="BF298" t="str">
        <f>HYPERLINK("http://dx.doi.org/10.1007/s00792-017-0915-5","http://dx.doi.org/10.1007/s00792-017-0915-5")</f>
        <v>http://dx.doi.org/10.1007/s00792-017-0915-5</v>
      </c>
      <c r="BG298" t="s">
        <v>74</v>
      </c>
      <c r="BH298" t="s">
        <v>74</v>
      </c>
      <c r="BI298">
        <v>13</v>
      </c>
      <c r="BJ298" t="s">
        <v>5932</v>
      </c>
      <c r="BK298" t="s">
        <v>103</v>
      </c>
      <c r="BL298" t="s">
        <v>5932</v>
      </c>
      <c r="BM298" t="s">
        <v>5933</v>
      </c>
      <c r="BN298">
        <v>28271165</v>
      </c>
      <c r="BO298" t="s">
        <v>74</v>
      </c>
      <c r="BP298" t="s">
        <v>74</v>
      </c>
      <c r="BQ298" t="s">
        <v>74</v>
      </c>
      <c r="BR298" t="s">
        <v>106</v>
      </c>
      <c r="BS298" t="s">
        <v>5934</v>
      </c>
      <c r="BT298" t="str">
        <f>HYPERLINK("https%3A%2F%2Fwww.webofscience.com%2Fwos%2Fwoscc%2Ffull-record%2FWOS:000400233700002","View Full Record in Web of Science")</f>
        <v>View Full Record in Web of Science</v>
      </c>
    </row>
    <row r="299" spans="1:72" x14ac:dyDescent="0.15">
      <c r="A299" t="s">
        <v>72</v>
      </c>
      <c r="B299" t="s">
        <v>5935</v>
      </c>
      <c r="C299" t="s">
        <v>74</v>
      </c>
      <c r="D299" t="s">
        <v>74</v>
      </c>
      <c r="E299" t="s">
        <v>74</v>
      </c>
      <c r="F299" t="s">
        <v>5936</v>
      </c>
      <c r="G299" t="s">
        <v>74</v>
      </c>
      <c r="H299" t="s">
        <v>74</v>
      </c>
      <c r="I299" t="s">
        <v>5937</v>
      </c>
      <c r="J299" t="s">
        <v>5913</v>
      </c>
      <c r="K299" t="s">
        <v>74</v>
      </c>
      <c r="L299" t="s">
        <v>74</v>
      </c>
      <c r="M299" t="s">
        <v>78</v>
      </c>
      <c r="N299" t="s">
        <v>79</v>
      </c>
      <c r="O299" t="s">
        <v>74</v>
      </c>
      <c r="P299" t="s">
        <v>74</v>
      </c>
      <c r="Q299" t="s">
        <v>74</v>
      </c>
      <c r="R299" t="s">
        <v>74</v>
      </c>
      <c r="S299" t="s">
        <v>74</v>
      </c>
      <c r="T299" t="s">
        <v>5938</v>
      </c>
      <c r="U299" t="s">
        <v>5939</v>
      </c>
      <c r="V299" t="s">
        <v>5940</v>
      </c>
      <c r="W299" t="s">
        <v>5941</v>
      </c>
      <c r="X299" t="s">
        <v>5942</v>
      </c>
      <c r="Y299" t="s">
        <v>5943</v>
      </c>
      <c r="Z299" t="s">
        <v>5944</v>
      </c>
      <c r="AA299" t="s">
        <v>74</v>
      </c>
      <c r="AB299" t="s">
        <v>5945</v>
      </c>
      <c r="AC299" t="s">
        <v>5946</v>
      </c>
      <c r="AD299" t="s">
        <v>5947</v>
      </c>
      <c r="AE299" t="s">
        <v>5948</v>
      </c>
      <c r="AF299" t="s">
        <v>74</v>
      </c>
      <c r="AG299">
        <v>33</v>
      </c>
      <c r="AH299">
        <v>8</v>
      </c>
      <c r="AI299">
        <v>8</v>
      </c>
      <c r="AJ299">
        <v>3</v>
      </c>
      <c r="AK299">
        <v>34</v>
      </c>
      <c r="AL299" t="s">
        <v>5925</v>
      </c>
      <c r="AM299" t="s">
        <v>5926</v>
      </c>
      <c r="AN299" t="s">
        <v>5927</v>
      </c>
      <c r="AO299" t="s">
        <v>5928</v>
      </c>
      <c r="AP299" t="s">
        <v>5929</v>
      </c>
      <c r="AQ299" t="s">
        <v>74</v>
      </c>
      <c r="AR299" t="s">
        <v>5913</v>
      </c>
      <c r="AS299" t="s">
        <v>5930</v>
      </c>
      <c r="AT299" t="s">
        <v>4623</v>
      </c>
      <c r="AU299">
        <v>2017</v>
      </c>
      <c r="AV299">
        <v>21</v>
      </c>
      <c r="AW299">
        <v>3</v>
      </c>
      <c r="AX299" t="s">
        <v>74</v>
      </c>
      <c r="AY299" t="s">
        <v>74</v>
      </c>
      <c r="AZ299" t="s">
        <v>74</v>
      </c>
      <c r="BA299" t="s">
        <v>74</v>
      </c>
      <c r="BB299">
        <v>581</v>
      </c>
      <c r="BC299">
        <v>589</v>
      </c>
      <c r="BD299" t="s">
        <v>74</v>
      </c>
      <c r="BE299" t="s">
        <v>5949</v>
      </c>
      <c r="BF299" t="str">
        <f>HYPERLINK("http://dx.doi.org/10.1007/s00792-017-0927-1","http://dx.doi.org/10.1007/s00792-017-0927-1")</f>
        <v>http://dx.doi.org/10.1007/s00792-017-0927-1</v>
      </c>
      <c r="BG299" t="s">
        <v>74</v>
      </c>
      <c r="BH299" t="s">
        <v>74</v>
      </c>
      <c r="BI299">
        <v>9</v>
      </c>
      <c r="BJ299" t="s">
        <v>5932</v>
      </c>
      <c r="BK299" t="s">
        <v>103</v>
      </c>
      <c r="BL299" t="s">
        <v>5932</v>
      </c>
      <c r="BM299" t="s">
        <v>5933</v>
      </c>
      <c r="BN299">
        <v>28314921</v>
      </c>
      <c r="BO299" t="s">
        <v>74</v>
      </c>
      <c r="BP299" t="s">
        <v>74</v>
      </c>
      <c r="BQ299" t="s">
        <v>74</v>
      </c>
      <c r="BR299" t="s">
        <v>106</v>
      </c>
      <c r="BS299" t="s">
        <v>5950</v>
      </c>
      <c r="BT299" t="str">
        <f>HYPERLINK("https%3A%2F%2Fwww.webofscience.com%2Fwos%2Fwoscc%2Ffull-record%2FWOS:000400233700014","View Full Record in Web of Science")</f>
        <v>View Full Record in Web of Science</v>
      </c>
    </row>
    <row r="300" spans="1:72" x14ac:dyDescent="0.15">
      <c r="A300" t="s">
        <v>72</v>
      </c>
      <c r="B300" t="s">
        <v>5951</v>
      </c>
      <c r="C300" t="s">
        <v>74</v>
      </c>
      <c r="D300" t="s">
        <v>74</v>
      </c>
      <c r="E300" t="s">
        <v>74</v>
      </c>
      <c r="F300" t="s">
        <v>5952</v>
      </c>
      <c r="G300" t="s">
        <v>74</v>
      </c>
      <c r="H300" t="s">
        <v>74</v>
      </c>
      <c r="I300" t="s">
        <v>5953</v>
      </c>
      <c r="J300" t="s">
        <v>5954</v>
      </c>
      <c r="K300" t="s">
        <v>74</v>
      </c>
      <c r="L300" t="s">
        <v>74</v>
      </c>
      <c r="M300" t="s">
        <v>78</v>
      </c>
      <c r="N300" t="s">
        <v>79</v>
      </c>
      <c r="O300" t="s">
        <v>74</v>
      </c>
      <c r="P300" t="s">
        <v>74</v>
      </c>
      <c r="Q300" t="s">
        <v>74</v>
      </c>
      <c r="R300" t="s">
        <v>74</v>
      </c>
      <c r="S300" t="s">
        <v>74</v>
      </c>
      <c r="T300" t="s">
        <v>5955</v>
      </c>
      <c r="U300" t="s">
        <v>5956</v>
      </c>
      <c r="V300" t="s">
        <v>5957</v>
      </c>
      <c r="W300" t="s">
        <v>5958</v>
      </c>
      <c r="X300" t="s">
        <v>5959</v>
      </c>
      <c r="Y300" t="s">
        <v>5960</v>
      </c>
      <c r="Z300" t="s">
        <v>5961</v>
      </c>
      <c r="AA300" t="s">
        <v>5962</v>
      </c>
      <c r="AB300" t="s">
        <v>5963</v>
      </c>
      <c r="AC300" t="s">
        <v>5964</v>
      </c>
      <c r="AD300" t="s">
        <v>5965</v>
      </c>
      <c r="AE300" t="s">
        <v>5966</v>
      </c>
      <c r="AF300" t="s">
        <v>74</v>
      </c>
      <c r="AG300">
        <v>47</v>
      </c>
      <c r="AH300">
        <v>78</v>
      </c>
      <c r="AI300">
        <v>82</v>
      </c>
      <c r="AJ300">
        <v>1</v>
      </c>
      <c r="AK300">
        <v>46</v>
      </c>
      <c r="AL300" t="s">
        <v>681</v>
      </c>
      <c r="AM300" t="s">
        <v>682</v>
      </c>
      <c r="AN300" t="s">
        <v>683</v>
      </c>
      <c r="AO300" t="s">
        <v>5967</v>
      </c>
      <c r="AP300" t="s">
        <v>5968</v>
      </c>
      <c r="AQ300" t="s">
        <v>74</v>
      </c>
      <c r="AR300" t="s">
        <v>5969</v>
      </c>
      <c r="AS300" t="s">
        <v>5970</v>
      </c>
      <c r="AT300" t="s">
        <v>4623</v>
      </c>
      <c r="AU300">
        <v>2017</v>
      </c>
      <c r="AV300">
        <v>18</v>
      </c>
      <c r="AW300">
        <v>3</v>
      </c>
      <c r="AX300" t="s">
        <v>74</v>
      </c>
      <c r="AY300" t="s">
        <v>74</v>
      </c>
      <c r="AZ300" t="s">
        <v>74</v>
      </c>
      <c r="BA300" t="s">
        <v>74</v>
      </c>
      <c r="BB300">
        <v>489</v>
      </c>
      <c r="BC300">
        <v>505</v>
      </c>
      <c r="BD300" t="s">
        <v>74</v>
      </c>
      <c r="BE300" t="s">
        <v>5971</v>
      </c>
      <c r="BF300" t="str">
        <f>HYPERLINK("http://dx.doi.org/10.1111/faf.12187","http://dx.doi.org/10.1111/faf.12187")</f>
        <v>http://dx.doi.org/10.1111/faf.12187</v>
      </c>
      <c r="BG300" t="s">
        <v>74</v>
      </c>
      <c r="BH300" t="s">
        <v>74</v>
      </c>
      <c r="BI300">
        <v>17</v>
      </c>
      <c r="BJ300" t="s">
        <v>785</v>
      </c>
      <c r="BK300" t="s">
        <v>103</v>
      </c>
      <c r="BL300" t="s">
        <v>785</v>
      </c>
      <c r="BM300" t="s">
        <v>5972</v>
      </c>
      <c r="BN300" t="s">
        <v>74</v>
      </c>
      <c r="BO300" t="s">
        <v>74</v>
      </c>
      <c r="BP300" t="s">
        <v>74</v>
      </c>
      <c r="BQ300" t="s">
        <v>74</v>
      </c>
      <c r="BR300" t="s">
        <v>106</v>
      </c>
      <c r="BS300" t="s">
        <v>5973</v>
      </c>
      <c r="BT300" t="str">
        <f>HYPERLINK("https%3A%2F%2Fwww.webofscience.com%2Fwos%2Fwoscc%2Ffull-record%2FWOS:000400327400005","View Full Record in Web of Science")</f>
        <v>View Full Record in Web of Science</v>
      </c>
    </row>
    <row r="301" spans="1:72" x14ac:dyDescent="0.15">
      <c r="A301" t="s">
        <v>72</v>
      </c>
      <c r="B301" t="s">
        <v>5974</v>
      </c>
      <c r="C301" t="s">
        <v>74</v>
      </c>
      <c r="D301" t="s">
        <v>74</v>
      </c>
      <c r="E301" t="s">
        <v>74</v>
      </c>
      <c r="F301" t="s">
        <v>5975</v>
      </c>
      <c r="G301" t="s">
        <v>74</v>
      </c>
      <c r="H301" t="s">
        <v>74</v>
      </c>
      <c r="I301" t="s">
        <v>5976</v>
      </c>
      <c r="J301" t="s">
        <v>5977</v>
      </c>
      <c r="K301" t="s">
        <v>74</v>
      </c>
      <c r="L301" t="s">
        <v>74</v>
      </c>
      <c r="M301" t="s">
        <v>78</v>
      </c>
      <c r="N301" t="s">
        <v>79</v>
      </c>
      <c r="O301" t="s">
        <v>74</v>
      </c>
      <c r="P301" t="s">
        <v>74</v>
      </c>
      <c r="Q301" t="s">
        <v>74</v>
      </c>
      <c r="R301" t="s">
        <v>74</v>
      </c>
      <c r="S301" t="s">
        <v>74</v>
      </c>
      <c r="T301" t="s">
        <v>5978</v>
      </c>
      <c r="U301" t="s">
        <v>5979</v>
      </c>
      <c r="V301" t="s">
        <v>5980</v>
      </c>
      <c r="W301" t="s">
        <v>5981</v>
      </c>
      <c r="X301" t="s">
        <v>5982</v>
      </c>
      <c r="Y301" t="s">
        <v>5983</v>
      </c>
      <c r="Z301" t="s">
        <v>5984</v>
      </c>
      <c r="AA301" t="s">
        <v>5985</v>
      </c>
      <c r="AB301" t="s">
        <v>5986</v>
      </c>
      <c r="AC301" t="s">
        <v>5987</v>
      </c>
      <c r="AD301" t="s">
        <v>5988</v>
      </c>
      <c r="AE301" t="s">
        <v>5989</v>
      </c>
      <c r="AF301" t="s">
        <v>74</v>
      </c>
      <c r="AG301">
        <v>63</v>
      </c>
      <c r="AH301">
        <v>20</v>
      </c>
      <c r="AI301">
        <v>27</v>
      </c>
      <c r="AJ301">
        <v>2</v>
      </c>
      <c r="AK301">
        <v>54</v>
      </c>
      <c r="AL301" t="s">
        <v>289</v>
      </c>
      <c r="AM301" t="s">
        <v>290</v>
      </c>
      <c r="AN301" t="s">
        <v>291</v>
      </c>
      <c r="AO301" t="s">
        <v>5990</v>
      </c>
      <c r="AP301" t="s">
        <v>5991</v>
      </c>
      <c r="AQ301" t="s">
        <v>74</v>
      </c>
      <c r="AR301" t="s">
        <v>5992</v>
      </c>
      <c r="AS301" t="s">
        <v>5993</v>
      </c>
      <c r="AT301" t="s">
        <v>4623</v>
      </c>
      <c r="AU301">
        <v>2017</v>
      </c>
      <c r="AV301">
        <v>55</v>
      </c>
      <c r="AW301">
        <v>5</v>
      </c>
      <c r="AX301" t="s">
        <v>74</v>
      </c>
      <c r="AY301" t="s">
        <v>74</v>
      </c>
      <c r="AZ301" t="s">
        <v>74</v>
      </c>
      <c r="BA301" t="s">
        <v>74</v>
      </c>
      <c r="BB301">
        <v>2771</v>
      </c>
      <c r="BC301">
        <v>2785</v>
      </c>
      <c r="BD301" t="s">
        <v>74</v>
      </c>
      <c r="BE301" t="s">
        <v>5994</v>
      </c>
      <c r="BF301" t="str">
        <f>HYPERLINK("http://dx.doi.org/10.1109/TGRS.2017.2654484","http://dx.doi.org/10.1109/TGRS.2017.2654484")</f>
        <v>http://dx.doi.org/10.1109/TGRS.2017.2654484</v>
      </c>
      <c r="BG301" t="s">
        <v>74</v>
      </c>
      <c r="BH301" t="s">
        <v>74</v>
      </c>
      <c r="BI301">
        <v>15</v>
      </c>
      <c r="BJ301" t="s">
        <v>5995</v>
      </c>
      <c r="BK301" t="s">
        <v>103</v>
      </c>
      <c r="BL301" t="s">
        <v>5996</v>
      </c>
      <c r="BM301" t="s">
        <v>5997</v>
      </c>
      <c r="BN301" t="s">
        <v>74</v>
      </c>
      <c r="BO301" t="s">
        <v>74</v>
      </c>
      <c r="BP301" t="s">
        <v>74</v>
      </c>
      <c r="BQ301" t="s">
        <v>74</v>
      </c>
      <c r="BR301" t="s">
        <v>106</v>
      </c>
      <c r="BS301" t="s">
        <v>5998</v>
      </c>
      <c r="BT301" t="str">
        <f>HYPERLINK("https%3A%2F%2Fwww.webofscience.com%2Fwos%2Fwoscc%2Ffull-record%2FWOS:000399943400026","View Full Record in Web of Science")</f>
        <v>View Full Record in Web of Science</v>
      </c>
    </row>
    <row r="302" spans="1:72" x14ac:dyDescent="0.15">
      <c r="A302" t="s">
        <v>72</v>
      </c>
      <c r="B302" t="s">
        <v>5999</v>
      </c>
      <c r="C302" t="s">
        <v>74</v>
      </c>
      <c r="D302" t="s">
        <v>74</v>
      </c>
      <c r="E302" t="s">
        <v>74</v>
      </c>
      <c r="F302" t="s">
        <v>6000</v>
      </c>
      <c r="G302" t="s">
        <v>74</v>
      </c>
      <c r="H302" t="s">
        <v>74</v>
      </c>
      <c r="I302" t="s">
        <v>6001</v>
      </c>
      <c r="J302" t="s">
        <v>5977</v>
      </c>
      <c r="K302" t="s">
        <v>74</v>
      </c>
      <c r="L302" t="s">
        <v>74</v>
      </c>
      <c r="M302" t="s">
        <v>78</v>
      </c>
      <c r="N302" t="s">
        <v>79</v>
      </c>
      <c r="O302" t="s">
        <v>74</v>
      </c>
      <c r="P302" t="s">
        <v>74</v>
      </c>
      <c r="Q302" t="s">
        <v>74</v>
      </c>
      <c r="R302" t="s">
        <v>74</v>
      </c>
      <c r="S302" t="s">
        <v>74</v>
      </c>
      <c r="T302" t="s">
        <v>6002</v>
      </c>
      <c r="U302" t="s">
        <v>6003</v>
      </c>
      <c r="V302" t="s">
        <v>6004</v>
      </c>
      <c r="W302" t="s">
        <v>6005</v>
      </c>
      <c r="X302" t="s">
        <v>6006</v>
      </c>
      <c r="Y302" t="s">
        <v>6007</v>
      </c>
      <c r="Z302" t="s">
        <v>6008</v>
      </c>
      <c r="AA302" t="s">
        <v>74</v>
      </c>
      <c r="AB302" t="s">
        <v>74</v>
      </c>
      <c r="AC302" t="s">
        <v>2548</v>
      </c>
      <c r="AD302" t="s">
        <v>2549</v>
      </c>
      <c r="AE302" t="s">
        <v>2550</v>
      </c>
      <c r="AF302" t="s">
        <v>74</v>
      </c>
      <c r="AG302">
        <v>22</v>
      </c>
      <c r="AH302">
        <v>2</v>
      </c>
      <c r="AI302">
        <v>2</v>
      </c>
      <c r="AJ302">
        <v>0</v>
      </c>
      <c r="AK302">
        <v>5</v>
      </c>
      <c r="AL302" t="s">
        <v>289</v>
      </c>
      <c r="AM302" t="s">
        <v>290</v>
      </c>
      <c r="AN302" t="s">
        <v>291</v>
      </c>
      <c r="AO302" t="s">
        <v>5990</v>
      </c>
      <c r="AP302" t="s">
        <v>5991</v>
      </c>
      <c r="AQ302" t="s">
        <v>74</v>
      </c>
      <c r="AR302" t="s">
        <v>5992</v>
      </c>
      <c r="AS302" t="s">
        <v>5993</v>
      </c>
      <c r="AT302" t="s">
        <v>4623</v>
      </c>
      <c r="AU302">
        <v>2017</v>
      </c>
      <c r="AV302">
        <v>55</v>
      </c>
      <c r="AW302">
        <v>5</v>
      </c>
      <c r="AX302" t="s">
        <v>74</v>
      </c>
      <c r="AY302" t="s">
        <v>74</v>
      </c>
      <c r="AZ302" t="s">
        <v>74</v>
      </c>
      <c r="BA302" t="s">
        <v>74</v>
      </c>
      <c r="BB302">
        <v>2913</v>
      </c>
      <c r="BC302">
        <v>2923</v>
      </c>
      <c r="BD302" t="s">
        <v>74</v>
      </c>
      <c r="BE302" t="s">
        <v>6009</v>
      </c>
      <c r="BF302" t="str">
        <f>HYPERLINK("http://dx.doi.org/10.1109/TGRS.2017.2656081","http://dx.doi.org/10.1109/TGRS.2017.2656081")</f>
        <v>http://dx.doi.org/10.1109/TGRS.2017.2656081</v>
      </c>
      <c r="BG302" t="s">
        <v>74</v>
      </c>
      <c r="BH302" t="s">
        <v>74</v>
      </c>
      <c r="BI302">
        <v>11</v>
      </c>
      <c r="BJ302" t="s">
        <v>5995</v>
      </c>
      <c r="BK302" t="s">
        <v>103</v>
      </c>
      <c r="BL302" t="s">
        <v>5996</v>
      </c>
      <c r="BM302" t="s">
        <v>5997</v>
      </c>
      <c r="BN302" t="s">
        <v>74</v>
      </c>
      <c r="BO302" t="s">
        <v>74</v>
      </c>
      <c r="BP302" t="s">
        <v>74</v>
      </c>
      <c r="BQ302" t="s">
        <v>74</v>
      </c>
      <c r="BR302" t="s">
        <v>106</v>
      </c>
      <c r="BS302" t="s">
        <v>6010</v>
      </c>
      <c r="BT302" t="str">
        <f>HYPERLINK("https%3A%2F%2Fwww.webofscience.com%2Fwos%2Fwoscc%2Ffull-record%2FWOS:000399943400036","View Full Record in Web of Science")</f>
        <v>View Full Record in Web of Science</v>
      </c>
    </row>
    <row r="303" spans="1:72" x14ac:dyDescent="0.15">
      <c r="A303" t="s">
        <v>72</v>
      </c>
      <c r="B303" t="s">
        <v>6011</v>
      </c>
      <c r="C303" t="s">
        <v>74</v>
      </c>
      <c r="D303" t="s">
        <v>74</v>
      </c>
      <c r="E303" t="s">
        <v>74</v>
      </c>
      <c r="F303" t="s">
        <v>6012</v>
      </c>
      <c r="G303" t="s">
        <v>74</v>
      </c>
      <c r="H303" t="s">
        <v>74</v>
      </c>
      <c r="I303" t="s">
        <v>6013</v>
      </c>
      <c r="J303" t="s">
        <v>5977</v>
      </c>
      <c r="K303" t="s">
        <v>74</v>
      </c>
      <c r="L303" t="s">
        <v>74</v>
      </c>
      <c r="M303" t="s">
        <v>78</v>
      </c>
      <c r="N303" t="s">
        <v>79</v>
      </c>
      <c r="O303" t="s">
        <v>74</v>
      </c>
      <c r="P303" t="s">
        <v>74</v>
      </c>
      <c r="Q303" t="s">
        <v>74</v>
      </c>
      <c r="R303" t="s">
        <v>74</v>
      </c>
      <c r="S303" t="s">
        <v>74</v>
      </c>
      <c r="T303" t="s">
        <v>6014</v>
      </c>
      <c r="U303" t="s">
        <v>6015</v>
      </c>
      <c r="V303" t="s">
        <v>6016</v>
      </c>
      <c r="W303" t="s">
        <v>6017</v>
      </c>
      <c r="X303" t="s">
        <v>6018</v>
      </c>
      <c r="Y303" t="s">
        <v>6019</v>
      </c>
      <c r="Z303" t="s">
        <v>6020</v>
      </c>
      <c r="AA303" t="s">
        <v>74</v>
      </c>
      <c r="AB303" t="s">
        <v>6021</v>
      </c>
      <c r="AC303" t="s">
        <v>6022</v>
      </c>
      <c r="AD303" t="s">
        <v>6023</v>
      </c>
      <c r="AE303" t="s">
        <v>6024</v>
      </c>
      <c r="AF303" t="s">
        <v>74</v>
      </c>
      <c r="AG303">
        <v>39</v>
      </c>
      <c r="AH303">
        <v>22</v>
      </c>
      <c r="AI303">
        <v>24</v>
      </c>
      <c r="AJ303">
        <v>3</v>
      </c>
      <c r="AK303">
        <v>43</v>
      </c>
      <c r="AL303" t="s">
        <v>289</v>
      </c>
      <c r="AM303" t="s">
        <v>290</v>
      </c>
      <c r="AN303" t="s">
        <v>291</v>
      </c>
      <c r="AO303" t="s">
        <v>5990</v>
      </c>
      <c r="AP303" t="s">
        <v>5991</v>
      </c>
      <c r="AQ303" t="s">
        <v>74</v>
      </c>
      <c r="AR303" t="s">
        <v>5992</v>
      </c>
      <c r="AS303" t="s">
        <v>5993</v>
      </c>
      <c r="AT303" t="s">
        <v>4623</v>
      </c>
      <c r="AU303">
        <v>2017</v>
      </c>
      <c r="AV303">
        <v>55</v>
      </c>
      <c r="AW303">
        <v>5</v>
      </c>
      <c r="AX303" t="s">
        <v>74</v>
      </c>
      <c r="AY303" t="s">
        <v>74</v>
      </c>
      <c r="AZ303" t="s">
        <v>74</v>
      </c>
      <c r="BA303" t="s">
        <v>74</v>
      </c>
      <c r="BB303">
        <v>3051</v>
      </c>
      <c r="BC303">
        <v>3066</v>
      </c>
      <c r="BD303" t="s">
        <v>74</v>
      </c>
      <c r="BE303" t="s">
        <v>6025</v>
      </c>
      <c r="BF303" t="str">
        <f>HYPERLINK("http://dx.doi.org/10.1109/TGRS.2017.2661325","http://dx.doi.org/10.1109/TGRS.2017.2661325")</f>
        <v>http://dx.doi.org/10.1109/TGRS.2017.2661325</v>
      </c>
      <c r="BG303" t="s">
        <v>74</v>
      </c>
      <c r="BH303" t="s">
        <v>74</v>
      </c>
      <c r="BI303">
        <v>16</v>
      </c>
      <c r="BJ303" t="s">
        <v>5995</v>
      </c>
      <c r="BK303" t="s">
        <v>103</v>
      </c>
      <c r="BL303" t="s">
        <v>5996</v>
      </c>
      <c r="BM303" t="s">
        <v>5997</v>
      </c>
      <c r="BN303" t="s">
        <v>74</v>
      </c>
      <c r="BO303" t="s">
        <v>1538</v>
      </c>
      <c r="BP303" t="s">
        <v>74</v>
      </c>
      <c r="BQ303" t="s">
        <v>74</v>
      </c>
      <c r="BR303" t="s">
        <v>106</v>
      </c>
      <c r="BS303" t="s">
        <v>6026</v>
      </c>
      <c r="BT303" t="str">
        <f>HYPERLINK("https%3A%2F%2Fwww.webofscience.com%2Fwos%2Fwoscc%2Ffull-record%2FWOS:000399943400047","View Full Record in Web of Science")</f>
        <v>View Full Record in Web of Science</v>
      </c>
    </row>
    <row r="304" spans="1:72" x14ac:dyDescent="0.15">
      <c r="A304" t="s">
        <v>72</v>
      </c>
      <c r="B304" t="s">
        <v>6027</v>
      </c>
      <c r="C304" t="s">
        <v>74</v>
      </c>
      <c r="D304" t="s">
        <v>74</v>
      </c>
      <c r="E304" t="s">
        <v>74</v>
      </c>
      <c r="F304" t="s">
        <v>6028</v>
      </c>
      <c r="G304" t="s">
        <v>74</v>
      </c>
      <c r="H304" t="s">
        <v>74</v>
      </c>
      <c r="I304" t="s">
        <v>6029</v>
      </c>
      <c r="J304" t="s">
        <v>6030</v>
      </c>
      <c r="K304" t="s">
        <v>74</v>
      </c>
      <c r="L304" t="s">
        <v>74</v>
      </c>
      <c r="M304" t="s">
        <v>78</v>
      </c>
      <c r="N304" t="s">
        <v>79</v>
      </c>
      <c r="O304" t="s">
        <v>74</v>
      </c>
      <c r="P304" t="s">
        <v>74</v>
      </c>
      <c r="Q304" t="s">
        <v>74</v>
      </c>
      <c r="R304" t="s">
        <v>74</v>
      </c>
      <c r="S304" t="s">
        <v>74</v>
      </c>
      <c r="T304" t="s">
        <v>6031</v>
      </c>
      <c r="U304" t="s">
        <v>6032</v>
      </c>
      <c r="V304" t="s">
        <v>6033</v>
      </c>
      <c r="W304" t="s">
        <v>6034</v>
      </c>
      <c r="X304" t="s">
        <v>6035</v>
      </c>
      <c r="Y304" t="s">
        <v>6036</v>
      </c>
      <c r="Z304" t="s">
        <v>6037</v>
      </c>
      <c r="AA304" t="s">
        <v>6038</v>
      </c>
      <c r="AB304" t="s">
        <v>6039</v>
      </c>
      <c r="AC304" t="s">
        <v>6040</v>
      </c>
      <c r="AD304" t="s">
        <v>6041</v>
      </c>
      <c r="AE304" t="s">
        <v>6042</v>
      </c>
      <c r="AF304" t="s">
        <v>74</v>
      </c>
      <c r="AG304">
        <v>42</v>
      </c>
      <c r="AH304">
        <v>9</v>
      </c>
      <c r="AI304">
        <v>10</v>
      </c>
      <c r="AJ304">
        <v>4</v>
      </c>
      <c r="AK304">
        <v>26</v>
      </c>
      <c r="AL304" t="s">
        <v>986</v>
      </c>
      <c r="AM304" t="s">
        <v>430</v>
      </c>
      <c r="AN304" t="s">
        <v>987</v>
      </c>
      <c r="AO304" t="s">
        <v>6043</v>
      </c>
      <c r="AP304" t="s">
        <v>6044</v>
      </c>
      <c r="AQ304" t="s">
        <v>74</v>
      </c>
      <c r="AR304" t="s">
        <v>6045</v>
      </c>
      <c r="AS304" t="s">
        <v>6046</v>
      </c>
      <c r="AT304" t="s">
        <v>4623</v>
      </c>
      <c r="AU304">
        <v>2017</v>
      </c>
      <c r="AV304">
        <v>91</v>
      </c>
      <c r="AW304">
        <v>5</v>
      </c>
      <c r="AX304" t="s">
        <v>74</v>
      </c>
      <c r="AY304" t="s">
        <v>74</v>
      </c>
      <c r="AZ304" t="s">
        <v>74</v>
      </c>
      <c r="BA304" t="s">
        <v>74</v>
      </c>
      <c r="BB304">
        <v>485</v>
      </c>
      <c r="BC304">
        <v>502</v>
      </c>
      <c r="BD304" t="s">
        <v>74</v>
      </c>
      <c r="BE304" t="s">
        <v>6047</v>
      </c>
      <c r="BF304" t="str">
        <f>HYPERLINK("http://dx.doi.org/10.1007/s00190-016-0977-7","http://dx.doi.org/10.1007/s00190-016-0977-7")</f>
        <v>http://dx.doi.org/10.1007/s00190-016-0977-7</v>
      </c>
      <c r="BG304" t="s">
        <v>74</v>
      </c>
      <c r="BH304" t="s">
        <v>74</v>
      </c>
      <c r="BI304">
        <v>18</v>
      </c>
      <c r="BJ304" t="s">
        <v>6048</v>
      </c>
      <c r="BK304" t="s">
        <v>103</v>
      </c>
      <c r="BL304" t="s">
        <v>6048</v>
      </c>
      <c r="BM304" t="s">
        <v>6049</v>
      </c>
      <c r="BN304" t="s">
        <v>74</v>
      </c>
      <c r="BO304" t="s">
        <v>1538</v>
      </c>
      <c r="BP304" t="s">
        <v>74</v>
      </c>
      <c r="BQ304" t="s">
        <v>74</v>
      </c>
      <c r="BR304" t="s">
        <v>106</v>
      </c>
      <c r="BS304" t="s">
        <v>6050</v>
      </c>
      <c r="BT304" t="str">
        <f>HYPERLINK("https%3A%2F%2Fwww.webofscience.com%2Fwos%2Fwoscc%2Ffull-record%2FWOS:000399827300002","View Full Record in Web of Science")</f>
        <v>View Full Record in Web of Science</v>
      </c>
    </row>
    <row r="305" spans="1:72" x14ac:dyDescent="0.15">
      <c r="A305" t="s">
        <v>72</v>
      </c>
      <c r="B305" t="s">
        <v>6051</v>
      </c>
      <c r="C305" t="s">
        <v>74</v>
      </c>
      <c r="D305" t="s">
        <v>74</v>
      </c>
      <c r="E305" t="s">
        <v>74</v>
      </c>
      <c r="F305" t="s">
        <v>6052</v>
      </c>
      <c r="G305" t="s">
        <v>74</v>
      </c>
      <c r="H305" t="s">
        <v>74</v>
      </c>
      <c r="I305" t="s">
        <v>6053</v>
      </c>
      <c r="J305" t="s">
        <v>6054</v>
      </c>
      <c r="K305" t="s">
        <v>74</v>
      </c>
      <c r="L305" t="s">
        <v>74</v>
      </c>
      <c r="M305" t="s">
        <v>78</v>
      </c>
      <c r="N305" t="s">
        <v>79</v>
      </c>
      <c r="O305" t="s">
        <v>74</v>
      </c>
      <c r="P305" t="s">
        <v>74</v>
      </c>
      <c r="Q305" t="s">
        <v>74</v>
      </c>
      <c r="R305" t="s">
        <v>74</v>
      </c>
      <c r="S305" t="s">
        <v>74</v>
      </c>
      <c r="T305" t="s">
        <v>6055</v>
      </c>
      <c r="U305" t="s">
        <v>6056</v>
      </c>
      <c r="V305" t="s">
        <v>6057</v>
      </c>
      <c r="W305" t="s">
        <v>6058</v>
      </c>
      <c r="X305" t="s">
        <v>309</v>
      </c>
      <c r="Y305" t="s">
        <v>6059</v>
      </c>
      <c r="Z305" t="s">
        <v>6060</v>
      </c>
      <c r="AA305" t="s">
        <v>6061</v>
      </c>
      <c r="AB305" t="s">
        <v>6062</v>
      </c>
      <c r="AC305" t="s">
        <v>74</v>
      </c>
      <c r="AD305" t="s">
        <v>74</v>
      </c>
      <c r="AE305" t="s">
        <v>74</v>
      </c>
      <c r="AF305" t="s">
        <v>74</v>
      </c>
      <c r="AG305">
        <v>69</v>
      </c>
      <c r="AH305">
        <v>54</v>
      </c>
      <c r="AI305">
        <v>55</v>
      </c>
      <c r="AJ305">
        <v>1</v>
      </c>
      <c r="AK305">
        <v>25</v>
      </c>
      <c r="AL305" t="s">
        <v>374</v>
      </c>
      <c r="AM305" t="s">
        <v>93</v>
      </c>
      <c r="AN305" t="s">
        <v>375</v>
      </c>
      <c r="AO305" t="s">
        <v>6063</v>
      </c>
      <c r="AP305" t="s">
        <v>6064</v>
      </c>
      <c r="AQ305" t="s">
        <v>74</v>
      </c>
      <c r="AR305" t="s">
        <v>6065</v>
      </c>
      <c r="AS305" t="s">
        <v>6066</v>
      </c>
      <c r="AT305" t="s">
        <v>4623</v>
      </c>
      <c r="AU305">
        <v>2017</v>
      </c>
      <c r="AV305">
        <v>79</v>
      </c>
      <c r="AW305" t="s">
        <v>74</v>
      </c>
      <c r="AX305" t="s">
        <v>74</v>
      </c>
      <c r="AY305" t="s">
        <v>74</v>
      </c>
      <c r="AZ305" t="s">
        <v>74</v>
      </c>
      <c r="BA305" t="s">
        <v>74</v>
      </c>
      <c r="BB305">
        <v>70</v>
      </c>
      <c r="BC305">
        <v>77</v>
      </c>
      <c r="BD305" t="s">
        <v>74</v>
      </c>
      <c r="BE305" t="s">
        <v>6067</v>
      </c>
      <c r="BF305" t="str">
        <f>HYPERLINK("http://dx.doi.org/10.1016/j.marpol.2017.02.013","http://dx.doi.org/10.1016/j.marpol.2017.02.013")</f>
        <v>http://dx.doi.org/10.1016/j.marpol.2017.02.013</v>
      </c>
      <c r="BG305" t="s">
        <v>74</v>
      </c>
      <c r="BH305" t="s">
        <v>74</v>
      </c>
      <c r="BI305">
        <v>8</v>
      </c>
      <c r="BJ305" t="s">
        <v>6068</v>
      </c>
      <c r="BK305" t="s">
        <v>3321</v>
      </c>
      <c r="BL305" t="s">
        <v>6069</v>
      </c>
      <c r="BM305" t="s">
        <v>6070</v>
      </c>
      <c r="BN305" t="s">
        <v>74</v>
      </c>
      <c r="BO305" t="s">
        <v>74</v>
      </c>
      <c r="BP305" t="s">
        <v>74</v>
      </c>
      <c r="BQ305" t="s">
        <v>74</v>
      </c>
      <c r="BR305" t="s">
        <v>106</v>
      </c>
      <c r="BS305" t="s">
        <v>6071</v>
      </c>
      <c r="BT305" t="str">
        <f>HYPERLINK("https%3A%2F%2Fwww.webofscience.com%2Fwos%2Fwoscc%2Ffull-record%2FWOS:000399849800010","View Full Record in Web of Science")</f>
        <v>View Full Record in Web of Science</v>
      </c>
    </row>
    <row r="306" spans="1:72" x14ac:dyDescent="0.15">
      <c r="A306" t="s">
        <v>72</v>
      </c>
      <c r="B306" t="s">
        <v>6072</v>
      </c>
      <c r="C306" t="s">
        <v>74</v>
      </c>
      <c r="D306" t="s">
        <v>74</v>
      </c>
      <c r="E306" t="s">
        <v>74</v>
      </c>
      <c r="F306" t="s">
        <v>6073</v>
      </c>
      <c r="G306" t="s">
        <v>74</v>
      </c>
      <c r="H306" t="s">
        <v>74</v>
      </c>
      <c r="I306" t="s">
        <v>6074</v>
      </c>
      <c r="J306" t="s">
        <v>6075</v>
      </c>
      <c r="K306" t="s">
        <v>74</v>
      </c>
      <c r="L306" t="s">
        <v>74</v>
      </c>
      <c r="M306" t="s">
        <v>78</v>
      </c>
      <c r="N306" t="s">
        <v>79</v>
      </c>
      <c r="O306" t="s">
        <v>74</v>
      </c>
      <c r="P306" t="s">
        <v>74</v>
      </c>
      <c r="Q306" t="s">
        <v>74</v>
      </c>
      <c r="R306" t="s">
        <v>74</v>
      </c>
      <c r="S306" t="s">
        <v>74</v>
      </c>
      <c r="T306" t="s">
        <v>6076</v>
      </c>
      <c r="U306" t="s">
        <v>6077</v>
      </c>
      <c r="V306" t="s">
        <v>6078</v>
      </c>
      <c r="W306" t="s">
        <v>6079</v>
      </c>
      <c r="X306" t="s">
        <v>6080</v>
      </c>
      <c r="Y306" t="s">
        <v>6081</v>
      </c>
      <c r="Z306" t="s">
        <v>6082</v>
      </c>
      <c r="AA306" t="s">
        <v>6083</v>
      </c>
      <c r="AB306" t="s">
        <v>6084</v>
      </c>
      <c r="AC306" t="s">
        <v>74</v>
      </c>
      <c r="AD306" t="s">
        <v>74</v>
      </c>
      <c r="AE306" t="s">
        <v>74</v>
      </c>
      <c r="AF306" t="s">
        <v>74</v>
      </c>
      <c r="AG306">
        <v>36</v>
      </c>
      <c r="AH306">
        <v>28</v>
      </c>
      <c r="AI306">
        <v>28</v>
      </c>
      <c r="AJ306">
        <v>0</v>
      </c>
      <c r="AK306">
        <v>4</v>
      </c>
      <c r="AL306" t="s">
        <v>656</v>
      </c>
      <c r="AM306" t="s">
        <v>93</v>
      </c>
      <c r="AN306" t="s">
        <v>657</v>
      </c>
      <c r="AO306" t="s">
        <v>6085</v>
      </c>
      <c r="AP306" t="s">
        <v>6086</v>
      </c>
      <c r="AQ306" t="s">
        <v>74</v>
      </c>
      <c r="AR306" t="s">
        <v>6087</v>
      </c>
      <c r="AS306" t="s">
        <v>6088</v>
      </c>
      <c r="AT306" t="s">
        <v>4623</v>
      </c>
      <c r="AU306">
        <v>2017</v>
      </c>
      <c r="AV306">
        <v>155</v>
      </c>
      <c r="AW306" t="s">
        <v>74</v>
      </c>
      <c r="AX306" t="s">
        <v>74</v>
      </c>
      <c r="AY306" t="s">
        <v>74</v>
      </c>
      <c r="AZ306" t="s">
        <v>74</v>
      </c>
      <c r="BA306" t="s">
        <v>74</v>
      </c>
      <c r="BB306">
        <v>285</v>
      </c>
      <c r="BC306">
        <v>293</v>
      </c>
      <c r="BD306" t="s">
        <v>74</v>
      </c>
      <c r="BE306" t="s">
        <v>6089</v>
      </c>
      <c r="BF306" t="str">
        <f>HYPERLINK("http://dx.doi.org/10.1016/j.na.2017.02.021","http://dx.doi.org/10.1016/j.na.2017.02.021")</f>
        <v>http://dx.doi.org/10.1016/j.na.2017.02.021</v>
      </c>
      <c r="BG306" t="s">
        <v>74</v>
      </c>
      <c r="BH306" t="s">
        <v>74</v>
      </c>
      <c r="BI306">
        <v>9</v>
      </c>
      <c r="BJ306" t="s">
        <v>6090</v>
      </c>
      <c r="BK306" t="s">
        <v>103</v>
      </c>
      <c r="BL306" t="s">
        <v>6091</v>
      </c>
      <c r="BM306" t="s">
        <v>6092</v>
      </c>
      <c r="BN306" t="s">
        <v>74</v>
      </c>
      <c r="BO306" t="s">
        <v>74</v>
      </c>
      <c r="BP306" t="s">
        <v>74</v>
      </c>
      <c r="BQ306" t="s">
        <v>74</v>
      </c>
      <c r="BR306" t="s">
        <v>106</v>
      </c>
      <c r="BS306" t="s">
        <v>6093</v>
      </c>
      <c r="BT306" t="str">
        <f>HYPERLINK("https%3A%2F%2Fwww.webofscience.com%2Fwos%2Fwoscc%2Ffull-record%2FWOS:000400231200016","View Full Record in Web of Science")</f>
        <v>View Full Record in Web of Science</v>
      </c>
    </row>
    <row r="307" spans="1:72" x14ac:dyDescent="0.15">
      <c r="A307" t="s">
        <v>72</v>
      </c>
      <c r="B307" t="s">
        <v>6094</v>
      </c>
      <c r="C307" t="s">
        <v>74</v>
      </c>
      <c r="D307" t="s">
        <v>74</v>
      </c>
      <c r="E307" t="s">
        <v>74</v>
      </c>
      <c r="F307" t="s">
        <v>6095</v>
      </c>
      <c r="G307" t="s">
        <v>74</v>
      </c>
      <c r="H307" t="s">
        <v>74</v>
      </c>
      <c r="I307" t="s">
        <v>6096</v>
      </c>
      <c r="J307" t="s">
        <v>3004</v>
      </c>
      <c r="K307" t="s">
        <v>74</v>
      </c>
      <c r="L307" t="s">
        <v>74</v>
      </c>
      <c r="M307" t="s">
        <v>78</v>
      </c>
      <c r="N307" t="s">
        <v>79</v>
      </c>
      <c r="O307" t="s">
        <v>74</v>
      </c>
      <c r="P307" t="s">
        <v>74</v>
      </c>
      <c r="Q307" t="s">
        <v>74</v>
      </c>
      <c r="R307" t="s">
        <v>74</v>
      </c>
      <c r="S307" t="s">
        <v>74</v>
      </c>
      <c r="T307" t="s">
        <v>6097</v>
      </c>
      <c r="U307" t="s">
        <v>6098</v>
      </c>
      <c r="V307" t="s">
        <v>6099</v>
      </c>
      <c r="W307" t="s">
        <v>6100</v>
      </c>
      <c r="X307" t="s">
        <v>6101</v>
      </c>
      <c r="Y307" t="s">
        <v>6102</v>
      </c>
      <c r="Z307" t="s">
        <v>6103</v>
      </c>
      <c r="AA307" t="s">
        <v>6104</v>
      </c>
      <c r="AB307" t="s">
        <v>6105</v>
      </c>
      <c r="AC307" t="s">
        <v>6106</v>
      </c>
      <c r="AD307" t="s">
        <v>6107</v>
      </c>
      <c r="AE307" t="s">
        <v>6108</v>
      </c>
      <c r="AF307" t="s">
        <v>74</v>
      </c>
      <c r="AG307">
        <v>76</v>
      </c>
      <c r="AH307">
        <v>45</v>
      </c>
      <c r="AI307">
        <v>46</v>
      </c>
      <c r="AJ307">
        <v>0</v>
      </c>
      <c r="AK307">
        <v>8</v>
      </c>
      <c r="AL307" t="s">
        <v>317</v>
      </c>
      <c r="AM307" t="s">
        <v>318</v>
      </c>
      <c r="AN307" t="s">
        <v>319</v>
      </c>
      <c r="AO307" t="s">
        <v>3017</v>
      </c>
      <c r="AP307" t="s">
        <v>3018</v>
      </c>
      <c r="AQ307" t="s">
        <v>74</v>
      </c>
      <c r="AR307" t="s">
        <v>3019</v>
      </c>
      <c r="AS307" t="s">
        <v>3020</v>
      </c>
      <c r="AT307" t="s">
        <v>4623</v>
      </c>
      <c r="AU307">
        <v>2017</v>
      </c>
      <c r="AV307">
        <v>293</v>
      </c>
      <c r="AW307" t="s">
        <v>74</v>
      </c>
      <c r="AX307" t="s">
        <v>74</v>
      </c>
      <c r="AY307" t="s">
        <v>74</v>
      </c>
      <c r="AZ307" t="s">
        <v>74</v>
      </c>
      <c r="BA307" t="s">
        <v>74</v>
      </c>
      <c r="BB307">
        <v>131</v>
      </c>
      <c r="BC307">
        <v>149</v>
      </c>
      <c r="BD307" t="s">
        <v>74</v>
      </c>
      <c r="BE307" t="s">
        <v>6109</v>
      </c>
      <c r="BF307" t="str">
        <f>HYPERLINK("http://dx.doi.org/10.1016/j.precamres.2017.03.005","http://dx.doi.org/10.1016/j.precamres.2017.03.005")</f>
        <v>http://dx.doi.org/10.1016/j.precamres.2017.03.005</v>
      </c>
      <c r="BG307" t="s">
        <v>74</v>
      </c>
      <c r="BH307" t="s">
        <v>74</v>
      </c>
      <c r="BI307">
        <v>19</v>
      </c>
      <c r="BJ307" t="s">
        <v>437</v>
      </c>
      <c r="BK307" t="s">
        <v>103</v>
      </c>
      <c r="BL307" t="s">
        <v>438</v>
      </c>
      <c r="BM307" t="s">
        <v>6110</v>
      </c>
      <c r="BN307" t="s">
        <v>74</v>
      </c>
      <c r="BO307" t="s">
        <v>74</v>
      </c>
      <c r="BP307" t="s">
        <v>74</v>
      </c>
      <c r="BQ307" t="s">
        <v>74</v>
      </c>
      <c r="BR307" t="s">
        <v>106</v>
      </c>
      <c r="BS307" t="s">
        <v>6111</v>
      </c>
      <c r="BT307" t="str">
        <f>HYPERLINK("https%3A%2F%2Fwww.webofscience.com%2Fwos%2Fwoscc%2Ffull-record%2FWOS:000400213500008","View Full Record in Web of Science")</f>
        <v>View Full Record in Web of Science</v>
      </c>
    </row>
    <row r="308" spans="1:72" x14ac:dyDescent="0.15">
      <c r="A308" t="s">
        <v>72</v>
      </c>
      <c r="B308" t="s">
        <v>6112</v>
      </c>
      <c r="C308" t="s">
        <v>74</v>
      </c>
      <c r="D308" t="s">
        <v>74</v>
      </c>
      <c r="E308" t="s">
        <v>74</v>
      </c>
      <c r="F308" t="s">
        <v>6113</v>
      </c>
      <c r="G308" t="s">
        <v>74</v>
      </c>
      <c r="H308" t="s">
        <v>74</v>
      </c>
      <c r="I308" t="s">
        <v>6114</v>
      </c>
      <c r="J308" t="s">
        <v>6115</v>
      </c>
      <c r="K308" t="s">
        <v>74</v>
      </c>
      <c r="L308" t="s">
        <v>74</v>
      </c>
      <c r="M308" t="s">
        <v>78</v>
      </c>
      <c r="N308" t="s">
        <v>79</v>
      </c>
      <c r="O308" t="s">
        <v>74</v>
      </c>
      <c r="P308" t="s">
        <v>74</v>
      </c>
      <c r="Q308" t="s">
        <v>74</v>
      </c>
      <c r="R308" t="s">
        <v>74</v>
      </c>
      <c r="S308" t="s">
        <v>74</v>
      </c>
      <c r="T308" t="s">
        <v>6116</v>
      </c>
      <c r="U308" t="s">
        <v>6117</v>
      </c>
      <c r="V308" t="s">
        <v>6118</v>
      </c>
      <c r="W308" t="s">
        <v>6119</v>
      </c>
      <c r="X308" t="s">
        <v>6120</v>
      </c>
      <c r="Y308" t="s">
        <v>6121</v>
      </c>
      <c r="Z308" t="s">
        <v>6122</v>
      </c>
      <c r="AA308" t="s">
        <v>6123</v>
      </c>
      <c r="AB308" t="s">
        <v>6124</v>
      </c>
      <c r="AC308" t="s">
        <v>6125</v>
      </c>
      <c r="AD308" t="s">
        <v>6126</v>
      </c>
      <c r="AE308" t="s">
        <v>6127</v>
      </c>
      <c r="AF308" t="s">
        <v>74</v>
      </c>
      <c r="AG308">
        <v>45</v>
      </c>
      <c r="AH308">
        <v>1</v>
      </c>
      <c r="AI308">
        <v>1</v>
      </c>
      <c r="AJ308">
        <v>0</v>
      </c>
      <c r="AK308">
        <v>19</v>
      </c>
      <c r="AL308" t="s">
        <v>5777</v>
      </c>
      <c r="AM308" t="s">
        <v>5778</v>
      </c>
      <c r="AN308" t="s">
        <v>5779</v>
      </c>
      <c r="AO308" t="s">
        <v>6128</v>
      </c>
      <c r="AP308" t="s">
        <v>6129</v>
      </c>
      <c r="AQ308" t="s">
        <v>74</v>
      </c>
      <c r="AR308" t="s">
        <v>6130</v>
      </c>
      <c r="AS308" t="s">
        <v>6131</v>
      </c>
      <c r="AT308" t="s">
        <v>4623</v>
      </c>
      <c r="AU308">
        <v>2017</v>
      </c>
      <c r="AV308">
        <v>34</v>
      </c>
      <c r="AW308">
        <v>5</v>
      </c>
      <c r="AX308" t="s">
        <v>74</v>
      </c>
      <c r="AY308" t="s">
        <v>74</v>
      </c>
      <c r="AZ308" t="s">
        <v>74</v>
      </c>
      <c r="BA308" t="s">
        <v>74</v>
      </c>
      <c r="BB308">
        <v>587</v>
      </c>
      <c r="BC308">
        <v>598</v>
      </c>
      <c r="BD308" t="s">
        <v>74</v>
      </c>
      <c r="BE308" t="s">
        <v>6132</v>
      </c>
      <c r="BF308" t="str">
        <f>HYPERLINK("http://dx.doi.org/10.1007/s00376-016-6088-9","http://dx.doi.org/10.1007/s00376-016-6088-9")</f>
        <v>http://dx.doi.org/10.1007/s00376-016-6088-9</v>
      </c>
      <c r="BG308" t="s">
        <v>74</v>
      </c>
      <c r="BH308" t="s">
        <v>74</v>
      </c>
      <c r="BI308">
        <v>12</v>
      </c>
      <c r="BJ308" t="s">
        <v>1261</v>
      </c>
      <c r="BK308" t="s">
        <v>103</v>
      </c>
      <c r="BL308" t="s">
        <v>1261</v>
      </c>
      <c r="BM308" t="s">
        <v>6133</v>
      </c>
      <c r="BN308" t="s">
        <v>74</v>
      </c>
      <c r="BO308" t="s">
        <v>74</v>
      </c>
      <c r="BP308" t="s">
        <v>74</v>
      </c>
      <c r="BQ308" t="s">
        <v>74</v>
      </c>
      <c r="BR308" t="s">
        <v>106</v>
      </c>
      <c r="BS308" t="s">
        <v>6134</v>
      </c>
      <c r="BT308" t="str">
        <f>HYPERLINK("https%3A%2F%2Fwww.webofscience.com%2Fwos%2Fwoscc%2Ffull-record%2FWOS:000399231100003","View Full Record in Web of Science")</f>
        <v>View Full Record in Web of Science</v>
      </c>
    </row>
    <row r="309" spans="1:72" x14ac:dyDescent="0.15">
      <c r="A309" t="s">
        <v>72</v>
      </c>
      <c r="B309" t="s">
        <v>6135</v>
      </c>
      <c r="C309" t="s">
        <v>74</v>
      </c>
      <c r="D309" t="s">
        <v>74</v>
      </c>
      <c r="E309" t="s">
        <v>74</v>
      </c>
      <c r="F309" t="s">
        <v>6136</v>
      </c>
      <c r="G309" t="s">
        <v>74</v>
      </c>
      <c r="H309" t="s">
        <v>74</v>
      </c>
      <c r="I309" t="s">
        <v>6137</v>
      </c>
      <c r="J309" t="s">
        <v>3190</v>
      </c>
      <c r="K309" t="s">
        <v>74</v>
      </c>
      <c r="L309" t="s">
        <v>74</v>
      </c>
      <c r="M309" t="s">
        <v>78</v>
      </c>
      <c r="N309" t="s">
        <v>79</v>
      </c>
      <c r="O309" t="s">
        <v>74</v>
      </c>
      <c r="P309" t="s">
        <v>74</v>
      </c>
      <c r="Q309" t="s">
        <v>74</v>
      </c>
      <c r="R309" t="s">
        <v>74</v>
      </c>
      <c r="S309" t="s">
        <v>74</v>
      </c>
      <c r="T309" t="s">
        <v>74</v>
      </c>
      <c r="U309" t="s">
        <v>6138</v>
      </c>
      <c r="V309" t="s">
        <v>6139</v>
      </c>
      <c r="W309" t="s">
        <v>6140</v>
      </c>
      <c r="X309" t="s">
        <v>6141</v>
      </c>
      <c r="Y309" t="s">
        <v>6142</v>
      </c>
      <c r="Z309" t="s">
        <v>6143</v>
      </c>
      <c r="AA309" t="s">
        <v>6144</v>
      </c>
      <c r="AB309" t="s">
        <v>6145</v>
      </c>
      <c r="AC309" t="s">
        <v>6146</v>
      </c>
      <c r="AD309" t="s">
        <v>121</v>
      </c>
      <c r="AE309" t="s">
        <v>6147</v>
      </c>
      <c r="AF309" t="s">
        <v>74</v>
      </c>
      <c r="AG309">
        <v>31</v>
      </c>
      <c r="AH309">
        <v>13</v>
      </c>
      <c r="AI309">
        <v>13</v>
      </c>
      <c r="AJ309">
        <v>0</v>
      </c>
      <c r="AK309">
        <v>13</v>
      </c>
      <c r="AL309" t="s">
        <v>3199</v>
      </c>
      <c r="AM309" t="s">
        <v>3200</v>
      </c>
      <c r="AN309" t="s">
        <v>3201</v>
      </c>
      <c r="AO309" t="s">
        <v>3202</v>
      </c>
      <c r="AP309" t="s">
        <v>3203</v>
      </c>
      <c r="AQ309" t="s">
        <v>74</v>
      </c>
      <c r="AR309" t="s">
        <v>3204</v>
      </c>
      <c r="AS309" t="s">
        <v>3205</v>
      </c>
      <c r="AT309" t="s">
        <v>4623</v>
      </c>
      <c r="AU309">
        <v>2017</v>
      </c>
      <c r="AV309">
        <v>162</v>
      </c>
      <c r="AW309">
        <v>5</v>
      </c>
      <c r="AX309" t="s">
        <v>74</v>
      </c>
      <c r="AY309" t="s">
        <v>74</v>
      </c>
      <c r="AZ309" t="s">
        <v>74</v>
      </c>
      <c r="BA309" t="s">
        <v>74</v>
      </c>
      <c r="BB309">
        <v>1403</v>
      </c>
      <c r="BC309">
        <v>1407</v>
      </c>
      <c r="BD309" t="s">
        <v>74</v>
      </c>
      <c r="BE309" t="s">
        <v>6148</v>
      </c>
      <c r="BF309" t="str">
        <f>HYPERLINK("http://dx.doi.org/10.1007/s00705-017-3239-y","http://dx.doi.org/10.1007/s00705-017-3239-y")</f>
        <v>http://dx.doi.org/10.1007/s00705-017-3239-y</v>
      </c>
      <c r="BG309" t="s">
        <v>74</v>
      </c>
      <c r="BH309" t="s">
        <v>74</v>
      </c>
      <c r="BI309">
        <v>5</v>
      </c>
      <c r="BJ309" t="s">
        <v>3207</v>
      </c>
      <c r="BK309" t="s">
        <v>103</v>
      </c>
      <c r="BL309" t="s">
        <v>3207</v>
      </c>
      <c r="BM309" t="s">
        <v>6149</v>
      </c>
      <c r="BN309">
        <v>28124141</v>
      </c>
      <c r="BO309" t="s">
        <v>74</v>
      </c>
      <c r="BP309" t="s">
        <v>74</v>
      </c>
      <c r="BQ309" t="s">
        <v>74</v>
      </c>
      <c r="BR309" t="s">
        <v>106</v>
      </c>
      <c r="BS309" t="s">
        <v>6150</v>
      </c>
      <c r="BT309" t="str">
        <f>HYPERLINK("https%3A%2F%2Fwww.webofscience.com%2Fwos%2Fwoscc%2Ffull-record%2FWOS:000399200000028","View Full Record in Web of Science")</f>
        <v>View Full Record in Web of Science</v>
      </c>
    </row>
    <row r="310" spans="1:72" x14ac:dyDescent="0.15">
      <c r="A310" t="s">
        <v>72</v>
      </c>
      <c r="B310" t="s">
        <v>6151</v>
      </c>
      <c r="C310" t="s">
        <v>74</v>
      </c>
      <c r="D310" t="s">
        <v>74</v>
      </c>
      <c r="E310" t="s">
        <v>74</v>
      </c>
      <c r="F310" t="s">
        <v>6152</v>
      </c>
      <c r="G310" t="s">
        <v>74</v>
      </c>
      <c r="H310" t="s">
        <v>74</v>
      </c>
      <c r="I310" t="s">
        <v>6153</v>
      </c>
      <c r="J310" t="s">
        <v>6154</v>
      </c>
      <c r="K310" t="s">
        <v>74</v>
      </c>
      <c r="L310" t="s">
        <v>74</v>
      </c>
      <c r="M310" t="s">
        <v>78</v>
      </c>
      <c r="N310" t="s">
        <v>79</v>
      </c>
      <c r="O310" t="s">
        <v>74</v>
      </c>
      <c r="P310" t="s">
        <v>74</v>
      </c>
      <c r="Q310" t="s">
        <v>74</v>
      </c>
      <c r="R310" t="s">
        <v>74</v>
      </c>
      <c r="S310" t="s">
        <v>74</v>
      </c>
      <c r="T310" t="s">
        <v>6155</v>
      </c>
      <c r="U310" t="s">
        <v>6156</v>
      </c>
      <c r="V310" t="s">
        <v>6157</v>
      </c>
      <c r="W310" t="s">
        <v>6158</v>
      </c>
      <c r="X310" t="s">
        <v>6159</v>
      </c>
      <c r="Y310" t="s">
        <v>6160</v>
      </c>
      <c r="Z310" t="s">
        <v>6161</v>
      </c>
      <c r="AA310" t="s">
        <v>6162</v>
      </c>
      <c r="AB310" t="s">
        <v>6163</v>
      </c>
      <c r="AC310" t="s">
        <v>6164</v>
      </c>
      <c r="AD310" t="s">
        <v>6165</v>
      </c>
      <c r="AE310" t="s">
        <v>6166</v>
      </c>
      <c r="AF310" t="s">
        <v>74</v>
      </c>
      <c r="AG310">
        <v>65</v>
      </c>
      <c r="AH310">
        <v>11</v>
      </c>
      <c r="AI310">
        <v>14</v>
      </c>
      <c r="AJ310">
        <v>0</v>
      </c>
      <c r="AK310">
        <v>21</v>
      </c>
      <c r="AL310" t="s">
        <v>986</v>
      </c>
      <c r="AM310" t="s">
        <v>430</v>
      </c>
      <c r="AN310" t="s">
        <v>987</v>
      </c>
      <c r="AO310" t="s">
        <v>6167</v>
      </c>
      <c r="AP310" t="s">
        <v>6168</v>
      </c>
      <c r="AQ310" t="s">
        <v>74</v>
      </c>
      <c r="AR310" t="s">
        <v>6169</v>
      </c>
      <c r="AS310" t="s">
        <v>6170</v>
      </c>
      <c r="AT310" t="s">
        <v>4623</v>
      </c>
      <c r="AU310">
        <v>2017</v>
      </c>
      <c r="AV310">
        <v>48</v>
      </c>
      <c r="AW310" t="s">
        <v>6171</v>
      </c>
      <c r="AX310" t="s">
        <v>74</v>
      </c>
      <c r="AY310" t="s">
        <v>74</v>
      </c>
      <c r="AZ310" t="s">
        <v>74</v>
      </c>
      <c r="BA310" t="s">
        <v>74</v>
      </c>
      <c r="BB310">
        <v>2967</v>
      </c>
      <c r="BC310">
        <v>2981</v>
      </c>
      <c r="BD310" t="s">
        <v>74</v>
      </c>
      <c r="BE310" t="s">
        <v>6172</v>
      </c>
      <c r="BF310" t="str">
        <f>HYPERLINK("http://dx.doi.org/10.1007/s00382-016-3244-y","http://dx.doi.org/10.1007/s00382-016-3244-y")</f>
        <v>http://dx.doi.org/10.1007/s00382-016-3244-y</v>
      </c>
      <c r="BG310" t="s">
        <v>74</v>
      </c>
      <c r="BH310" t="s">
        <v>74</v>
      </c>
      <c r="BI310">
        <v>15</v>
      </c>
      <c r="BJ310" t="s">
        <v>1261</v>
      </c>
      <c r="BK310" t="s">
        <v>103</v>
      </c>
      <c r="BL310" t="s">
        <v>1261</v>
      </c>
      <c r="BM310" t="s">
        <v>6173</v>
      </c>
      <c r="BN310" t="s">
        <v>74</v>
      </c>
      <c r="BO310" t="s">
        <v>74</v>
      </c>
      <c r="BP310" t="s">
        <v>74</v>
      </c>
      <c r="BQ310" t="s">
        <v>74</v>
      </c>
      <c r="BR310" t="s">
        <v>106</v>
      </c>
      <c r="BS310" t="s">
        <v>6174</v>
      </c>
      <c r="BT310" t="str">
        <f>HYPERLINK("https%3A%2F%2Fwww.webofscience.com%2Fwos%2Fwoscc%2Ffull-record%2FWOS:000399431900010","View Full Record in Web of Science")</f>
        <v>View Full Record in Web of Science</v>
      </c>
    </row>
    <row r="311" spans="1:72" x14ac:dyDescent="0.15">
      <c r="A311" t="s">
        <v>72</v>
      </c>
      <c r="B311" t="s">
        <v>6175</v>
      </c>
      <c r="C311" t="s">
        <v>74</v>
      </c>
      <c r="D311" t="s">
        <v>74</v>
      </c>
      <c r="E311" t="s">
        <v>74</v>
      </c>
      <c r="F311" t="s">
        <v>6176</v>
      </c>
      <c r="G311" t="s">
        <v>74</v>
      </c>
      <c r="H311" t="s">
        <v>74</v>
      </c>
      <c r="I311" t="s">
        <v>6177</v>
      </c>
      <c r="J311" t="s">
        <v>6178</v>
      </c>
      <c r="K311" t="s">
        <v>74</v>
      </c>
      <c r="L311" t="s">
        <v>74</v>
      </c>
      <c r="M311" t="s">
        <v>78</v>
      </c>
      <c r="N311" t="s">
        <v>518</v>
      </c>
      <c r="O311" t="s">
        <v>74</v>
      </c>
      <c r="P311" t="s">
        <v>74</v>
      </c>
      <c r="Q311" t="s">
        <v>74</v>
      </c>
      <c r="R311" t="s">
        <v>74</v>
      </c>
      <c r="S311" t="s">
        <v>74</v>
      </c>
      <c r="T311" t="s">
        <v>6179</v>
      </c>
      <c r="U311" t="s">
        <v>6180</v>
      </c>
      <c r="V311" t="s">
        <v>6181</v>
      </c>
      <c r="W311" t="s">
        <v>6182</v>
      </c>
      <c r="X311" t="s">
        <v>6183</v>
      </c>
      <c r="Y311" t="s">
        <v>6184</v>
      </c>
      <c r="Z311" t="s">
        <v>6185</v>
      </c>
      <c r="AA311" t="s">
        <v>6186</v>
      </c>
      <c r="AB311" t="s">
        <v>6187</v>
      </c>
      <c r="AC311" t="s">
        <v>6188</v>
      </c>
      <c r="AD311" t="s">
        <v>6189</v>
      </c>
      <c r="AE311" t="s">
        <v>6190</v>
      </c>
      <c r="AF311" t="s">
        <v>74</v>
      </c>
      <c r="AG311">
        <v>141</v>
      </c>
      <c r="AH311">
        <v>97</v>
      </c>
      <c r="AI311">
        <v>101</v>
      </c>
      <c r="AJ311">
        <v>8</v>
      </c>
      <c r="AK311">
        <v>244</v>
      </c>
      <c r="AL311" t="s">
        <v>681</v>
      </c>
      <c r="AM311" t="s">
        <v>682</v>
      </c>
      <c r="AN311" t="s">
        <v>683</v>
      </c>
      <c r="AO311" t="s">
        <v>6191</v>
      </c>
      <c r="AP311" t="s">
        <v>6192</v>
      </c>
      <c r="AQ311" t="s">
        <v>74</v>
      </c>
      <c r="AR311" t="s">
        <v>6193</v>
      </c>
      <c r="AS311" t="s">
        <v>6194</v>
      </c>
      <c r="AT311" t="s">
        <v>4623</v>
      </c>
      <c r="AU311">
        <v>2017</v>
      </c>
      <c r="AV311">
        <v>92</v>
      </c>
      <c r="AW311">
        <v>2</v>
      </c>
      <c r="AX311" t="s">
        <v>74</v>
      </c>
      <c r="AY311" t="s">
        <v>74</v>
      </c>
      <c r="AZ311" t="s">
        <v>74</v>
      </c>
      <c r="BA311" t="s">
        <v>74</v>
      </c>
      <c r="BB311">
        <v>684</v>
      </c>
      <c r="BC311">
        <v>697</v>
      </c>
      <c r="BD311" t="s">
        <v>74</v>
      </c>
      <c r="BE311" t="s">
        <v>6195</v>
      </c>
      <c r="BF311" t="str">
        <f>HYPERLINK("http://dx.doi.org/10.1111/brv.12250","http://dx.doi.org/10.1111/brv.12250")</f>
        <v>http://dx.doi.org/10.1111/brv.12250</v>
      </c>
      <c r="BG311" t="s">
        <v>74</v>
      </c>
      <c r="BH311" t="s">
        <v>74</v>
      </c>
      <c r="BI311">
        <v>14</v>
      </c>
      <c r="BJ311" t="s">
        <v>2828</v>
      </c>
      <c r="BK311" t="s">
        <v>103</v>
      </c>
      <c r="BL311" t="s">
        <v>2829</v>
      </c>
      <c r="BM311" t="s">
        <v>6196</v>
      </c>
      <c r="BN311">
        <v>26756137</v>
      </c>
      <c r="BO311" t="s">
        <v>2912</v>
      </c>
      <c r="BP311" t="s">
        <v>74</v>
      </c>
      <c r="BQ311" t="s">
        <v>74</v>
      </c>
      <c r="BR311" t="s">
        <v>106</v>
      </c>
      <c r="BS311" t="s">
        <v>6197</v>
      </c>
      <c r="BT311" t="str">
        <f>HYPERLINK("https%3A%2F%2Fwww.webofscience.com%2Fwos%2Fwoscc%2Ffull-record%2FWOS:000398567200005","View Full Record in Web of Science")</f>
        <v>View Full Record in Web of Science</v>
      </c>
    </row>
    <row r="312" spans="1:72" x14ac:dyDescent="0.15">
      <c r="A312" t="s">
        <v>72</v>
      </c>
      <c r="B312" t="s">
        <v>6198</v>
      </c>
      <c r="C312" t="s">
        <v>74</v>
      </c>
      <c r="D312" t="s">
        <v>74</v>
      </c>
      <c r="E312" t="s">
        <v>74</v>
      </c>
      <c r="F312" t="s">
        <v>6199</v>
      </c>
      <c r="G312" t="s">
        <v>74</v>
      </c>
      <c r="H312" t="s">
        <v>74</v>
      </c>
      <c r="I312" t="s">
        <v>6200</v>
      </c>
      <c r="J312" t="s">
        <v>2173</v>
      </c>
      <c r="K312" t="s">
        <v>74</v>
      </c>
      <c r="L312" t="s">
        <v>74</v>
      </c>
      <c r="M312" t="s">
        <v>78</v>
      </c>
      <c r="N312" t="s">
        <v>79</v>
      </c>
      <c r="O312" t="s">
        <v>74</v>
      </c>
      <c r="P312" t="s">
        <v>74</v>
      </c>
      <c r="Q312" t="s">
        <v>74</v>
      </c>
      <c r="R312" t="s">
        <v>74</v>
      </c>
      <c r="S312" t="s">
        <v>74</v>
      </c>
      <c r="T312" t="s">
        <v>6201</v>
      </c>
      <c r="U312" t="s">
        <v>6202</v>
      </c>
      <c r="V312" t="s">
        <v>6203</v>
      </c>
      <c r="W312" t="s">
        <v>6204</v>
      </c>
      <c r="X312" t="s">
        <v>6205</v>
      </c>
      <c r="Y312" t="s">
        <v>6206</v>
      </c>
      <c r="Z312" t="s">
        <v>6207</v>
      </c>
      <c r="AA312" t="s">
        <v>6208</v>
      </c>
      <c r="AB312" t="s">
        <v>6209</v>
      </c>
      <c r="AC312" t="s">
        <v>6210</v>
      </c>
      <c r="AD312" t="s">
        <v>6211</v>
      </c>
      <c r="AE312" t="s">
        <v>6212</v>
      </c>
      <c r="AF312" t="s">
        <v>74</v>
      </c>
      <c r="AG312">
        <v>62</v>
      </c>
      <c r="AH312">
        <v>13</v>
      </c>
      <c r="AI312">
        <v>16</v>
      </c>
      <c r="AJ312">
        <v>2</v>
      </c>
      <c r="AK312">
        <v>32</v>
      </c>
      <c r="AL312" t="s">
        <v>656</v>
      </c>
      <c r="AM312" t="s">
        <v>93</v>
      </c>
      <c r="AN312" t="s">
        <v>657</v>
      </c>
      <c r="AO312" t="s">
        <v>2185</v>
      </c>
      <c r="AP312" t="s">
        <v>2186</v>
      </c>
      <c r="AQ312" t="s">
        <v>74</v>
      </c>
      <c r="AR312" t="s">
        <v>2173</v>
      </c>
      <c r="AS312" t="s">
        <v>2187</v>
      </c>
      <c r="AT312" t="s">
        <v>4623</v>
      </c>
      <c r="AU312">
        <v>2017</v>
      </c>
      <c r="AV312">
        <v>175</v>
      </c>
      <c r="AW312" t="s">
        <v>74</v>
      </c>
      <c r="AX312" t="s">
        <v>74</v>
      </c>
      <c r="AY312" t="s">
        <v>74</v>
      </c>
      <c r="AZ312" t="s">
        <v>74</v>
      </c>
      <c r="BA312" t="s">
        <v>74</v>
      </c>
      <c r="BB312">
        <v>28</v>
      </c>
      <c r="BC312">
        <v>35</v>
      </c>
      <c r="BD312" t="s">
        <v>74</v>
      </c>
      <c r="BE312" t="s">
        <v>6213</v>
      </c>
      <c r="BF312" t="str">
        <f>HYPERLINK("http://dx.doi.org/10.1016/j.chemosphere.2017.02.023","http://dx.doi.org/10.1016/j.chemosphere.2017.02.023")</f>
        <v>http://dx.doi.org/10.1016/j.chemosphere.2017.02.023</v>
      </c>
      <c r="BG312" t="s">
        <v>74</v>
      </c>
      <c r="BH312" t="s">
        <v>74</v>
      </c>
      <c r="BI312">
        <v>8</v>
      </c>
      <c r="BJ312" t="s">
        <v>2189</v>
      </c>
      <c r="BK312" t="s">
        <v>103</v>
      </c>
      <c r="BL312" t="s">
        <v>993</v>
      </c>
      <c r="BM312" t="s">
        <v>6214</v>
      </c>
      <c r="BN312">
        <v>28211332</v>
      </c>
      <c r="BO312" t="s">
        <v>74</v>
      </c>
      <c r="BP312" t="s">
        <v>74</v>
      </c>
      <c r="BQ312" t="s">
        <v>74</v>
      </c>
      <c r="BR312" t="s">
        <v>106</v>
      </c>
      <c r="BS312" t="s">
        <v>6215</v>
      </c>
      <c r="BT312" t="str">
        <f>HYPERLINK("https%3A%2F%2Fwww.webofscience.com%2Fwos%2Fwoscc%2Ffull-record%2FWOS:000397691200004","View Full Record in Web of Science")</f>
        <v>View Full Record in Web of Science</v>
      </c>
    </row>
    <row r="313" spans="1:72" x14ac:dyDescent="0.15">
      <c r="A313" t="s">
        <v>72</v>
      </c>
      <c r="B313" t="s">
        <v>6216</v>
      </c>
      <c r="C313" t="s">
        <v>74</v>
      </c>
      <c r="D313" t="s">
        <v>74</v>
      </c>
      <c r="E313" t="s">
        <v>74</v>
      </c>
      <c r="F313" t="s">
        <v>6217</v>
      </c>
      <c r="G313" t="s">
        <v>74</v>
      </c>
      <c r="H313" t="s">
        <v>74</v>
      </c>
      <c r="I313" t="s">
        <v>6218</v>
      </c>
      <c r="J313" t="s">
        <v>2173</v>
      </c>
      <c r="K313" t="s">
        <v>74</v>
      </c>
      <c r="L313" t="s">
        <v>74</v>
      </c>
      <c r="M313" t="s">
        <v>78</v>
      </c>
      <c r="N313" t="s">
        <v>79</v>
      </c>
      <c r="O313" t="s">
        <v>74</v>
      </c>
      <c r="P313" t="s">
        <v>74</v>
      </c>
      <c r="Q313" t="s">
        <v>74</v>
      </c>
      <c r="R313" t="s">
        <v>74</v>
      </c>
      <c r="S313" t="s">
        <v>74</v>
      </c>
      <c r="T313" t="s">
        <v>6219</v>
      </c>
      <c r="U313" t="s">
        <v>6220</v>
      </c>
      <c r="V313" t="s">
        <v>6221</v>
      </c>
      <c r="W313" t="s">
        <v>6222</v>
      </c>
      <c r="X313" t="s">
        <v>6223</v>
      </c>
      <c r="Y313" t="s">
        <v>6224</v>
      </c>
      <c r="Z313" t="s">
        <v>6225</v>
      </c>
      <c r="AA313" t="s">
        <v>6226</v>
      </c>
      <c r="AB313" t="s">
        <v>74</v>
      </c>
      <c r="AC313" t="s">
        <v>6227</v>
      </c>
      <c r="AD313" t="s">
        <v>6228</v>
      </c>
      <c r="AE313" t="s">
        <v>6229</v>
      </c>
      <c r="AF313" t="s">
        <v>74</v>
      </c>
      <c r="AG313">
        <v>71</v>
      </c>
      <c r="AH313">
        <v>14</v>
      </c>
      <c r="AI313">
        <v>15</v>
      </c>
      <c r="AJ313">
        <v>8</v>
      </c>
      <c r="AK313">
        <v>115</v>
      </c>
      <c r="AL313" t="s">
        <v>656</v>
      </c>
      <c r="AM313" t="s">
        <v>93</v>
      </c>
      <c r="AN313" t="s">
        <v>657</v>
      </c>
      <c r="AO313" t="s">
        <v>2185</v>
      </c>
      <c r="AP313" t="s">
        <v>2186</v>
      </c>
      <c r="AQ313" t="s">
        <v>74</v>
      </c>
      <c r="AR313" t="s">
        <v>2173</v>
      </c>
      <c r="AS313" t="s">
        <v>2187</v>
      </c>
      <c r="AT313" t="s">
        <v>4623</v>
      </c>
      <c r="AU313">
        <v>2017</v>
      </c>
      <c r="AV313">
        <v>175</v>
      </c>
      <c r="AW313" t="s">
        <v>74</v>
      </c>
      <c r="AX313" t="s">
        <v>74</v>
      </c>
      <c r="AY313" t="s">
        <v>74</v>
      </c>
      <c r="AZ313" t="s">
        <v>74</v>
      </c>
      <c r="BA313" t="s">
        <v>74</v>
      </c>
      <c r="BB313">
        <v>307</v>
      </c>
      <c r="BC313">
        <v>314</v>
      </c>
      <c r="BD313" t="s">
        <v>74</v>
      </c>
      <c r="BE313" t="s">
        <v>6230</v>
      </c>
      <c r="BF313" t="str">
        <f>HYPERLINK("http://dx.doi.org/10.1016/j.chemosphere.2017.02.052","http://dx.doi.org/10.1016/j.chemosphere.2017.02.052")</f>
        <v>http://dx.doi.org/10.1016/j.chemosphere.2017.02.052</v>
      </c>
      <c r="BG313" t="s">
        <v>74</v>
      </c>
      <c r="BH313" t="s">
        <v>74</v>
      </c>
      <c r="BI313">
        <v>8</v>
      </c>
      <c r="BJ313" t="s">
        <v>2189</v>
      </c>
      <c r="BK313" t="s">
        <v>103</v>
      </c>
      <c r="BL313" t="s">
        <v>993</v>
      </c>
      <c r="BM313" t="s">
        <v>6214</v>
      </c>
      <c r="BN313">
        <v>28235739</v>
      </c>
      <c r="BO313" t="s">
        <v>74</v>
      </c>
      <c r="BP313" t="s">
        <v>74</v>
      </c>
      <c r="BQ313" t="s">
        <v>74</v>
      </c>
      <c r="BR313" t="s">
        <v>106</v>
      </c>
      <c r="BS313" t="s">
        <v>6231</v>
      </c>
      <c r="BT313" t="str">
        <f>HYPERLINK("https%3A%2F%2Fwww.webofscience.com%2Fwos%2Fwoscc%2Ffull-record%2FWOS:000397691200036","View Full Record in Web of Science")</f>
        <v>View Full Record in Web of Science</v>
      </c>
    </row>
    <row r="314" spans="1:72" x14ac:dyDescent="0.15">
      <c r="A314" t="s">
        <v>72</v>
      </c>
      <c r="B314" t="s">
        <v>6232</v>
      </c>
      <c r="C314" t="s">
        <v>74</v>
      </c>
      <c r="D314" t="s">
        <v>74</v>
      </c>
      <c r="E314" t="s">
        <v>74</v>
      </c>
      <c r="F314" t="s">
        <v>6233</v>
      </c>
      <c r="G314" t="s">
        <v>74</v>
      </c>
      <c r="H314" t="s">
        <v>74</v>
      </c>
      <c r="I314" t="s">
        <v>6234</v>
      </c>
      <c r="J314" t="s">
        <v>2173</v>
      </c>
      <c r="K314" t="s">
        <v>74</v>
      </c>
      <c r="L314" t="s">
        <v>74</v>
      </c>
      <c r="M314" t="s">
        <v>78</v>
      </c>
      <c r="N314" t="s">
        <v>79</v>
      </c>
      <c r="O314" t="s">
        <v>74</v>
      </c>
      <c r="P314" t="s">
        <v>74</v>
      </c>
      <c r="Q314" t="s">
        <v>74</v>
      </c>
      <c r="R314" t="s">
        <v>74</v>
      </c>
      <c r="S314" t="s">
        <v>74</v>
      </c>
      <c r="T314" t="s">
        <v>6235</v>
      </c>
      <c r="U314" t="s">
        <v>6236</v>
      </c>
      <c r="V314" t="s">
        <v>6237</v>
      </c>
      <c r="W314" t="s">
        <v>6238</v>
      </c>
      <c r="X314" t="s">
        <v>6239</v>
      </c>
      <c r="Y314" t="s">
        <v>6240</v>
      </c>
      <c r="Z314" t="s">
        <v>6241</v>
      </c>
      <c r="AA314" t="s">
        <v>6242</v>
      </c>
      <c r="AB314" t="s">
        <v>6243</v>
      </c>
      <c r="AC314" t="s">
        <v>6244</v>
      </c>
      <c r="AD314" t="s">
        <v>6245</v>
      </c>
      <c r="AE314" t="s">
        <v>6246</v>
      </c>
      <c r="AF314" t="s">
        <v>74</v>
      </c>
      <c r="AG314">
        <v>43</v>
      </c>
      <c r="AH314">
        <v>385</v>
      </c>
      <c r="AI314">
        <v>420</v>
      </c>
      <c r="AJ314">
        <v>40</v>
      </c>
      <c r="AK314">
        <v>552</v>
      </c>
      <c r="AL314" t="s">
        <v>656</v>
      </c>
      <c r="AM314" t="s">
        <v>93</v>
      </c>
      <c r="AN314" t="s">
        <v>657</v>
      </c>
      <c r="AO314" t="s">
        <v>2185</v>
      </c>
      <c r="AP314" t="s">
        <v>2186</v>
      </c>
      <c r="AQ314" t="s">
        <v>74</v>
      </c>
      <c r="AR314" t="s">
        <v>2173</v>
      </c>
      <c r="AS314" t="s">
        <v>2187</v>
      </c>
      <c r="AT314" t="s">
        <v>4623</v>
      </c>
      <c r="AU314">
        <v>2017</v>
      </c>
      <c r="AV314">
        <v>175</v>
      </c>
      <c r="AW314" t="s">
        <v>74</v>
      </c>
      <c r="AX314" t="s">
        <v>74</v>
      </c>
      <c r="AY314" t="s">
        <v>74</v>
      </c>
      <c r="AZ314" t="s">
        <v>74</v>
      </c>
      <c r="BA314" t="s">
        <v>74</v>
      </c>
      <c r="BB314">
        <v>391</v>
      </c>
      <c r="BC314">
        <v>400</v>
      </c>
      <c r="BD314" t="s">
        <v>74</v>
      </c>
      <c r="BE314" t="s">
        <v>6247</v>
      </c>
      <c r="BF314" t="str">
        <f>HYPERLINK("http://dx.doi.org/10.1016/j.chemosphere.2017.02.024","http://dx.doi.org/10.1016/j.chemosphere.2017.02.024")</f>
        <v>http://dx.doi.org/10.1016/j.chemosphere.2017.02.024</v>
      </c>
      <c r="BG314" t="s">
        <v>74</v>
      </c>
      <c r="BH314" t="s">
        <v>74</v>
      </c>
      <c r="BI314">
        <v>10</v>
      </c>
      <c r="BJ314" t="s">
        <v>2189</v>
      </c>
      <c r="BK314" t="s">
        <v>103</v>
      </c>
      <c r="BL314" t="s">
        <v>993</v>
      </c>
      <c r="BM314" t="s">
        <v>6214</v>
      </c>
      <c r="BN314">
        <v>28236709</v>
      </c>
      <c r="BO314" t="s">
        <v>74</v>
      </c>
      <c r="BP314" t="s">
        <v>2243</v>
      </c>
      <c r="BQ314" t="s">
        <v>2244</v>
      </c>
      <c r="BR314" t="s">
        <v>106</v>
      </c>
      <c r="BS314" t="s">
        <v>6248</v>
      </c>
      <c r="BT314" t="str">
        <f>HYPERLINK("https%3A%2F%2Fwww.webofscience.com%2Fwos%2Fwoscc%2Ffull-record%2FWOS:000397691200046","View Full Record in Web of Science")</f>
        <v>View Full Record in Web of Science</v>
      </c>
    </row>
    <row r="315" spans="1:72" x14ac:dyDescent="0.15">
      <c r="A315" t="s">
        <v>72</v>
      </c>
      <c r="B315" t="s">
        <v>6249</v>
      </c>
      <c r="C315" t="s">
        <v>74</v>
      </c>
      <c r="D315" t="s">
        <v>74</v>
      </c>
      <c r="E315" t="s">
        <v>74</v>
      </c>
      <c r="F315" t="s">
        <v>6250</v>
      </c>
      <c r="G315" t="s">
        <v>74</v>
      </c>
      <c r="H315" t="s">
        <v>74</v>
      </c>
      <c r="I315" t="s">
        <v>6251</v>
      </c>
      <c r="J315" t="s">
        <v>2173</v>
      </c>
      <c r="K315" t="s">
        <v>74</v>
      </c>
      <c r="L315" t="s">
        <v>74</v>
      </c>
      <c r="M315" t="s">
        <v>78</v>
      </c>
      <c r="N315" t="s">
        <v>79</v>
      </c>
      <c r="O315" t="s">
        <v>74</v>
      </c>
      <c r="P315" t="s">
        <v>74</v>
      </c>
      <c r="Q315" t="s">
        <v>74</v>
      </c>
      <c r="R315" t="s">
        <v>74</v>
      </c>
      <c r="S315" t="s">
        <v>74</v>
      </c>
      <c r="T315" t="s">
        <v>6252</v>
      </c>
      <c r="U315" t="s">
        <v>6253</v>
      </c>
      <c r="V315" t="s">
        <v>6254</v>
      </c>
      <c r="W315" t="s">
        <v>6255</v>
      </c>
      <c r="X315" t="s">
        <v>6256</v>
      </c>
      <c r="Y315" t="s">
        <v>6257</v>
      </c>
      <c r="Z315" t="s">
        <v>2733</v>
      </c>
      <c r="AA315" t="s">
        <v>6258</v>
      </c>
      <c r="AB315" t="s">
        <v>6259</v>
      </c>
      <c r="AC315" t="s">
        <v>6260</v>
      </c>
      <c r="AD315" t="s">
        <v>6261</v>
      </c>
      <c r="AE315" t="s">
        <v>6262</v>
      </c>
      <c r="AF315" t="s">
        <v>74</v>
      </c>
      <c r="AG315">
        <v>36</v>
      </c>
      <c r="AH315">
        <v>17</v>
      </c>
      <c r="AI315">
        <v>17</v>
      </c>
      <c r="AJ315">
        <v>1</v>
      </c>
      <c r="AK315">
        <v>61</v>
      </c>
      <c r="AL315" t="s">
        <v>656</v>
      </c>
      <c r="AM315" t="s">
        <v>93</v>
      </c>
      <c r="AN315" t="s">
        <v>657</v>
      </c>
      <c r="AO315" t="s">
        <v>2185</v>
      </c>
      <c r="AP315" t="s">
        <v>2186</v>
      </c>
      <c r="AQ315" t="s">
        <v>74</v>
      </c>
      <c r="AR315" t="s">
        <v>2173</v>
      </c>
      <c r="AS315" t="s">
        <v>2187</v>
      </c>
      <c r="AT315" t="s">
        <v>4623</v>
      </c>
      <c r="AU315">
        <v>2017</v>
      </c>
      <c r="AV315">
        <v>174</v>
      </c>
      <c r="AW315" t="s">
        <v>74</v>
      </c>
      <c r="AX315" t="s">
        <v>74</v>
      </c>
      <c r="AY315" t="s">
        <v>74</v>
      </c>
      <c r="AZ315" t="s">
        <v>74</v>
      </c>
      <c r="BA315" t="s">
        <v>74</v>
      </c>
      <c r="BB315">
        <v>408</v>
      </c>
      <c r="BC315">
        <v>420</v>
      </c>
      <c r="BD315" t="s">
        <v>74</v>
      </c>
      <c r="BE315" t="s">
        <v>6263</v>
      </c>
      <c r="BF315" t="str">
        <f>HYPERLINK("http://dx.doi.org/10.1016/j.chemosphere.2017.01.127","http://dx.doi.org/10.1016/j.chemosphere.2017.01.127")</f>
        <v>http://dx.doi.org/10.1016/j.chemosphere.2017.01.127</v>
      </c>
      <c r="BG315" t="s">
        <v>74</v>
      </c>
      <c r="BH315" t="s">
        <v>74</v>
      </c>
      <c r="BI315">
        <v>13</v>
      </c>
      <c r="BJ315" t="s">
        <v>2189</v>
      </c>
      <c r="BK315" t="s">
        <v>103</v>
      </c>
      <c r="BL315" t="s">
        <v>993</v>
      </c>
      <c r="BM315" t="s">
        <v>6264</v>
      </c>
      <c r="BN315">
        <v>28187387</v>
      </c>
      <c r="BO315" t="s">
        <v>74</v>
      </c>
      <c r="BP315" t="s">
        <v>74</v>
      </c>
      <c r="BQ315" t="s">
        <v>74</v>
      </c>
      <c r="BR315" t="s">
        <v>106</v>
      </c>
      <c r="BS315" t="s">
        <v>6265</v>
      </c>
      <c r="BT315" t="str">
        <f>HYPERLINK("https%3A%2F%2Fwww.webofscience.com%2Fwos%2Fwoscc%2Ffull-record%2FWOS:000397076000045","View Full Record in Web of Science")</f>
        <v>View Full Record in Web of Science</v>
      </c>
    </row>
    <row r="316" spans="1:72" x14ac:dyDescent="0.15">
      <c r="A316" t="s">
        <v>72</v>
      </c>
      <c r="B316" t="s">
        <v>6266</v>
      </c>
      <c r="C316" t="s">
        <v>74</v>
      </c>
      <c r="D316" t="s">
        <v>74</v>
      </c>
      <c r="E316" t="s">
        <v>74</v>
      </c>
      <c r="F316" t="s">
        <v>6267</v>
      </c>
      <c r="G316" t="s">
        <v>74</v>
      </c>
      <c r="H316" t="s">
        <v>74</v>
      </c>
      <c r="I316" t="s">
        <v>6268</v>
      </c>
      <c r="J316" t="s">
        <v>5768</v>
      </c>
      <c r="K316" t="s">
        <v>74</v>
      </c>
      <c r="L316" t="s">
        <v>74</v>
      </c>
      <c r="M316" t="s">
        <v>5769</v>
      </c>
      <c r="N316" t="s">
        <v>79</v>
      </c>
      <c r="O316" t="s">
        <v>74</v>
      </c>
      <c r="P316" t="s">
        <v>74</v>
      </c>
      <c r="Q316" t="s">
        <v>74</v>
      </c>
      <c r="R316" t="s">
        <v>74</v>
      </c>
      <c r="S316" t="s">
        <v>74</v>
      </c>
      <c r="T316" t="s">
        <v>6269</v>
      </c>
      <c r="U316" t="s">
        <v>6270</v>
      </c>
      <c r="V316" t="s">
        <v>6271</v>
      </c>
      <c r="W316" t="s">
        <v>6272</v>
      </c>
      <c r="X316" t="s">
        <v>6273</v>
      </c>
      <c r="Y316" t="s">
        <v>6274</v>
      </c>
      <c r="Z316" t="s">
        <v>6275</v>
      </c>
      <c r="AA316" t="s">
        <v>74</v>
      </c>
      <c r="AB316" t="s">
        <v>74</v>
      </c>
      <c r="AC316" t="s">
        <v>74</v>
      </c>
      <c r="AD316" t="s">
        <v>74</v>
      </c>
      <c r="AE316" t="s">
        <v>74</v>
      </c>
      <c r="AF316" t="s">
        <v>74</v>
      </c>
      <c r="AG316">
        <v>21</v>
      </c>
      <c r="AH316">
        <v>3</v>
      </c>
      <c r="AI316">
        <v>5</v>
      </c>
      <c r="AJ316">
        <v>2</v>
      </c>
      <c r="AK316">
        <v>50</v>
      </c>
      <c r="AL316" t="s">
        <v>5777</v>
      </c>
      <c r="AM316" t="s">
        <v>5778</v>
      </c>
      <c r="AN316" t="s">
        <v>5779</v>
      </c>
      <c r="AO316" t="s">
        <v>5780</v>
      </c>
      <c r="AP316" t="s">
        <v>74</v>
      </c>
      <c r="AQ316" t="s">
        <v>74</v>
      </c>
      <c r="AR316" t="s">
        <v>5781</v>
      </c>
      <c r="AS316" t="s">
        <v>5782</v>
      </c>
      <c r="AT316" t="s">
        <v>4623</v>
      </c>
      <c r="AU316">
        <v>2017</v>
      </c>
      <c r="AV316">
        <v>60</v>
      </c>
      <c r="AW316">
        <v>5</v>
      </c>
      <c r="AX316" t="s">
        <v>74</v>
      </c>
      <c r="AY316" t="s">
        <v>74</v>
      </c>
      <c r="AZ316" t="s">
        <v>74</v>
      </c>
      <c r="BA316" t="s">
        <v>74</v>
      </c>
      <c r="BB316">
        <v>1650</v>
      </c>
      <c r="BC316">
        <v>1658</v>
      </c>
      <c r="BD316" t="s">
        <v>74</v>
      </c>
      <c r="BE316" t="s">
        <v>6276</v>
      </c>
      <c r="BF316" t="str">
        <f>HYPERLINK("http://dx.doi.org/10.6038/cjg20170504","http://dx.doi.org/10.6038/cjg20170504")</f>
        <v>http://dx.doi.org/10.6038/cjg20170504</v>
      </c>
      <c r="BG316" t="s">
        <v>74</v>
      </c>
      <c r="BH316" t="s">
        <v>74</v>
      </c>
      <c r="BI316">
        <v>9</v>
      </c>
      <c r="BJ316" t="s">
        <v>176</v>
      </c>
      <c r="BK316" t="s">
        <v>103</v>
      </c>
      <c r="BL316" t="s">
        <v>176</v>
      </c>
      <c r="BM316" t="s">
        <v>5784</v>
      </c>
      <c r="BN316" t="s">
        <v>74</v>
      </c>
      <c r="BO316" t="s">
        <v>74</v>
      </c>
      <c r="BP316" t="s">
        <v>74</v>
      </c>
      <c r="BQ316" t="s">
        <v>74</v>
      </c>
      <c r="BR316" t="s">
        <v>106</v>
      </c>
      <c r="BS316" t="s">
        <v>6277</v>
      </c>
      <c r="BT316" t="str">
        <f>HYPERLINK("https%3A%2F%2Fwww.webofscience.com%2Fwos%2Fwoscc%2Ffull-record%2FWOS:000400803000004","View Full Record in Web of Science")</f>
        <v>View Full Record in Web of Science</v>
      </c>
    </row>
    <row r="317" spans="1:72" x14ac:dyDescent="0.15">
      <c r="A317" t="s">
        <v>72</v>
      </c>
      <c r="B317" t="s">
        <v>6278</v>
      </c>
      <c r="C317" t="s">
        <v>74</v>
      </c>
      <c r="D317" t="s">
        <v>74</v>
      </c>
      <c r="E317" t="s">
        <v>74</v>
      </c>
      <c r="F317" t="s">
        <v>6279</v>
      </c>
      <c r="G317" t="s">
        <v>74</v>
      </c>
      <c r="H317" t="s">
        <v>74</v>
      </c>
      <c r="I317" t="s">
        <v>6280</v>
      </c>
      <c r="J317" t="s">
        <v>695</v>
      </c>
      <c r="K317" t="s">
        <v>74</v>
      </c>
      <c r="L317" t="s">
        <v>74</v>
      </c>
      <c r="M317" t="s">
        <v>78</v>
      </c>
      <c r="N317" t="s">
        <v>79</v>
      </c>
      <c r="O317" t="s">
        <v>74</v>
      </c>
      <c r="P317" t="s">
        <v>74</v>
      </c>
      <c r="Q317" t="s">
        <v>74</v>
      </c>
      <c r="R317" t="s">
        <v>74</v>
      </c>
      <c r="S317" t="s">
        <v>74</v>
      </c>
      <c r="T317" t="s">
        <v>6281</v>
      </c>
      <c r="U317" t="s">
        <v>6282</v>
      </c>
      <c r="V317" t="s">
        <v>6283</v>
      </c>
      <c r="W317" t="s">
        <v>6284</v>
      </c>
      <c r="X317" t="s">
        <v>6285</v>
      </c>
      <c r="Y317" t="s">
        <v>6286</v>
      </c>
      <c r="Z317" t="s">
        <v>6287</v>
      </c>
      <c r="AA317" t="s">
        <v>6288</v>
      </c>
      <c r="AB317" t="s">
        <v>74</v>
      </c>
      <c r="AC317" t="s">
        <v>6289</v>
      </c>
      <c r="AD317" t="s">
        <v>6290</v>
      </c>
      <c r="AE317" t="s">
        <v>6291</v>
      </c>
      <c r="AF317" t="s">
        <v>74</v>
      </c>
      <c r="AG317">
        <v>81</v>
      </c>
      <c r="AH317">
        <v>24</v>
      </c>
      <c r="AI317">
        <v>26</v>
      </c>
      <c r="AJ317">
        <v>1</v>
      </c>
      <c r="AK317">
        <v>12</v>
      </c>
      <c r="AL317" t="s">
        <v>656</v>
      </c>
      <c r="AM317" t="s">
        <v>93</v>
      </c>
      <c r="AN317" t="s">
        <v>657</v>
      </c>
      <c r="AO317" t="s">
        <v>708</v>
      </c>
      <c r="AP317" t="s">
        <v>709</v>
      </c>
      <c r="AQ317" t="s">
        <v>74</v>
      </c>
      <c r="AR317" t="s">
        <v>710</v>
      </c>
      <c r="AS317" t="s">
        <v>711</v>
      </c>
      <c r="AT317" t="s">
        <v>5138</v>
      </c>
      <c r="AU317">
        <v>2017</v>
      </c>
      <c r="AV317">
        <v>139</v>
      </c>
      <c r="AW317" t="s">
        <v>74</v>
      </c>
      <c r="AX317" t="s">
        <v>74</v>
      </c>
      <c r="AY317" t="s">
        <v>74</v>
      </c>
      <c r="AZ317" t="s">
        <v>74</v>
      </c>
      <c r="BA317" t="s">
        <v>74</v>
      </c>
      <c r="BB317">
        <v>9</v>
      </c>
      <c r="BC317">
        <v>20</v>
      </c>
      <c r="BD317" t="s">
        <v>74</v>
      </c>
      <c r="BE317" t="s">
        <v>6292</v>
      </c>
      <c r="BF317" t="str">
        <f>HYPERLINK("http://dx.doi.org/10.1016/j.csr.2017.03.011","http://dx.doi.org/10.1016/j.csr.2017.03.011")</f>
        <v>http://dx.doi.org/10.1016/j.csr.2017.03.011</v>
      </c>
      <c r="BG317" t="s">
        <v>74</v>
      </c>
      <c r="BH317" t="s">
        <v>74</v>
      </c>
      <c r="BI317">
        <v>12</v>
      </c>
      <c r="BJ317" t="s">
        <v>127</v>
      </c>
      <c r="BK317" t="s">
        <v>103</v>
      </c>
      <c r="BL317" t="s">
        <v>127</v>
      </c>
      <c r="BM317" t="s">
        <v>6293</v>
      </c>
      <c r="BN317" t="s">
        <v>74</v>
      </c>
      <c r="BO317" t="s">
        <v>1538</v>
      </c>
      <c r="BP317" t="s">
        <v>74</v>
      </c>
      <c r="BQ317" t="s">
        <v>74</v>
      </c>
      <c r="BR317" t="s">
        <v>106</v>
      </c>
      <c r="BS317" t="s">
        <v>6294</v>
      </c>
      <c r="BT317" t="str">
        <f>HYPERLINK("https%3A%2F%2Fwww.webofscience.com%2Fwos%2Fwoscc%2Ffull-record%2FWOS:000401377100002","View Full Record in Web of Science")</f>
        <v>View Full Record in Web of Science</v>
      </c>
    </row>
    <row r="318" spans="1:72" x14ac:dyDescent="0.15">
      <c r="A318" t="s">
        <v>72</v>
      </c>
      <c r="B318" t="s">
        <v>6295</v>
      </c>
      <c r="C318" t="s">
        <v>74</v>
      </c>
      <c r="D318" t="s">
        <v>74</v>
      </c>
      <c r="E318" t="s">
        <v>74</v>
      </c>
      <c r="F318" t="s">
        <v>6296</v>
      </c>
      <c r="G318" t="s">
        <v>74</v>
      </c>
      <c r="H318" t="s">
        <v>74</v>
      </c>
      <c r="I318" t="s">
        <v>6297</v>
      </c>
      <c r="J318" t="s">
        <v>895</v>
      </c>
      <c r="K318" t="s">
        <v>74</v>
      </c>
      <c r="L318" t="s">
        <v>74</v>
      </c>
      <c r="M318" t="s">
        <v>78</v>
      </c>
      <c r="N318" t="s">
        <v>2082</v>
      </c>
      <c r="O318" t="s">
        <v>74</v>
      </c>
      <c r="P318" t="s">
        <v>74</v>
      </c>
      <c r="Q318" t="s">
        <v>74</v>
      </c>
      <c r="R318" t="s">
        <v>74</v>
      </c>
      <c r="S318" t="s">
        <v>74</v>
      </c>
      <c r="T318" t="s">
        <v>74</v>
      </c>
      <c r="U318" t="s">
        <v>6298</v>
      </c>
      <c r="V318" t="s">
        <v>74</v>
      </c>
      <c r="W318" t="s">
        <v>6299</v>
      </c>
      <c r="X318" t="s">
        <v>6300</v>
      </c>
      <c r="Y318" t="s">
        <v>6301</v>
      </c>
      <c r="Z318" t="s">
        <v>6302</v>
      </c>
      <c r="AA318" t="s">
        <v>74</v>
      </c>
      <c r="AB318" t="s">
        <v>6303</v>
      </c>
      <c r="AC318" t="s">
        <v>6304</v>
      </c>
      <c r="AD318" t="s">
        <v>6305</v>
      </c>
      <c r="AE318" t="s">
        <v>6306</v>
      </c>
      <c r="AF318" t="s">
        <v>74</v>
      </c>
      <c r="AG318">
        <v>40</v>
      </c>
      <c r="AH318">
        <v>20</v>
      </c>
      <c r="AI318">
        <v>22</v>
      </c>
      <c r="AJ318">
        <v>0</v>
      </c>
      <c r="AK318">
        <v>8</v>
      </c>
      <c r="AL318" t="s">
        <v>656</v>
      </c>
      <c r="AM318" t="s">
        <v>93</v>
      </c>
      <c r="AN318" t="s">
        <v>657</v>
      </c>
      <c r="AO318" t="s">
        <v>911</v>
      </c>
      <c r="AP318" t="s">
        <v>912</v>
      </c>
      <c r="AQ318" t="s">
        <v>74</v>
      </c>
      <c r="AR318" t="s">
        <v>913</v>
      </c>
      <c r="AS318" t="s">
        <v>914</v>
      </c>
      <c r="AT318" t="s">
        <v>4623</v>
      </c>
      <c r="AU318">
        <v>2017</v>
      </c>
      <c r="AV318">
        <v>139</v>
      </c>
      <c r="AW318" t="s">
        <v>74</v>
      </c>
      <c r="AX318" t="s">
        <v>74</v>
      </c>
      <c r="AY318" t="s">
        <v>74</v>
      </c>
      <c r="AZ318" t="s">
        <v>100</v>
      </c>
      <c r="BA318" t="s">
        <v>74</v>
      </c>
      <c r="BB318">
        <v>1</v>
      </c>
      <c r="BC318">
        <v>8</v>
      </c>
      <c r="BD318" t="s">
        <v>74</v>
      </c>
      <c r="BE318" t="s">
        <v>6307</v>
      </c>
      <c r="BF318" t="str">
        <f>HYPERLINK("http://dx.doi.org/10.1016/j.dsr2.2017.02.002","http://dx.doi.org/10.1016/j.dsr2.2017.02.002")</f>
        <v>http://dx.doi.org/10.1016/j.dsr2.2017.02.002</v>
      </c>
      <c r="BG318" t="s">
        <v>74</v>
      </c>
      <c r="BH318" t="s">
        <v>74</v>
      </c>
      <c r="BI318">
        <v>8</v>
      </c>
      <c r="BJ318" t="s">
        <v>127</v>
      </c>
      <c r="BK318" t="s">
        <v>103</v>
      </c>
      <c r="BL318" t="s">
        <v>127</v>
      </c>
      <c r="BM318" t="s">
        <v>4721</v>
      </c>
      <c r="BN318" t="s">
        <v>74</v>
      </c>
      <c r="BO318" t="s">
        <v>2617</v>
      </c>
      <c r="BP318" t="s">
        <v>74</v>
      </c>
      <c r="BQ318" t="s">
        <v>74</v>
      </c>
      <c r="BR318" t="s">
        <v>106</v>
      </c>
      <c r="BS318" t="s">
        <v>6308</v>
      </c>
      <c r="BT318" t="str">
        <f>HYPERLINK("https%3A%2F%2Fwww.webofscience.com%2Fwos%2Fwoscc%2Ffull-record%2FWOS:000405884100001","View Full Record in Web of Science")</f>
        <v>View Full Record in Web of Science</v>
      </c>
    </row>
    <row r="319" spans="1:72" x14ac:dyDescent="0.15">
      <c r="A319" t="s">
        <v>72</v>
      </c>
      <c r="B319" t="s">
        <v>6309</v>
      </c>
      <c r="C319" t="s">
        <v>74</v>
      </c>
      <c r="D319" t="s">
        <v>74</v>
      </c>
      <c r="E319" t="s">
        <v>74</v>
      </c>
      <c r="F319" t="s">
        <v>6310</v>
      </c>
      <c r="G319" t="s">
        <v>74</v>
      </c>
      <c r="H319" t="s">
        <v>74</v>
      </c>
      <c r="I319" t="s">
        <v>6311</v>
      </c>
      <c r="J319" t="s">
        <v>895</v>
      </c>
      <c r="K319" t="s">
        <v>74</v>
      </c>
      <c r="L319" t="s">
        <v>74</v>
      </c>
      <c r="M319" t="s">
        <v>78</v>
      </c>
      <c r="N319" t="s">
        <v>79</v>
      </c>
      <c r="O319" t="s">
        <v>74</v>
      </c>
      <c r="P319" t="s">
        <v>74</v>
      </c>
      <c r="Q319" t="s">
        <v>74</v>
      </c>
      <c r="R319" t="s">
        <v>74</v>
      </c>
      <c r="S319" t="s">
        <v>74</v>
      </c>
      <c r="T319" t="s">
        <v>6312</v>
      </c>
      <c r="U319" t="s">
        <v>6313</v>
      </c>
      <c r="V319" t="s">
        <v>6314</v>
      </c>
      <c r="W319" t="s">
        <v>6315</v>
      </c>
      <c r="X319" t="s">
        <v>6316</v>
      </c>
      <c r="Y319" t="s">
        <v>6317</v>
      </c>
      <c r="Z319" t="s">
        <v>6318</v>
      </c>
      <c r="AA319" t="s">
        <v>6319</v>
      </c>
      <c r="AB319" t="s">
        <v>6320</v>
      </c>
      <c r="AC319" t="s">
        <v>6321</v>
      </c>
      <c r="AD319" t="s">
        <v>6322</v>
      </c>
      <c r="AE319" t="s">
        <v>6323</v>
      </c>
      <c r="AF319" t="s">
        <v>74</v>
      </c>
      <c r="AG319">
        <v>55</v>
      </c>
      <c r="AH319">
        <v>19</v>
      </c>
      <c r="AI319">
        <v>21</v>
      </c>
      <c r="AJ319">
        <v>0</v>
      </c>
      <c r="AK319">
        <v>12</v>
      </c>
      <c r="AL319" t="s">
        <v>656</v>
      </c>
      <c r="AM319" t="s">
        <v>93</v>
      </c>
      <c r="AN319" t="s">
        <v>657</v>
      </c>
      <c r="AO319" t="s">
        <v>911</v>
      </c>
      <c r="AP319" t="s">
        <v>912</v>
      </c>
      <c r="AQ319" t="s">
        <v>74</v>
      </c>
      <c r="AR319" t="s">
        <v>913</v>
      </c>
      <c r="AS319" t="s">
        <v>914</v>
      </c>
      <c r="AT319" t="s">
        <v>4623</v>
      </c>
      <c r="AU319">
        <v>2017</v>
      </c>
      <c r="AV319">
        <v>139</v>
      </c>
      <c r="AW319" t="s">
        <v>74</v>
      </c>
      <c r="AX319" t="s">
        <v>74</v>
      </c>
      <c r="AY319" t="s">
        <v>74</v>
      </c>
      <c r="AZ319" t="s">
        <v>100</v>
      </c>
      <c r="BA319" t="s">
        <v>74</v>
      </c>
      <c r="BB319">
        <v>31</v>
      </c>
      <c r="BC319">
        <v>39</v>
      </c>
      <c r="BD319" t="s">
        <v>74</v>
      </c>
      <c r="BE319" t="s">
        <v>6324</v>
      </c>
      <c r="BF319" t="str">
        <f>HYPERLINK("http://dx.doi.org/10.1016/j.dsr2.2016.11.001","http://dx.doi.org/10.1016/j.dsr2.2016.11.001")</f>
        <v>http://dx.doi.org/10.1016/j.dsr2.2016.11.001</v>
      </c>
      <c r="BG319" t="s">
        <v>74</v>
      </c>
      <c r="BH319" t="s">
        <v>74</v>
      </c>
      <c r="BI319">
        <v>9</v>
      </c>
      <c r="BJ319" t="s">
        <v>127</v>
      </c>
      <c r="BK319" t="s">
        <v>103</v>
      </c>
      <c r="BL319" t="s">
        <v>127</v>
      </c>
      <c r="BM319" t="s">
        <v>4721</v>
      </c>
      <c r="BN319" t="s">
        <v>74</v>
      </c>
      <c r="BO319" t="s">
        <v>5013</v>
      </c>
      <c r="BP319" t="s">
        <v>74</v>
      </c>
      <c r="BQ319" t="s">
        <v>74</v>
      </c>
      <c r="BR319" t="s">
        <v>106</v>
      </c>
      <c r="BS319" t="s">
        <v>6325</v>
      </c>
      <c r="BT319" t="str">
        <f>HYPERLINK("https%3A%2F%2Fwww.webofscience.com%2Fwos%2Fwoscc%2Ffull-record%2FWOS:000405884100004","View Full Record in Web of Science")</f>
        <v>View Full Record in Web of Science</v>
      </c>
    </row>
    <row r="320" spans="1:72" x14ac:dyDescent="0.15">
      <c r="A320" t="s">
        <v>72</v>
      </c>
      <c r="B320" t="s">
        <v>6326</v>
      </c>
      <c r="C320" t="s">
        <v>74</v>
      </c>
      <c r="D320" t="s">
        <v>74</v>
      </c>
      <c r="E320" t="s">
        <v>74</v>
      </c>
      <c r="F320" t="s">
        <v>6327</v>
      </c>
      <c r="G320" t="s">
        <v>74</v>
      </c>
      <c r="H320" t="s">
        <v>74</v>
      </c>
      <c r="I320" t="s">
        <v>6328</v>
      </c>
      <c r="J320" t="s">
        <v>895</v>
      </c>
      <c r="K320" t="s">
        <v>74</v>
      </c>
      <c r="L320" t="s">
        <v>74</v>
      </c>
      <c r="M320" t="s">
        <v>78</v>
      </c>
      <c r="N320" t="s">
        <v>79</v>
      </c>
      <c r="O320" t="s">
        <v>74</v>
      </c>
      <c r="P320" t="s">
        <v>74</v>
      </c>
      <c r="Q320" t="s">
        <v>74</v>
      </c>
      <c r="R320" t="s">
        <v>74</v>
      </c>
      <c r="S320" t="s">
        <v>74</v>
      </c>
      <c r="T320" t="s">
        <v>6329</v>
      </c>
      <c r="U320" t="s">
        <v>6330</v>
      </c>
      <c r="V320" t="s">
        <v>6331</v>
      </c>
      <c r="W320" t="s">
        <v>6332</v>
      </c>
      <c r="X320" t="s">
        <v>6333</v>
      </c>
      <c r="Y320" t="s">
        <v>6334</v>
      </c>
      <c r="Z320" t="s">
        <v>6302</v>
      </c>
      <c r="AA320" t="s">
        <v>6335</v>
      </c>
      <c r="AB320" t="s">
        <v>6336</v>
      </c>
      <c r="AC320" t="s">
        <v>6337</v>
      </c>
      <c r="AD320" t="s">
        <v>6338</v>
      </c>
      <c r="AE320" t="s">
        <v>6339</v>
      </c>
      <c r="AF320" t="s">
        <v>74</v>
      </c>
      <c r="AG320">
        <v>80</v>
      </c>
      <c r="AH320">
        <v>53</v>
      </c>
      <c r="AI320">
        <v>63</v>
      </c>
      <c r="AJ320">
        <v>1</v>
      </c>
      <c r="AK320">
        <v>48</v>
      </c>
      <c r="AL320" t="s">
        <v>656</v>
      </c>
      <c r="AM320" t="s">
        <v>93</v>
      </c>
      <c r="AN320" t="s">
        <v>657</v>
      </c>
      <c r="AO320" t="s">
        <v>911</v>
      </c>
      <c r="AP320" t="s">
        <v>912</v>
      </c>
      <c r="AQ320" t="s">
        <v>74</v>
      </c>
      <c r="AR320" t="s">
        <v>913</v>
      </c>
      <c r="AS320" t="s">
        <v>914</v>
      </c>
      <c r="AT320" t="s">
        <v>4623</v>
      </c>
      <c r="AU320">
        <v>2017</v>
      </c>
      <c r="AV320">
        <v>139</v>
      </c>
      <c r="AW320" t="s">
        <v>74</v>
      </c>
      <c r="AX320" t="s">
        <v>74</v>
      </c>
      <c r="AY320" t="s">
        <v>74</v>
      </c>
      <c r="AZ320" t="s">
        <v>100</v>
      </c>
      <c r="BA320" t="s">
        <v>74</v>
      </c>
      <c r="BB320">
        <v>40</v>
      </c>
      <c r="BC320">
        <v>57</v>
      </c>
      <c r="BD320" t="s">
        <v>74</v>
      </c>
      <c r="BE320" t="s">
        <v>6340</v>
      </c>
      <c r="BF320" t="str">
        <f>HYPERLINK("http://dx.doi.org/10.1016/j.dsr2.2016.04.019","http://dx.doi.org/10.1016/j.dsr2.2016.04.019")</f>
        <v>http://dx.doi.org/10.1016/j.dsr2.2016.04.019</v>
      </c>
      <c r="BG320" t="s">
        <v>74</v>
      </c>
      <c r="BH320" t="s">
        <v>74</v>
      </c>
      <c r="BI320">
        <v>18</v>
      </c>
      <c r="BJ320" t="s">
        <v>127</v>
      </c>
      <c r="BK320" t="s">
        <v>103</v>
      </c>
      <c r="BL320" t="s">
        <v>127</v>
      </c>
      <c r="BM320" t="s">
        <v>4721</v>
      </c>
      <c r="BN320" t="s">
        <v>74</v>
      </c>
      <c r="BO320" t="s">
        <v>6341</v>
      </c>
      <c r="BP320" t="s">
        <v>74</v>
      </c>
      <c r="BQ320" t="s">
        <v>74</v>
      </c>
      <c r="BR320" t="s">
        <v>106</v>
      </c>
      <c r="BS320" t="s">
        <v>6342</v>
      </c>
      <c r="BT320" t="str">
        <f>HYPERLINK("https%3A%2F%2Fwww.webofscience.com%2Fwos%2Fwoscc%2Ffull-record%2FWOS:000405884100005","View Full Record in Web of Science")</f>
        <v>View Full Record in Web of Science</v>
      </c>
    </row>
    <row r="321" spans="1:72" x14ac:dyDescent="0.15">
      <c r="A321" t="s">
        <v>72</v>
      </c>
      <c r="B321" t="s">
        <v>6343</v>
      </c>
      <c r="C321" t="s">
        <v>74</v>
      </c>
      <c r="D321" t="s">
        <v>74</v>
      </c>
      <c r="E321" t="s">
        <v>74</v>
      </c>
      <c r="F321" t="s">
        <v>6344</v>
      </c>
      <c r="G321" t="s">
        <v>74</v>
      </c>
      <c r="H321" t="s">
        <v>74</v>
      </c>
      <c r="I321" t="s">
        <v>6345</v>
      </c>
      <c r="J321" t="s">
        <v>895</v>
      </c>
      <c r="K321" t="s">
        <v>74</v>
      </c>
      <c r="L321" t="s">
        <v>74</v>
      </c>
      <c r="M321" t="s">
        <v>78</v>
      </c>
      <c r="N321" t="s">
        <v>79</v>
      </c>
      <c r="O321" t="s">
        <v>74</v>
      </c>
      <c r="P321" t="s">
        <v>74</v>
      </c>
      <c r="Q321" t="s">
        <v>74</v>
      </c>
      <c r="R321" t="s">
        <v>74</v>
      </c>
      <c r="S321" t="s">
        <v>74</v>
      </c>
      <c r="T321" t="s">
        <v>6346</v>
      </c>
      <c r="U321" t="s">
        <v>6347</v>
      </c>
      <c r="V321" t="s">
        <v>6348</v>
      </c>
      <c r="W321" t="s">
        <v>6349</v>
      </c>
      <c r="X321" t="s">
        <v>6350</v>
      </c>
      <c r="Y321" t="s">
        <v>4765</v>
      </c>
      <c r="Z321" t="s">
        <v>4766</v>
      </c>
      <c r="AA321" t="s">
        <v>6351</v>
      </c>
      <c r="AB321" t="s">
        <v>6352</v>
      </c>
      <c r="AC321" t="s">
        <v>6353</v>
      </c>
      <c r="AD321" t="s">
        <v>6354</v>
      </c>
      <c r="AE321" t="s">
        <v>6355</v>
      </c>
      <c r="AF321" t="s">
        <v>74</v>
      </c>
      <c r="AG321">
        <v>50</v>
      </c>
      <c r="AH321">
        <v>17</v>
      </c>
      <c r="AI321">
        <v>20</v>
      </c>
      <c r="AJ321">
        <v>0</v>
      </c>
      <c r="AK321">
        <v>13</v>
      </c>
      <c r="AL321" t="s">
        <v>656</v>
      </c>
      <c r="AM321" t="s">
        <v>93</v>
      </c>
      <c r="AN321" t="s">
        <v>657</v>
      </c>
      <c r="AO321" t="s">
        <v>911</v>
      </c>
      <c r="AP321" t="s">
        <v>912</v>
      </c>
      <c r="AQ321" t="s">
        <v>74</v>
      </c>
      <c r="AR321" t="s">
        <v>913</v>
      </c>
      <c r="AS321" t="s">
        <v>914</v>
      </c>
      <c r="AT321" t="s">
        <v>4623</v>
      </c>
      <c r="AU321">
        <v>2017</v>
      </c>
      <c r="AV321">
        <v>139</v>
      </c>
      <c r="AW321" t="s">
        <v>74</v>
      </c>
      <c r="AX321" t="s">
        <v>74</v>
      </c>
      <c r="AY321" t="s">
        <v>74</v>
      </c>
      <c r="AZ321" t="s">
        <v>100</v>
      </c>
      <c r="BA321" t="s">
        <v>74</v>
      </c>
      <c r="BB321">
        <v>77</v>
      </c>
      <c r="BC321">
        <v>88</v>
      </c>
      <c r="BD321" t="s">
        <v>74</v>
      </c>
      <c r="BE321" t="s">
        <v>6356</v>
      </c>
      <c r="BF321" t="str">
        <f>HYPERLINK("http://dx.doi.org/10.1016/j.dsr2.2016.05.002","http://dx.doi.org/10.1016/j.dsr2.2016.05.002")</f>
        <v>http://dx.doi.org/10.1016/j.dsr2.2016.05.002</v>
      </c>
      <c r="BG321" t="s">
        <v>74</v>
      </c>
      <c r="BH321" t="s">
        <v>74</v>
      </c>
      <c r="BI321">
        <v>12</v>
      </c>
      <c r="BJ321" t="s">
        <v>127</v>
      </c>
      <c r="BK321" t="s">
        <v>103</v>
      </c>
      <c r="BL321" t="s">
        <v>127</v>
      </c>
      <c r="BM321" t="s">
        <v>4721</v>
      </c>
      <c r="BN321" t="s">
        <v>74</v>
      </c>
      <c r="BO321" t="s">
        <v>384</v>
      </c>
      <c r="BP321" t="s">
        <v>74</v>
      </c>
      <c r="BQ321" t="s">
        <v>74</v>
      </c>
      <c r="BR321" t="s">
        <v>106</v>
      </c>
      <c r="BS321" t="s">
        <v>6357</v>
      </c>
      <c r="BT321" t="str">
        <f>HYPERLINK("https%3A%2F%2Fwww.webofscience.com%2Fwos%2Fwoscc%2Ffull-record%2FWOS:000405884100007","View Full Record in Web of Science")</f>
        <v>View Full Record in Web of Science</v>
      </c>
    </row>
    <row r="322" spans="1:72" x14ac:dyDescent="0.15">
      <c r="A322" t="s">
        <v>72</v>
      </c>
      <c r="B322" t="s">
        <v>6358</v>
      </c>
      <c r="C322" t="s">
        <v>74</v>
      </c>
      <c r="D322" t="s">
        <v>74</v>
      </c>
      <c r="E322" t="s">
        <v>74</v>
      </c>
      <c r="F322" t="s">
        <v>6359</v>
      </c>
      <c r="G322" t="s">
        <v>74</v>
      </c>
      <c r="H322" t="s">
        <v>74</v>
      </c>
      <c r="I322" t="s">
        <v>6360</v>
      </c>
      <c r="J322" t="s">
        <v>895</v>
      </c>
      <c r="K322" t="s">
        <v>74</v>
      </c>
      <c r="L322" t="s">
        <v>74</v>
      </c>
      <c r="M322" t="s">
        <v>78</v>
      </c>
      <c r="N322" t="s">
        <v>79</v>
      </c>
      <c r="O322" t="s">
        <v>74</v>
      </c>
      <c r="P322" t="s">
        <v>74</v>
      </c>
      <c r="Q322" t="s">
        <v>74</v>
      </c>
      <c r="R322" t="s">
        <v>74</v>
      </c>
      <c r="S322" t="s">
        <v>74</v>
      </c>
      <c r="T322" t="s">
        <v>6361</v>
      </c>
      <c r="U322" t="s">
        <v>6362</v>
      </c>
      <c r="V322" t="s">
        <v>6363</v>
      </c>
      <c r="W322" t="s">
        <v>6364</v>
      </c>
      <c r="X322" t="s">
        <v>6365</v>
      </c>
      <c r="Y322" t="s">
        <v>6366</v>
      </c>
      <c r="Z322" t="s">
        <v>6367</v>
      </c>
      <c r="AA322" t="s">
        <v>6368</v>
      </c>
      <c r="AB322" t="s">
        <v>6369</v>
      </c>
      <c r="AC322" t="s">
        <v>6370</v>
      </c>
      <c r="AD322" t="s">
        <v>6371</v>
      </c>
      <c r="AE322" t="s">
        <v>6372</v>
      </c>
      <c r="AF322" t="s">
        <v>74</v>
      </c>
      <c r="AG322">
        <v>85</v>
      </c>
      <c r="AH322">
        <v>9</v>
      </c>
      <c r="AI322">
        <v>10</v>
      </c>
      <c r="AJ322">
        <v>2</v>
      </c>
      <c r="AK322">
        <v>23</v>
      </c>
      <c r="AL322" t="s">
        <v>656</v>
      </c>
      <c r="AM322" t="s">
        <v>93</v>
      </c>
      <c r="AN322" t="s">
        <v>657</v>
      </c>
      <c r="AO322" t="s">
        <v>911</v>
      </c>
      <c r="AP322" t="s">
        <v>912</v>
      </c>
      <c r="AQ322" t="s">
        <v>74</v>
      </c>
      <c r="AR322" t="s">
        <v>913</v>
      </c>
      <c r="AS322" t="s">
        <v>914</v>
      </c>
      <c r="AT322" t="s">
        <v>4623</v>
      </c>
      <c r="AU322">
        <v>2017</v>
      </c>
      <c r="AV322">
        <v>139</v>
      </c>
      <c r="AW322" t="s">
        <v>74</v>
      </c>
      <c r="AX322" t="s">
        <v>74</v>
      </c>
      <c r="AY322" t="s">
        <v>74</v>
      </c>
      <c r="AZ322" t="s">
        <v>100</v>
      </c>
      <c r="BA322" t="s">
        <v>74</v>
      </c>
      <c r="BB322">
        <v>132</v>
      </c>
      <c r="BC322">
        <v>142</v>
      </c>
      <c r="BD322" t="s">
        <v>74</v>
      </c>
      <c r="BE322" t="s">
        <v>6373</v>
      </c>
      <c r="BF322" t="str">
        <f>HYPERLINK("http://dx.doi.org/10.1016/j.dsr2.2016.09.006","http://dx.doi.org/10.1016/j.dsr2.2016.09.006")</f>
        <v>http://dx.doi.org/10.1016/j.dsr2.2016.09.006</v>
      </c>
      <c r="BG322" t="s">
        <v>74</v>
      </c>
      <c r="BH322" t="s">
        <v>74</v>
      </c>
      <c r="BI322">
        <v>11</v>
      </c>
      <c r="BJ322" t="s">
        <v>127</v>
      </c>
      <c r="BK322" t="s">
        <v>103</v>
      </c>
      <c r="BL322" t="s">
        <v>127</v>
      </c>
      <c r="BM322" t="s">
        <v>4721</v>
      </c>
      <c r="BN322" t="s">
        <v>74</v>
      </c>
      <c r="BO322" t="s">
        <v>1100</v>
      </c>
      <c r="BP322" t="s">
        <v>74</v>
      </c>
      <c r="BQ322" t="s">
        <v>74</v>
      </c>
      <c r="BR322" t="s">
        <v>106</v>
      </c>
      <c r="BS322" t="s">
        <v>6374</v>
      </c>
      <c r="BT322" t="str">
        <f>HYPERLINK("https%3A%2F%2Fwww.webofscience.com%2Fwos%2Fwoscc%2Ffull-record%2FWOS:000405884100011","View Full Record in Web of Science")</f>
        <v>View Full Record in Web of Science</v>
      </c>
    </row>
    <row r="323" spans="1:72" x14ac:dyDescent="0.15">
      <c r="A323" t="s">
        <v>72</v>
      </c>
      <c r="B323" t="s">
        <v>6375</v>
      </c>
      <c r="C323" t="s">
        <v>74</v>
      </c>
      <c r="D323" t="s">
        <v>74</v>
      </c>
      <c r="E323" t="s">
        <v>74</v>
      </c>
      <c r="F323" t="s">
        <v>6376</v>
      </c>
      <c r="G323" t="s">
        <v>74</v>
      </c>
      <c r="H323" t="s">
        <v>74</v>
      </c>
      <c r="I323" t="s">
        <v>6377</v>
      </c>
      <c r="J323" t="s">
        <v>895</v>
      </c>
      <c r="K323" t="s">
        <v>74</v>
      </c>
      <c r="L323" t="s">
        <v>74</v>
      </c>
      <c r="M323" t="s">
        <v>78</v>
      </c>
      <c r="N323" t="s">
        <v>79</v>
      </c>
      <c r="O323" t="s">
        <v>74</v>
      </c>
      <c r="P323" t="s">
        <v>74</v>
      </c>
      <c r="Q323" t="s">
        <v>74</v>
      </c>
      <c r="R323" t="s">
        <v>74</v>
      </c>
      <c r="S323" t="s">
        <v>74</v>
      </c>
      <c r="T323" t="s">
        <v>6378</v>
      </c>
      <c r="U323" t="s">
        <v>6379</v>
      </c>
      <c r="V323" t="s">
        <v>6380</v>
      </c>
      <c r="W323" t="s">
        <v>6381</v>
      </c>
      <c r="X323" t="s">
        <v>6382</v>
      </c>
      <c r="Y323" t="s">
        <v>6383</v>
      </c>
      <c r="Z323" t="s">
        <v>6384</v>
      </c>
      <c r="AA323" t="s">
        <v>6385</v>
      </c>
      <c r="AB323" t="s">
        <v>6386</v>
      </c>
      <c r="AC323" t="s">
        <v>6387</v>
      </c>
      <c r="AD323" t="s">
        <v>6388</v>
      </c>
      <c r="AE323" t="s">
        <v>6389</v>
      </c>
      <c r="AF323" t="s">
        <v>74</v>
      </c>
      <c r="AG323">
        <v>88</v>
      </c>
      <c r="AH323">
        <v>34</v>
      </c>
      <c r="AI323">
        <v>38</v>
      </c>
      <c r="AJ323">
        <v>2</v>
      </c>
      <c r="AK323">
        <v>16</v>
      </c>
      <c r="AL323" t="s">
        <v>656</v>
      </c>
      <c r="AM323" t="s">
        <v>93</v>
      </c>
      <c r="AN323" t="s">
        <v>657</v>
      </c>
      <c r="AO323" t="s">
        <v>911</v>
      </c>
      <c r="AP323" t="s">
        <v>912</v>
      </c>
      <c r="AQ323" t="s">
        <v>74</v>
      </c>
      <c r="AR323" t="s">
        <v>913</v>
      </c>
      <c r="AS323" t="s">
        <v>914</v>
      </c>
      <c r="AT323" t="s">
        <v>4623</v>
      </c>
      <c r="AU323">
        <v>2017</v>
      </c>
      <c r="AV323">
        <v>139</v>
      </c>
      <c r="AW323" t="s">
        <v>74</v>
      </c>
      <c r="AX323" t="s">
        <v>74</v>
      </c>
      <c r="AY323" t="s">
        <v>74</v>
      </c>
      <c r="AZ323" t="s">
        <v>100</v>
      </c>
      <c r="BA323" t="s">
        <v>74</v>
      </c>
      <c r="BB323">
        <v>167</v>
      </c>
      <c r="BC323">
        <v>180</v>
      </c>
      <c r="BD323" t="s">
        <v>74</v>
      </c>
      <c r="BE323" t="s">
        <v>6390</v>
      </c>
      <c r="BF323" t="str">
        <f>HYPERLINK("http://dx.doi.org/10.1016/j.dsr2.2016.11.006","http://dx.doi.org/10.1016/j.dsr2.2016.11.006")</f>
        <v>http://dx.doi.org/10.1016/j.dsr2.2016.11.006</v>
      </c>
      <c r="BG323" t="s">
        <v>74</v>
      </c>
      <c r="BH323" t="s">
        <v>74</v>
      </c>
      <c r="BI323">
        <v>14</v>
      </c>
      <c r="BJ323" t="s">
        <v>127</v>
      </c>
      <c r="BK323" t="s">
        <v>103</v>
      </c>
      <c r="BL323" t="s">
        <v>127</v>
      </c>
      <c r="BM323" t="s">
        <v>4721</v>
      </c>
      <c r="BN323" t="s">
        <v>74</v>
      </c>
      <c r="BO323" t="s">
        <v>272</v>
      </c>
      <c r="BP323" t="s">
        <v>74</v>
      </c>
      <c r="BQ323" t="s">
        <v>74</v>
      </c>
      <c r="BR323" t="s">
        <v>106</v>
      </c>
      <c r="BS323" t="s">
        <v>6391</v>
      </c>
      <c r="BT323" t="str">
        <f>HYPERLINK("https%3A%2F%2Fwww.webofscience.com%2Fwos%2Fwoscc%2Ffull-record%2FWOS:000405884100014","View Full Record in Web of Science")</f>
        <v>View Full Record in Web of Science</v>
      </c>
    </row>
    <row r="324" spans="1:72" x14ac:dyDescent="0.15">
      <c r="A324" t="s">
        <v>72</v>
      </c>
      <c r="B324" t="s">
        <v>6392</v>
      </c>
      <c r="C324" t="s">
        <v>74</v>
      </c>
      <c r="D324" t="s">
        <v>74</v>
      </c>
      <c r="E324" t="s">
        <v>74</v>
      </c>
      <c r="F324" t="s">
        <v>6393</v>
      </c>
      <c r="G324" t="s">
        <v>74</v>
      </c>
      <c r="H324" t="s">
        <v>74</v>
      </c>
      <c r="I324" t="s">
        <v>6394</v>
      </c>
      <c r="J324" t="s">
        <v>417</v>
      </c>
      <c r="K324" t="s">
        <v>74</v>
      </c>
      <c r="L324" t="s">
        <v>74</v>
      </c>
      <c r="M324" t="s">
        <v>78</v>
      </c>
      <c r="N324" t="s">
        <v>79</v>
      </c>
      <c r="O324" t="s">
        <v>74</v>
      </c>
      <c r="P324" t="s">
        <v>74</v>
      </c>
      <c r="Q324" t="s">
        <v>74</v>
      </c>
      <c r="R324" t="s">
        <v>74</v>
      </c>
      <c r="S324" t="s">
        <v>74</v>
      </c>
      <c r="T324" t="s">
        <v>74</v>
      </c>
      <c r="U324" t="s">
        <v>6395</v>
      </c>
      <c r="V324" t="s">
        <v>6396</v>
      </c>
      <c r="W324" t="s">
        <v>6397</v>
      </c>
      <c r="X324" t="s">
        <v>6398</v>
      </c>
      <c r="Y324" t="s">
        <v>6399</v>
      </c>
      <c r="Z324" t="s">
        <v>6400</v>
      </c>
      <c r="AA324" t="s">
        <v>6401</v>
      </c>
      <c r="AB324" t="s">
        <v>6402</v>
      </c>
      <c r="AC324" t="s">
        <v>6403</v>
      </c>
      <c r="AD324" t="s">
        <v>6404</v>
      </c>
      <c r="AE324" t="s">
        <v>6405</v>
      </c>
      <c r="AF324" t="s">
        <v>74</v>
      </c>
      <c r="AG324">
        <v>15</v>
      </c>
      <c r="AH324">
        <v>14</v>
      </c>
      <c r="AI324">
        <v>15</v>
      </c>
      <c r="AJ324">
        <v>0</v>
      </c>
      <c r="AK324">
        <v>3</v>
      </c>
      <c r="AL324" t="s">
        <v>429</v>
      </c>
      <c r="AM324" t="s">
        <v>430</v>
      </c>
      <c r="AN324" t="s">
        <v>431</v>
      </c>
      <c r="AO324" t="s">
        <v>432</v>
      </c>
      <c r="AP324" t="s">
        <v>433</v>
      </c>
      <c r="AQ324" t="s">
        <v>74</v>
      </c>
      <c r="AR324" t="s">
        <v>434</v>
      </c>
      <c r="AS324" t="s">
        <v>435</v>
      </c>
      <c r="AT324" t="s">
        <v>4623</v>
      </c>
      <c r="AU324">
        <v>2017</v>
      </c>
      <c r="AV324">
        <v>474</v>
      </c>
      <c r="AW324">
        <v>1</v>
      </c>
      <c r="AX324" t="s">
        <v>74</v>
      </c>
      <c r="AY324" t="s">
        <v>74</v>
      </c>
      <c r="AZ324" t="s">
        <v>74</v>
      </c>
      <c r="BA324" t="s">
        <v>74</v>
      </c>
      <c r="BB324">
        <v>561</v>
      </c>
      <c r="BC324">
        <v>564</v>
      </c>
      <c r="BD324" t="s">
        <v>74</v>
      </c>
      <c r="BE324" t="s">
        <v>6406</v>
      </c>
      <c r="BF324" t="str">
        <f>HYPERLINK("http://dx.doi.org/10.1134/S1028334X17050026","http://dx.doi.org/10.1134/S1028334X17050026")</f>
        <v>http://dx.doi.org/10.1134/S1028334X17050026</v>
      </c>
      <c r="BG324" t="s">
        <v>74</v>
      </c>
      <c r="BH324" t="s">
        <v>74</v>
      </c>
      <c r="BI324">
        <v>4</v>
      </c>
      <c r="BJ324" t="s">
        <v>437</v>
      </c>
      <c r="BK324" t="s">
        <v>103</v>
      </c>
      <c r="BL324" t="s">
        <v>438</v>
      </c>
      <c r="BM324" t="s">
        <v>6407</v>
      </c>
      <c r="BN324" t="s">
        <v>74</v>
      </c>
      <c r="BO324" t="s">
        <v>74</v>
      </c>
      <c r="BP324" t="s">
        <v>74</v>
      </c>
      <c r="BQ324" t="s">
        <v>74</v>
      </c>
      <c r="BR324" t="s">
        <v>106</v>
      </c>
      <c r="BS324" t="s">
        <v>6408</v>
      </c>
      <c r="BT324" t="str">
        <f>HYPERLINK("https%3A%2F%2Fwww.webofscience.com%2Fwos%2Fwoscc%2Ffull-record%2FWOS:000403485300017","View Full Record in Web of Science")</f>
        <v>View Full Record in Web of Science</v>
      </c>
    </row>
    <row r="325" spans="1:72" x14ac:dyDescent="0.15">
      <c r="A325" t="s">
        <v>72</v>
      </c>
      <c r="B325" t="s">
        <v>6409</v>
      </c>
      <c r="C325" t="s">
        <v>74</v>
      </c>
      <c r="D325" t="s">
        <v>74</v>
      </c>
      <c r="E325" t="s">
        <v>74</v>
      </c>
      <c r="F325" t="s">
        <v>6410</v>
      </c>
      <c r="G325" t="s">
        <v>74</v>
      </c>
      <c r="H325" t="s">
        <v>74</v>
      </c>
      <c r="I325" t="s">
        <v>6411</v>
      </c>
      <c r="J325" t="s">
        <v>2299</v>
      </c>
      <c r="K325" t="s">
        <v>74</v>
      </c>
      <c r="L325" t="s">
        <v>74</v>
      </c>
      <c r="M325" t="s">
        <v>78</v>
      </c>
      <c r="N325" t="s">
        <v>518</v>
      </c>
      <c r="O325" t="s">
        <v>74</v>
      </c>
      <c r="P325" t="s">
        <v>74</v>
      </c>
      <c r="Q325" t="s">
        <v>74</v>
      </c>
      <c r="R325" t="s">
        <v>74</v>
      </c>
      <c r="S325" t="s">
        <v>74</v>
      </c>
      <c r="T325" t="s">
        <v>6412</v>
      </c>
      <c r="U325" t="s">
        <v>6413</v>
      </c>
      <c r="V325" t="s">
        <v>6414</v>
      </c>
      <c r="W325" t="s">
        <v>6415</v>
      </c>
      <c r="X325" t="s">
        <v>6416</v>
      </c>
      <c r="Y325" t="s">
        <v>6417</v>
      </c>
      <c r="Z325" t="s">
        <v>6418</v>
      </c>
      <c r="AA325" t="s">
        <v>6419</v>
      </c>
      <c r="AB325" t="s">
        <v>6420</v>
      </c>
      <c r="AC325" t="s">
        <v>6421</v>
      </c>
      <c r="AD325" t="s">
        <v>6422</v>
      </c>
      <c r="AE325" t="s">
        <v>6423</v>
      </c>
      <c r="AF325" t="s">
        <v>74</v>
      </c>
      <c r="AG325">
        <v>100</v>
      </c>
      <c r="AH325">
        <v>26</v>
      </c>
      <c r="AI325">
        <v>28</v>
      </c>
      <c r="AJ325">
        <v>6</v>
      </c>
      <c r="AK325">
        <v>65</v>
      </c>
      <c r="AL325" t="s">
        <v>317</v>
      </c>
      <c r="AM325" t="s">
        <v>318</v>
      </c>
      <c r="AN325" t="s">
        <v>319</v>
      </c>
      <c r="AO325" t="s">
        <v>2312</v>
      </c>
      <c r="AP325" t="s">
        <v>2313</v>
      </c>
      <c r="AQ325" t="s">
        <v>74</v>
      </c>
      <c r="AR325" t="s">
        <v>2314</v>
      </c>
      <c r="AS325" t="s">
        <v>2315</v>
      </c>
      <c r="AT325" t="s">
        <v>4623</v>
      </c>
      <c r="AU325">
        <v>2017</v>
      </c>
      <c r="AV325">
        <v>168</v>
      </c>
      <c r="AW325" t="s">
        <v>74</v>
      </c>
      <c r="AX325" t="s">
        <v>74</v>
      </c>
      <c r="AY325" t="s">
        <v>74</v>
      </c>
      <c r="AZ325" t="s">
        <v>74</v>
      </c>
      <c r="BA325" t="s">
        <v>74</v>
      </c>
      <c r="BB325">
        <v>218</v>
      </c>
      <c r="BC325">
        <v>231</v>
      </c>
      <c r="BD325" t="s">
        <v>74</v>
      </c>
      <c r="BE325" t="s">
        <v>6424</v>
      </c>
      <c r="BF325" t="str">
        <f>HYPERLINK("http://dx.doi.org/10.1016/j.earscirev.2017.02.010","http://dx.doi.org/10.1016/j.earscirev.2017.02.010")</f>
        <v>http://dx.doi.org/10.1016/j.earscirev.2017.02.010</v>
      </c>
      <c r="BG325" t="s">
        <v>74</v>
      </c>
      <c r="BH325" t="s">
        <v>74</v>
      </c>
      <c r="BI325">
        <v>14</v>
      </c>
      <c r="BJ325" t="s">
        <v>437</v>
      </c>
      <c r="BK325" t="s">
        <v>103</v>
      </c>
      <c r="BL325" t="s">
        <v>438</v>
      </c>
      <c r="BM325" t="s">
        <v>6425</v>
      </c>
      <c r="BN325" t="s">
        <v>74</v>
      </c>
      <c r="BO325" t="s">
        <v>74</v>
      </c>
      <c r="BP325" t="s">
        <v>74</v>
      </c>
      <c r="BQ325" t="s">
        <v>74</v>
      </c>
      <c r="BR325" t="s">
        <v>106</v>
      </c>
      <c r="BS325" t="s">
        <v>6426</v>
      </c>
      <c r="BT325" t="str">
        <f>HYPERLINK("https%3A%2F%2Fwww.webofscience.com%2Fwos%2Fwoscc%2Ffull-record%2FWOS:000403427100009","View Full Record in Web of Science")</f>
        <v>View Full Record in Web of Science</v>
      </c>
    </row>
    <row r="326" spans="1:72" x14ac:dyDescent="0.15">
      <c r="A326" t="s">
        <v>72</v>
      </c>
      <c r="B326" t="s">
        <v>6427</v>
      </c>
      <c r="C326" t="s">
        <v>74</v>
      </c>
      <c r="D326" t="s">
        <v>74</v>
      </c>
      <c r="E326" t="s">
        <v>74</v>
      </c>
      <c r="F326" t="s">
        <v>6428</v>
      </c>
      <c r="G326" t="s">
        <v>74</v>
      </c>
      <c r="H326" t="s">
        <v>74</v>
      </c>
      <c r="I326" t="s">
        <v>6429</v>
      </c>
      <c r="J326" t="s">
        <v>6430</v>
      </c>
      <c r="K326" t="s">
        <v>74</v>
      </c>
      <c r="L326" t="s">
        <v>74</v>
      </c>
      <c r="M326" t="s">
        <v>78</v>
      </c>
      <c r="N326" t="s">
        <v>79</v>
      </c>
      <c r="O326" t="s">
        <v>74</v>
      </c>
      <c r="P326" t="s">
        <v>74</v>
      </c>
      <c r="Q326" t="s">
        <v>74</v>
      </c>
      <c r="R326" t="s">
        <v>74</v>
      </c>
      <c r="S326" t="s">
        <v>74</v>
      </c>
      <c r="T326" t="s">
        <v>74</v>
      </c>
      <c r="U326" t="s">
        <v>74</v>
      </c>
      <c r="V326" t="s">
        <v>74</v>
      </c>
      <c r="W326" t="s">
        <v>6431</v>
      </c>
      <c r="X326" t="s">
        <v>6432</v>
      </c>
      <c r="Y326" t="s">
        <v>6433</v>
      </c>
      <c r="Z326" t="s">
        <v>6434</v>
      </c>
      <c r="AA326" t="s">
        <v>6435</v>
      </c>
      <c r="AB326" t="s">
        <v>6436</v>
      </c>
      <c r="AC326" t="s">
        <v>6437</v>
      </c>
      <c r="AD326" t="s">
        <v>6438</v>
      </c>
      <c r="AE326" t="s">
        <v>6439</v>
      </c>
      <c r="AF326" t="s">
        <v>74</v>
      </c>
      <c r="AG326">
        <v>110</v>
      </c>
      <c r="AH326">
        <v>23</v>
      </c>
      <c r="AI326">
        <v>26</v>
      </c>
      <c r="AJ326">
        <v>1</v>
      </c>
      <c r="AK326">
        <v>37</v>
      </c>
      <c r="AL326" t="s">
        <v>681</v>
      </c>
      <c r="AM326" t="s">
        <v>682</v>
      </c>
      <c r="AN326" t="s">
        <v>683</v>
      </c>
      <c r="AO326" t="s">
        <v>6440</v>
      </c>
      <c r="AP326" t="s">
        <v>6441</v>
      </c>
      <c r="AQ326" t="s">
        <v>74</v>
      </c>
      <c r="AR326" t="s">
        <v>6430</v>
      </c>
      <c r="AS326" t="s">
        <v>992</v>
      </c>
      <c r="AT326" t="s">
        <v>4623</v>
      </c>
      <c r="AU326">
        <v>2017</v>
      </c>
      <c r="AV326">
        <v>98</v>
      </c>
      <c r="AW326">
        <v>5</v>
      </c>
      <c r="AX326" t="s">
        <v>74</v>
      </c>
      <c r="AY326" t="s">
        <v>74</v>
      </c>
      <c r="AZ326" t="s">
        <v>74</v>
      </c>
      <c r="BA326" t="s">
        <v>74</v>
      </c>
      <c r="BB326">
        <v>1475</v>
      </c>
      <c r="BC326" t="s">
        <v>1485</v>
      </c>
      <c r="BD326" t="s">
        <v>74</v>
      </c>
      <c r="BE326" t="s">
        <v>6442</v>
      </c>
      <c r="BF326" t="str">
        <f>HYPERLINK("http://dx.doi.org/10.1002/ecy.1792","http://dx.doi.org/10.1002/ecy.1792")</f>
        <v>http://dx.doi.org/10.1002/ecy.1792</v>
      </c>
      <c r="BG326" t="s">
        <v>74</v>
      </c>
      <c r="BH326" t="s">
        <v>74</v>
      </c>
      <c r="BI326">
        <v>29</v>
      </c>
      <c r="BJ326" t="s">
        <v>992</v>
      </c>
      <c r="BK326" t="s">
        <v>103</v>
      </c>
      <c r="BL326" t="s">
        <v>993</v>
      </c>
      <c r="BM326" t="s">
        <v>6443</v>
      </c>
      <c r="BN326">
        <v>28263380</v>
      </c>
      <c r="BO326" t="s">
        <v>6444</v>
      </c>
      <c r="BP326" t="s">
        <v>74</v>
      </c>
      <c r="BQ326" t="s">
        <v>74</v>
      </c>
      <c r="BR326" t="s">
        <v>106</v>
      </c>
      <c r="BS326" t="s">
        <v>6445</v>
      </c>
      <c r="BT326" t="str">
        <f>HYPERLINK("https%3A%2F%2Fwww.webofscience.com%2Fwos%2Fwoscc%2Ffull-record%2FWOS:000483179400005","View Full Record in Web of Science")</f>
        <v>View Full Record in Web of Science</v>
      </c>
    </row>
    <row r="327" spans="1:72" x14ac:dyDescent="0.15">
      <c r="A327" t="s">
        <v>72</v>
      </c>
      <c r="B327" t="s">
        <v>6446</v>
      </c>
      <c r="C327" t="s">
        <v>74</v>
      </c>
      <c r="D327" t="s">
        <v>74</v>
      </c>
      <c r="E327" t="s">
        <v>74</v>
      </c>
      <c r="F327" t="s">
        <v>6447</v>
      </c>
      <c r="G327" t="s">
        <v>74</v>
      </c>
      <c r="H327" t="s">
        <v>74</v>
      </c>
      <c r="I327" t="s">
        <v>6448</v>
      </c>
      <c r="J327" t="s">
        <v>1204</v>
      </c>
      <c r="K327" t="s">
        <v>74</v>
      </c>
      <c r="L327" t="s">
        <v>74</v>
      </c>
      <c r="M327" t="s">
        <v>78</v>
      </c>
      <c r="N327" t="s">
        <v>79</v>
      </c>
      <c r="O327" t="s">
        <v>74</v>
      </c>
      <c r="P327" t="s">
        <v>74</v>
      </c>
      <c r="Q327" t="s">
        <v>74</v>
      </c>
      <c r="R327" t="s">
        <v>74</v>
      </c>
      <c r="S327" t="s">
        <v>74</v>
      </c>
      <c r="T327" t="s">
        <v>6449</v>
      </c>
      <c r="U327" t="s">
        <v>6450</v>
      </c>
      <c r="V327" t="s">
        <v>6451</v>
      </c>
      <c r="W327" t="s">
        <v>6452</v>
      </c>
      <c r="X327" t="s">
        <v>6453</v>
      </c>
      <c r="Y327" t="s">
        <v>6454</v>
      </c>
      <c r="Z327" t="s">
        <v>6455</v>
      </c>
      <c r="AA327" t="s">
        <v>6456</v>
      </c>
      <c r="AB327" t="s">
        <v>6457</v>
      </c>
      <c r="AC327" t="s">
        <v>6458</v>
      </c>
      <c r="AD327" t="s">
        <v>6459</v>
      </c>
      <c r="AE327" t="s">
        <v>6460</v>
      </c>
      <c r="AF327" t="s">
        <v>74</v>
      </c>
      <c r="AG327">
        <v>41</v>
      </c>
      <c r="AH327">
        <v>20</v>
      </c>
      <c r="AI327">
        <v>22</v>
      </c>
      <c r="AJ327">
        <v>1</v>
      </c>
      <c r="AK327">
        <v>32</v>
      </c>
      <c r="AL327" t="s">
        <v>681</v>
      </c>
      <c r="AM327" t="s">
        <v>682</v>
      </c>
      <c r="AN327" t="s">
        <v>683</v>
      </c>
      <c r="AO327" t="s">
        <v>1217</v>
      </c>
      <c r="AP327" t="s">
        <v>74</v>
      </c>
      <c r="AQ327" t="s">
        <v>74</v>
      </c>
      <c r="AR327" t="s">
        <v>1218</v>
      </c>
      <c r="AS327" t="s">
        <v>1219</v>
      </c>
      <c r="AT327" t="s">
        <v>4623</v>
      </c>
      <c r="AU327">
        <v>2017</v>
      </c>
      <c r="AV327">
        <v>7</v>
      </c>
      <c r="AW327">
        <v>9</v>
      </c>
      <c r="AX327" t="s">
        <v>74</v>
      </c>
      <c r="AY327" t="s">
        <v>74</v>
      </c>
      <c r="AZ327" t="s">
        <v>74</v>
      </c>
      <c r="BA327" t="s">
        <v>74</v>
      </c>
      <c r="BB327">
        <v>2969</v>
      </c>
      <c r="BC327">
        <v>2976</v>
      </c>
      <c r="BD327" t="s">
        <v>74</v>
      </c>
      <c r="BE327" t="s">
        <v>6461</v>
      </c>
      <c r="BF327" t="str">
        <f>HYPERLINK("http://dx.doi.org/10.1002/ece3.2546","http://dx.doi.org/10.1002/ece3.2546")</f>
        <v>http://dx.doi.org/10.1002/ece3.2546</v>
      </c>
      <c r="BG327" t="s">
        <v>74</v>
      </c>
      <c r="BH327" t="s">
        <v>74</v>
      </c>
      <c r="BI327">
        <v>8</v>
      </c>
      <c r="BJ327" t="s">
        <v>1221</v>
      </c>
      <c r="BK327" t="s">
        <v>103</v>
      </c>
      <c r="BL327" t="s">
        <v>1222</v>
      </c>
      <c r="BM327" t="s">
        <v>6462</v>
      </c>
      <c r="BN327">
        <v>28479996</v>
      </c>
      <c r="BO327" t="s">
        <v>3118</v>
      </c>
      <c r="BP327" t="s">
        <v>74</v>
      </c>
      <c r="BQ327" t="s">
        <v>74</v>
      </c>
      <c r="BR327" t="s">
        <v>106</v>
      </c>
      <c r="BS327" t="s">
        <v>6463</v>
      </c>
      <c r="BT327" t="str">
        <f>HYPERLINK("https%3A%2F%2Fwww.webofscience.com%2Fwos%2Fwoscc%2Ffull-record%2FWOS:000402548900009","View Full Record in Web of Science")</f>
        <v>View Full Record in Web of Science</v>
      </c>
    </row>
    <row r="328" spans="1:72" x14ac:dyDescent="0.15">
      <c r="A328" t="s">
        <v>72</v>
      </c>
      <c r="B328" t="s">
        <v>6464</v>
      </c>
      <c r="C328" t="s">
        <v>74</v>
      </c>
      <c r="D328" t="s">
        <v>74</v>
      </c>
      <c r="E328" t="s">
        <v>74</v>
      </c>
      <c r="F328" t="s">
        <v>6465</v>
      </c>
      <c r="G328" t="s">
        <v>74</v>
      </c>
      <c r="H328" t="s">
        <v>74</v>
      </c>
      <c r="I328" t="s">
        <v>6466</v>
      </c>
      <c r="J328" t="s">
        <v>951</v>
      </c>
      <c r="K328" t="s">
        <v>74</v>
      </c>
      <c r="L328" t="s">
        <v>74</v>
      </c>
      <c r="M328" t="s">
        <v>78</v>
      </c>
      <c r="N328" t="s">
        <v>79</v>
      </c>
      <c r="O328" t="s">
        <v>74</v>
      </c>
      <c r="P328" t="s">
        <v>74</v>
      </c>
      <c r="Q328" t="s">
        <v>74</v>
      </c>
      <c r="R328" t="s">
        <v>74</v>
      </c>
      <c r="S328" t="s">
        <v>74</v>
      </c>
      <c r="T328" t="s">
        <v>74</v>
      </c>
      <c r="U328" t="s">
        <v>6467</v>
      </c>
      <c r="V328" t="s">
        <v>6468</v>
      </c>
      <c r="W328" t="s">
        <v>6469</v>
      </c>
      <c r="X328" t="s">
        <v>6470</v>
      </c>
      <c r="Y328" t="s">
        <v>6471</v>
      </c>
      <c r="Z328" t="s">
        <v>6472</v>
      </c>
      <c r="AA328" t="s">
        <v>6473</v>
      </c>
      <c r="AB328" t="s">
        <v>6474</v>
      </c>
      <c r="AC328" t="s">
        <v>6475</v>
      </c>
      <c r="AD328" t="s">
        <v>6475</v>
      </c>
      <c r="AE328" t="s">
        <v>6476</v>
      </c>
      <c r="AF328" t="s">
        <v>74</v>
      </c>
      <c r="AG328">
        <v>93</v>
      </c>
      <c r="AH328">
        <v>14</v>
      </c>
      <c r="AI328">
        <v>14</v>
      </c>
      <c r="AJ328">
        <v>1</v>
      </c>
      <c r="AK328">
        <v>11</v>
      </c>
      <c r="AL328" t="s">
        <v>681</v>
      </c>
      <c r="AM328" t="s">
        <v>682</v>
      </c>
      <c r="AN328" t="s">
        <v>683</v>
      </c>
      <c r="AO328" t="s">
        <v>963</v>
      </c>
      <c r="AP328" t="s">
        <v>964</v>
      </c>
      <c r="AQ328" t="s">
        <v>74</v>
      </c>
      <c r="AR328" t="s">
        <v>965</v>
      </c>
      <c r="AS328" t="s">
        <v>966</v>
      </c>
      <c r="AT328" t="s">
        <v>4623</v>
      </c>
      <c r="AU328">
        <v>2017</v>
      </c>
      <c r="AV328">
        <v>19</v>
      </c>
      <c r="AW328">
        <v>5</v>
      </c>
      <c r="AX328" t="s">
        <v>74</v>
      </c>
      <c r="AY328" t="s">
        <v>74</v>
      </c>
      <c r="AZ328" t="s">
        <v>100</v>
      </c>
      <c r="BA328" t="s">
        <v>74</v>
      </c>
      <c r="BB328">
        <v>1899</v>
      </c>
      <c r="BC328">
        <v>1913</v>
      </c>
      <c r="BD328" t="s">
        <v>74</v>
      </c>
      <c r="BE328" t="s">
        <v>6477</v>
      </c>
      <c r="BF328" t="str">
        <f>HYPERLINK("http://dx.doi.org/10.1111/1462-2920.13694","http://dx.doi.org/10.1111/1462-2920.13694")</f>
        <v>http://dx.doi.org/10.1111/1462-2920.13694</v>
      </c>
      <c r="BG328" t="s">
        <v>74</v>
      </c>
      <c r="BH328" t="s">
        <v>74</v>
      </c>
      <c r="BI328">
        <v>15</v>
      </c>
      <c r="BJ328" t="s">
        <v>410</v>
      </c>
      <c r="BK328" t="s">
        <v>103</v>
      </c>
      <c r="BL328" t="s">
        <v>410</v>
      </c>
      <c r="BM328" t="s">
        <v>6478</v>
      </c>
      <c r="BN328">
        <v>28205377</v>
      </c>
      <c r="BO328" t="s">
        <v>74</v>
      </c>
      <c r="BP328" t="s">
        <v>74</v>
      </c>
      <c r="BQ328" t="s">
        <v>74</v>
      </c>
      <c r="BR328" t="s">
        <v>106</v>
      </c>
      <c r="BS328" t="s">
        <v>6479</v>
      </c>
      <c r="BT328" t="str">
        <f>HYPERLINK("https%3A%2F%2Fwww.webofscience.com%2Fwos%2Fwoscc%2Ffull-record%2FWOS:000400029800015","View Full Record in Web of Science")</f>
        <v>View Full Record in Web of Science</v>
      </c>
    </row>
    <row r="329" spans="1:72" x14ac:dyDescent="0.15">
      <c r="A329" t="s">
        <v>72</v>
      </c>
      <c r="B329" t="s">
        <v>6480</v>
      </c>
      <c r="C329" t="s">
        <v>74</v>
      </c>
      <c r="D329" t="s">
        <v>74</v>
      </c>
      <c r="E329" t="s">
        <v>74</v>
      </c>
      <c r="F329" t="s">
        <v>6481</v>
      </c>
      <c r="G329" t="s">
        <v>74</v>
      </c>
      <c r="H329" t="s">
        <v>74</v>
      </c>
      <c r="I329" t="s">
        <v>6482</v>
      </c>
      <c r="J329" t="s">
        <v>6483</v>
      </c>
      <c r="K329" t="s">
        <v>74</v>
      </c>
      <c r="L329" t="s">
        <v>74</v>
      </c>
      <c r="M329" t="s">
        <v>78</v>
      </c>
      <c r="N329" t="s">
        <v>2082</v>
      </c>
      <c r="O329" t="s">
        <v>74</v>
      </c>
      <c r="P329" t="s">
        <v>74</v>
      </c>
      <c r="Q329" t="s">
        <v>74</v>
      </c>
      <c r="R329" t="s">
        <v>74</v>
      </c>
      <c r="S329" t="s">
        <v>74</v>
      </c>
      <c r="T329" t="s">
        <v>6484</v>
      </c>
      <c r="U329" t="s">
        <v>6485</v>
      </c>
      <c r="V329" t="s">
        <v>6486</v>
      </c>
      <c r="W329" t="s">
        <v>6487</v>
      </c>
      <c r="X329" t="s">
        <v>6488</v>
      </c>
      <c r="Y329" t="s">
        <v>6489</v>
      </c>
      <c r="Z329" t="s">
        <v>6490</v>
      </c>
      <c r="AA329" t="s">
        <v>6491</v>
      </c>
      <c r="AB329" t="s">
        <v>6492</v>
      </c>
      <c r="AC329" t="s">
        <v>74</v>
      </c>
      <c r="AD329" t="s">
        <v>74</v>
      </c>
      <c r="AE329" t="s">
        <v>74</v>
      </c>
      <c r="AF329" t="s">
        <v>74</v>
      </c>
      <c r="AG329">
        <v>12</v>
      </c>
      <c r="AH329">
        <v>3</v>
      </c>
      <c r="AI329">
        <v>3</v>
      </c>
      <c r="AJ329">
        <v>0</v>
      </c>
      <c r="AK329">
        <v>10</v>
      </c>
      <c r="AL329" t="s">
        <v>6493</v>
      </c>
      <c r="AM329" t="s">
        <v>6494</v>
      </c>
      <c r="AN329" t="s">
        <v>6495</v>
      </c>
      <c r="AO329" t="s">
        <v>6496</v>
      </c>
      <c r="AP329" t="s">
        <v>74</v>
      </c>
      <c r="AQ329" t="s">
        <v>74</v>
      </c>
      <c r="AR329" t="s">
        <v>6497</v>
      </c>
      <c r="AS329" t="s">
        <v>6498</v>
      </c>
      <c r="AT329" t="s">
        <v>4623</v>
      </c>
      <c r="AU329">
        <v>2017</v>
      </c>
      <c r="AV329">
        <v>12</v>
      </c>
      <c r="AW329">
        <v>6</v>
      </c>
      <c r="AX329" t="s">
        <v>74</v>
      </c>
      <c r="AY329" t="s">
        <v>74</v>
      </c>
      <c r="AZ329" t="s">
        <v>74</v>
      </c>
      <c r="BA329" t="s">
        <v>74</v>
      </c>
      <c r="BB329" t="s">
        <v>74</v>
      </c>
      <c r="BC329" t="s">
        <v>74</v>
      </c>
      <c r="BD329">
        <v>68001</v>
      </c>
      <c r="BE329" t="s">
        <v>6499</v>
      </c>
      <c r="BF329" t="str">
        <f>HYPERLINK("http://dx.doi.org/10.1088/1748-9326/aa7282","http://dx.doi.org/10.1088/1748-9326/aa7282")</f>
        <v>http://dx.doi.org/10.1088/1748-9326/aa7282</v>
      </c>
      <c r="BG329" t="s">
        <v>74</v>
      </c>
      <c r="BH329" t="s">
        <v>74</v>
      </c>
      <c r="BI329">
        <v>3</v>
      </c>
      <c r="BJ329" t="s">
        <v>3614</v>
      </c>
      <c r="BK329" t="s">
        <v>103</v>
      </c>
      <c r="BL329" t="s">
        <v>3615</v>
      </c>
      <c r="BM329" t="s">
        <v>6500</v>
      </c>
      <c r="BN329" t="s">
        <v>74</v>
      </c>
      <c r="BO329" t="s">
        <v>131</v>
      </c>
      <c r="BP329" t="s">
        <v>74</v>
      </c>
      <c r="BQ329" t="s">
        <v>74</v>
      </c>
      <c r="BR329" t="s">
        <v>106</v>
      </c>
      <c r="BS329" t="s">
        <v>6501</v>
      </c>
      <c r="BT329" t="str">
        <f>HYPERLINK("https%3A%2F%2Fwww.webofscience.com%2Fwos%2Fwoscc%2Ffull-record%2FWOS:000402551400001","View Full Record in Web of Science")</f>
        <v>View Full Record in Web of Science</v>
      </c>
    </row>
    <row r="330" spans="1:72" x14ac:dyDescent="0.15">
      <c r="A330" t="s">
        <v>72</v>
      </c>
      <c r="B330" t="s">
        <v>6502</v>
      </c>
      <c r="C330" t="s">
        <v>74</v>
      </c>
      <c r="D330" t="s">
        <v>74</v>
      </c>
      <c r="E330" t="s">
        <v>74</v>
      </c>
      <c r="F330" t="s">
        <v>6503</v>
      </c>
      <c r="G330" t="s">
        <v>74</v>
      </c>
      <c r="H330" t="s">
        <v>74</v>
      </c>
      <c r="I330" t="s">
        <v>6504</v>
      </c>
      <c r="J330" t="s">
        <v>6505</v>
      </c>
      <c r="K330" t="s">
        <v>74</v>
      </c>
      <c r="L330" t="s">
        <v>74</v>
      </c>
      <c r="M330" t="s">
        <v>78</v>
      </c>
      <c r="N330" t="s">
        <v>79</v>
      </c>
      <c r="O330" t="s">
        <v>74</v>
      </c>
      <c r="P330" t="s">
        <v>74</v>
      </c>
      <c r="Q330" t="s">
        <v>74</v>
      </c>
      <c r="R330" t="s">
        <v>74</v>
      </c>
      <c r="S330" t="s">
        <v>74</v>
      </c>
      <c r="T330" t="s">
        <v>6506</v>
      </c>
      <c r="U330" t="s">
        <v>6507</v>
      </c>
      <c r="V330" t="s">
        <v>6508</v>
      </c>
      <c r="W330" t="s">
        <v>6509</v>
      </c>
      <c r="X330" t="s">
        <v>6510</v>
      </c>
      <c r="Y330" t="s">
        <v>6511</v>
      </c>
      <c r="Z330" t="s">
        <v>6512</v>
      </c>
      <c r="AA330" t="s">
        <v>6513</v>
      </c>
      <c r="AB330" t="s">
        <v>6514</v>
      </c>
      <c r="AC330" t="s">
        <v>6515</v>
      </c>
      <c r="AD330" t="s">
        <v>6516</v>
      </c>
      <c r="AE330" t="s">
        <v>6517</v>
      </c>
      <c r="AF330" t="s">
        <v>74</v>
      </c>
      <c r="AG330">
        <v>76</v>
      </c>
      <c r="AH330">
        <v>31</v>
      </c>
      <c r="AI330">
        <v>38</v>
      </c>
      <c r="AJ330">
        <v>5</v>
      </c>
      <c r="AK330">
        <v>123</v>
      </c>
      <c r="AL330" t="s">
        <v>5879</v>
      </c>
      <c r="AM330" t="s">
        <v>430</v>
      </c>
      <c r="AN330" t="s">
        <v>5880</v>
      </c>
      <c r="AO330" t="s">
        <v>6518</v>
      </c>
      <c r="AP330" t="s">
        <v>6519</v>
      </c>
      <c r="AQ330" t="s">
        <v>74</v>
      </c>
      <c r="AR330" t="s">
        <v>6520</v>
      </c>
      <c r="AS330" t="s">
        <v>6521</v>
      </c>
      <c r="AT330" t="s">
        <v>4623</v>
      </c>
      <c r="AU330">
        <v>2017</v>
      </c>
      <c r="AV330">
        <v>100</v>
      </c>
      <c r="AW330" t="s">
        <v>74</v>
      </c>
      <c r="AX330" t="s">
        <v>74</v>
      </c>
      <c r="AY330" t="s">
        <v>74</v>
      </c>
      <c r="AZ330" t="s">
        <v>74</v>
      </c>
      <c r="BA330" t="s">
        <v>74</v>
      </c>
      <c r="BB330">
        <v>60</v>
      </c>
      <c r="BC330">
        <v>70</v>
      </c>
      <c r="BD330" t="s">
        <v>74</v>
      </c>
      <c r="BE330" t="s">
        <v>6522</v>
      </c>
      <c r="BF330" t="str">
        <f>HYPERLINK("http://dx.doi.org/10.1016/j.enzmictec.2017.02.005","http://dx.doi.org/10.1016/j.enzmictec.2017.02.005")</f>
        <v>http://dx.doi.org/10.1016/j.enzmictec.2017.02.005</v>
      </c>
      <c r="BG330" t="s">
        <v>74</v>
      </c>
      <c r="BH330" t="s">
        <v>74</v>
      </c>
      <c r="BI330">
        <v>11</v>
      </c>
      <c r="BJ330" t="s">
        <v>3566</v>
      </c>
      <c r="BK330" t="s">
        <v>103</v>
      </c>
      <c r="BL330" t="s">
        <v>3566</v>
      </c>
      <c r="BM330" t="s">
        <v>6523</v>
      </c>
      <c r="BN330">
        <v>28284313</v>
      </c>
      <c r="BO330" t="s">
        <v>74</v>
      </c>
      <c r="BP330" t="s">
        <v>74</v>
      </c>
      <c r="BQ330" t="s">
        <v>74</v>
      </c>
      <c r="BR330" t="s">
        <v>106</v>
      </c>
      <c r="BS330" t="s">
        <v>6524</v>
      </c>
      <c r="BT330" t="str">
        <f>HYPERLINK("https%3A%2F%2Fwww.webofscience.com%2Fwos%2Fwoscc%2Ffull-record%2FWOS:000396955200009","View Full Record in Web of Science")</f>
        <v>View Full Record in Web of Science</v>
      </c>
    </row>
    <row r="331" spans="1:72" x14ac:dyDescent="0.15">
      <c r="A331" t="s">
        <v>72</v>
      </c>
      <c r="B331" t="s">
        <v>6525</v>
      </c>
      <c r="C331" t="s">
        <v>74</v>
      </c>
      <c r="D331" t="s">
        <v>74</v>
      </c>
      <c r="E331" t="s">
        <v>74</v>
      </c>
      <c r="F331" t="s">
        <v>6526</v>
      </c>
      <c r="G331" t="s">
        <v>74</v>
      </c>
      <c r="H331" t="s">
        <v>74</v>
      </c>
      <c r="I331" t="s">
        <v>6527</v>
      </c>
      <c r="J331" t="s">
        <v>5954</v>
      </c>
      <c r="K331" t="s">
        <v>74</v>
      </c>
      <c r="L331" t="s">
        <v>74</v>
      </c>
      <c r="M331" t="s">
        <v>78</v>
      </c>
      <c r="N331" t="s">
        <v>518</v>
      </c>
      <c r="O331" t="s">
        <v>74</v>
      </c>
      <c r="P331" t="s">
        <v>74</v>
      </c>
      <c r="Q331" t="s">
        <v>74</v>
      </c>
      <c r="R331" t="s">
        <v>74</v>
      </c>
      <c r="S331" t="s">
        <v>74</v>
      </c>
      <c r="T331" t="s">
        <v>6528</v>
      </c>
      <c r="U331" t="s">
        <v>6529</v>
      </c>
      <c r="V331" t="s">
        <v>6530</v>
      </c>
      <c r="W331" t="s">
        <v>6531</v>
      </c>
      <c r="X331" t="s">
        <v>6532</v>
      </c>
      <c r="Y331" t="s">
        <v>6533</v>
      </c>
      <c r="Z331" t="s">
        <v>6534</v>
      </c>
      <c r="AA331" t="s">
        <v>6535</v>
      </c>
      <c r="AB331" t="s">
        <v>6536</v>
      </c>
      <c r="AC331" t="s">
        <v>6537</v>
      </c>
      <c r="AD331" t="s">
        <v>6538</v>
      </c>
      <c r="AE331" t="s">
        <v>6539</v>
      </c>
      <c r="AF331" t="s">
        <v>74</v>
      </c>
      <c r="AG331">
        <v>147</v>
      </c>
      <c r="AH331">
        <v>39</v>
      </c>
      <c r="AI331">
        <v>43</v>
      </c>
      <c r="AJ331">
        <v>6</v>
      </c>
      <c r="AK331">
        <v>97</v>
      </c>
      <c r="AL331" t="s">
        <v>681</v>
      </c>
      <c r="AM331" t="s">
        <v>682</v>
      </c>
      <c r="AN331" t="s">
        <v>683</v>
      </c>
      <c r="AO331" t="s">
        <v>5967</v>
      </c>
      <c r="AP331" t="s">
        <v>5968</v>
      </c>
      <c r="AQ331" t="s">
        <v>74</v>
      </c>
      <c r="AR331" t="s">
        <v>5969</v>
      </c>
      <c r="AS331" t="s">
        <v>5970</v>
      </c>
      <c r="AT331" t="s">
        <v>4623</v>
      </c>
      <c r="AU331">
        <v>2017</v>
      </c>
      <c r="AV331">
        <v>18</v>
      </c>
      <c r="AW331">
        <v>3</v>
      </c>
      <c r="AX331" t="s">
        <v>74</v>
      </c>
      <c r="AY331" t="s">
        <v>74</v>
      </c>
      <c r="AZ331" t="s">
        <v>74</v>
      </c>
      <c r="BA331" t="s">
        <v>74</v>
      </c>
      <c r="BB331">
        <v>607</v>
      </c>
      <c r="BC331">
        <v>618</v>
      </c>
      <c r="BD331" t="s">
        <v>74</v>
      </c>
      <c r="BE331" t="s">
        <v>6540</v>
      </c>
      <c r="BF331" t="str">
        <f>HYPERLINK("http://dx.doi.org/10.1111/faf.12205","http://dx.doi.org/10.1111/faf.12205")</f>
        <v>http://dx.doi.org/10.1111/faf.12205</v>
      </c>
      <c r="BG331" t="s">
        <v>74</v>
      </c>
      <c r="BH331" t="s">
        <v>74</v>
      </c>
      <c r="BI331">
        <v>12</v>
      </c>
      <c r="BJ331" t="s">
        <v>785</v>
      </c>
      <c r="BK331" t="s">
        <v>103</v>
      </c>
      <c r="BL331" t="s">
        <v>785</v>
      </c>
      <c r="BM331" t="s">
        <v>5972</v>
      </c>
      <c r="BN331" t="s">
        <v>74</v>
      </c>
      <c r="BO331" t="s">
        <v>74</v>
      </c>
      <c r="BP331" t="s">
        <v>74</v>
      </c>
      <c r="BQ331" t="s">
        <v>74</v>
      </c>
      <c r="BR331" t="s">
        <v>106</v>
      </c>
      <c r="BS331" t="s">
        <v>6541</v>
      </c>
      <c r="BT331" t="str">
        <f>HYPERLINK("https%3A%2F%2Fwww.webofscience.com%2Fwos%2Fwoscc%2Ffull-record%2FWOS:000400327400012","View Full Record in Web of Science")</f>
        <v>View Full Record in Web of Science</v>
      </c>
    </row>
    <row r="332" spans="1:72" x14ac:dyDescent="0.15">
      <c r="A332" t="s">
        <v>72</v>
      </c>
      <c r="B332" t="s">
        <v>6542</v>
      </c>
      <c r="C332" t="s">
        <v>74</v>
      </c>
      <c r="D332" t="s">
        <v>74</v>
      </c>
      <c r="E332" t="s">
        <v>74</v>
      </c>
      <c r="F332" t="s">
        <v>6543</v>
      </c>
      <c r="G332" t="s">
        <v>74</v>
      </c>
      <c r="H332" t="s">
        <v>74</v>
      </c>
      <c r="I332" t="s">
        <v>6544</v>
      </c>
      <c r="J332" t="s">
        <v>1299</v>
      </c>
      <c r="K332" t="s">
        <v>74</v>
      </c>
      <c r="L332" t="s">
        <v>74</v>
      </c>
      <c r="M332" t="s">
        <v>78</v>
      </c>
      <c r="N332" t="s">
        <v>79</v>
      </c>
      <c r="O332" t="s">
        <v>74</v>
      </c>
      <c r="P332" t="s">
        <v>74</v>
      </c>
      <c r="Q332" t="s">
        <v>74</v>
      </c>
      <c r="R332" t="s">
        <v>74</v>
      </c>
      <c r="S332" t="s">
        <v>74</v>
      </c>
      <c r="T332" t="s">
        <v>6545</v>
      </c>
      <c r="U332" t="s">
        <v>6546</v>
      </c>
      <c r="V332" t="s">
        <v>6547</v>
      </c>
      <c r="W332" t="s">
        <v>6548</v>
      </c>
      <c r="X332" t="s">
        <v>6549</v>
      </c>
      <c r="Y332" t="s">
        <v>6550</v>
      </c>
      <c r="Z332" t="s">
        <v>6551</v>
      </c>
      <c r="AA332" t="s">
        <v>6552</v>
      </c>
      <c r="AB332" t="s">
        <v>6553</v>
      </c>
      <c r="AC332" t="s">
        <v>6554</v>
      </c>
      <c r="AD332" t="s">
        <v>6555</v>
      </c>
      <c r="AE332" t="s">
        <v>6556</v>
      </c>
      <c r="AF332" t="s">
        <v>74</v>
      </c>
      <c r="AG332">
        <v>49</v>
      </c>
      <c r="AH332">
        <v>25</v>
      </c>
      <c r="AI332">
        <v>26</v>
      </c>
      <c r="AJ332">
        <v>0</v>
      </c>
      <c r="AK332">
        <v>9</v>
      </c>
      <c r="AL332" t="s">
        <v>656</v>
      </c>
      <c r="AM332" t="s">
        <v>93</v>
      </c>
      <c r="AN332" t="s">
        <v>657</v>
      </c>
      <c r="AO332" t="s">
        <v>1312</v>
      </c>
      <c r="AP332" t="s">
        <v>1313</v>
      </c>
      <c r="AQ332" t="s">
        <v>74</v>
      </c>
      <c r="AR332" t="s">
        <v>1314</v>
      </c>
      <c r="AS332" t="s">
        <v>1315</v>
      </c>
      <c r="AT332" t="s">
        <v>5138</v>
      </c>
      <c r="AU332">
        <v>2017</v>
      </c>
      <c r="AV332">
        <v>204</v>
      </c>
      <c r="AW332" t="s">
        <v>74</v>
      </c>
      <c r="AX332" t="s">
        <v>74</v>
      </c>
      <c r="AY332" t="s">
        <v>74</v>
      </c>
      <c r="AZ332" t="s">
        <v>74</v>
      </c>
      <c r="BA332" t="s">
        <v>74</v>
      </c>
      <c r="BB332">
        <v>240</v>
      </c>
      <c r="BC332">
        <v>251</v>
      </c>
      <c r="BD332" t="s">
        <v>74</v>
      </c>
      <c r="BE332" t="s">
        <v>6557</v>
      </c>
      <c r="BF332" t="str">
        <f>HYPERLINK("http://dx.doi.org/10.1016/j.gca.2017.01.048","http://dx.doi.org/10.1016/j.gca.2017.01.048")</f>
        <v>http://dx.doi.org/10.1016/j.gca.2017.01.048</v>
      </c>
      <c r="BG332" t="s">
        <v>74</v>
      </c>
      <c r="BH332" t="s">
        <v>74</v>
      </c>
      <c r="BI332">
        <v>12</v>
      </c>
      <c r="BJ332" t="s">
        <v>176</v>
      </c>
      <c r="BK332" t="s">
        <v>103</v>
      </c>
      <c r="BL332" t="s">
        <v>176</v>
      </c>
      <c r="BM332" t="s">
        <v>5308</v>
      </c>
      <c r="BN332" t="s">
        <v>74</v>
      </c>
      <c r="BO332" t="s">
        <v>4773</v>
      </c>
      <c r="BP332" t="s">
        <v>74</v>
      </c>
      <c r="BQ332" t="s">
        <v>74</v>
      </c>
      <c r="BR332" t="s">
        <v>106</v>
      </c>
      <c r="BS332" t="s">
        <v>6558</v>
      </c>
      <c r="BT332" t="str">
        <f>HYPERLINK("https%3A%2F%2Fwww.webofscience.com%2Fwos%2Fwoscc%2Ffull-record%2FWOS:000402487100014","View Full Record in Web of Science")</f>
        <v>View Full Record in Web of Science</v>
      </c>
    </row>
    <row r="333" spans="1:72" x14ac:dyDescent="0.15">
      <c r="A333" t="s">
        <v>72</v>
      </c>
      <c r="B333" t="s">
        <v>6559</v>
      </c>
      <c r="C333" t="s">
        <v>74</v>
      </c>
      <c r="D333" t="s">
        <v>74</v>
      </c>
      <c r="E333" t="s">
        <v>74</v>
      </c>
      <c r="F333" t="s">
        <v>6560</v>
      </c>
      <c r="G333" t="s">
        <v>74</v>
      </c>
      <c r="H333" t="s">
        <v>74</v>
      </c>
      <c r="I333" t="s">
        <v>6561</v>
      </c>
      <c r="J333" t="s">
        <v>6562</v>
      </c>
      <c r="K333" t="s">
        <v>74</v>
      </c>
      <c r="L333" t="s">
        <v>74</v>
      </c>
      <c r="M333" t="s">
        <v>78</v>
      </c>
      <c r="N333" t="s">
        <v>79</v>
      </c>
      <c r="O333" t="s">
        <v>74</v>
      </c>
      <c r="P333" t="s">
        <v>74</v>
      </c>
      <c r="Q333" t="s">
        <v>74</v>
      </c>
      <c r="R333" t="s">
        <v>74</v>
      </c>
      <c r="S333" t="s">
        <v>74</v>
      </c>
      <c r="T333" t="s">
        <v>74</v>
      </c>
      <c r="U333" t="s">
        <v>6563</v>
      </c>
      <c r="V333" t="s">
        <v>6564</v>
      </c>
      <c r="W333" t="s">
        <v>6565</v>
      </c>
      <c r="X333" t="s">
        <v>6566</v>
      </c>
      <c r="Y333" t="s">
        <v>6567</v>
      </c>
      <c r="Z333" t="s">
        <v>6568</v>
      </c>
      <c r="AA333" t="s">
        <v>6569</v>
      </c>
      <c r="AB333" t="s">
        <v>6570</v>
      </c>
      <c r="AC333" t="s">
        <v>6571</v>
      </c>
      <c r="AD333" t="s">
        <v>6572</v>
      </c>
      <c r="AE333" t="s">
        <v>6573</v>
      </c>
      <c r="AF333" t="s">
        <v>74</v>
      </c>
      <c r="AG333">
        <v>83</v>
      </c>
      <c r="AH333">
        <v>25</v>
      </c>
      <c r="AI333">
        <v>28</v>
      </c>
      <c r="AJ333">
        <v>3</v>
      </c>
      <c r="AK333">
        <v>33</v>
      </c>
      <c r="AL333" t="s">
        <v>222</v>
      </c>
      <c r="AM333" t="s">
        <v>223</v>
      </c>
      <c r="AN333" t="s">
        <v>224</v>
      </c>
      <c r="AO333" t="s">
        <v>6574</v>
      </c>
      <c r="AP333" t="s">
        <v>6575</v>
      </c>
      <c r="AQ333" t="s">
        <v>74</v>
      </c>
      <c r="AR333" t="s">
        <v>6576</v>
      </c>
      <c r="AS333" t="s">
        <v>6577</v>
      </c>
      <c r="AT333" t="s">
        <v>4623</v>
      </c>
      <c r="AU333">
        <v>2017</v>
      </c>
      <c r="AV333">
        <v>31</v>
      </c>
      <c r="AW333">
        <v>5</v>
      </c>
      <c r="AX333" t="s">
        <v>74</v>
      </c>
      <c r="AY333" t="s">
        <v>74</v>
      </c>
      <c r="AZ333" t="s">
        <v>74</v>
      </c>
      <c r="BA333" t="s">
        <v>74</v>
      </c>
      <c r="BB333">
        <v>922</v>
      </c>
      <c r="BC333">
        <v>940</v>
      </c>
      <c r="BD333" t="s">
        <v>74</v>
      </c>
      <c r="BE333" t="s">
        <v>6578</v>
      </c>
      <c r="BF333" t="str">
        <f>HYPERLINK("http://dx.doi.org/10.1002/2016GB005615","http://dx.doi.org/10.1002/2016GB005615")</f>
        <v>http://dx.doi.org/10.1002/2016GB005615</v>
      </c>
      <c r="BG333" t="s">
        <v>74</v>
      </c>
      <c r="BH333" t="s">
        <v>74</v>
      </c>
      <c r="BI333">
        <v>19</v>
      </c>
      <c r="BJ333" t="s">
        <v>6579</v>
      </c>
      <c r="BK333" t="s">
        <v>103</v>
      </c>
      <c r="BL333" t="s">
        <v>6580</v>
      </c>
      <c r="BM333" t="s">
        <v>6581</v>
      </c>
      <c r="BN333" t="s">
        <v>74</v>
      </c>
      <c r="BO333" t="s">
        <v>2510</v>
      </c>
      <c r="BP333" t="s">
        <v>74</v>
      </c>
      <c r="BQ333" t="s">
        <v>74</v>
      </c>
      <c r="BR333" t="s">
        <v>106</v>
      </c>
      <c r="BS333" t="s">
        <v>6582</v>
      </c>
      <c r="BT333" t="str">
        <f>HYPERLINK("https%3A%2F%2Fwww.webofscience.com%2Fwos%2Fwoscc%2Ffull-record%2FWOS:000405103200011","View Full Record in Web of Science")</f>
        <v>View Full Record in Web of Science</v>
      </c>
    </row>
    <row r="334" spans="1:72" x14ac:dyDescent="0.15">
      <c r="A334" t="s">
        <v>72</v>
      </c>
      <c r="B334" t="s">
        <v>6583</v>
      </c>
      <c r="C334" t="s">
        <v>74</v>
      </c>
      <c r="D334" t="s">
        <v>74</v>
      </c>
      <c r="E334" t="s">
        <v>74</v>
      </c>
      <c r="F334" t="s">
        <v>6584</v>
      </c>
      <c r="G334" t="s">
        <v>74</v>
      </c>
      <c r="H334" t="s">
        <v>74</v>
      </c>
      <c r="I334" t="s">
        <v>6585</v>
      </c>
      <c r="J334" t="s">
        <v>6586</v>
      </c>
      <c r="K334" t="s">
        <v>74</v>
      </c>
      <c r="L334" t="s">
        <v>74</v>
      </c>
      <c r="M334" t="s">
        <v>78</v>
      </c>
      <c r="N334" t="s">
        <v>79</v>
      </c>
      <c r="O334" t="s">
        <v>74</v>
      </c>
      <c r="P334" t="s">
        <v>74</v>
      </c>
      <c r="Q334" t="s">
        <v>74</v>
      </c>
      <c r="R334" t="s">
        <v>74</v>
      </c>
      <c r="S334" t="s">
        <v>74</v>
      </c>
      <c r="T334" t="s">
        <v>6587</v>
      </c>
      <c r="U334" t="s">
        <v>6588</v>
      </c>
      <c r="V334" t="s">
        <v>6589</v>
      </c>
      <c r="W334" t="s">
        <v>6590</v>
      </c>
      <c r="X334" t="s">
        <v>6591</v>
      </c>
      <c r="Y334" t="s">
        <v>6592</v>
      </c>
      <c r="Z334" t="s">
        <v>6593</v>
      </c>
      <c r="AA334" t="s">
        <v>6594</v>
      </c>
      <c r="AB334" t="s">
        <v>6595</v>
      </c>
      <c r="AC334" t="s">
        <v>6596</v>
      </c>
      <c r="AD334" t="s">
        <v>6597</v>
      </c>
      <c r="AE334" t="s">
        <v>6598</v>
      </c>
      <c r="AF334" t="s">
        <v>74</v>
      </c>
      <c r="AG334">
        <v>60</v>
      </c>
      <c r="AH334">
        <v>54</v>
      </c>
      <c r="AI334">
        <v>59</v>
      </c>
      <c r="AJ334">
        <v>1</v>
      </c>
      <c r="AK334">
        <v>114</v>
      </c>
      <c r="AL334" t="s">
        <v>681</v>
      </c>
      <c r="AM334" t="s">
        <v>682</v>
      </c>
      <c r="AN334" t="s">
        <v>683</v>
      </c>
      <c r="AO334" t="s">
        <v>6599</v>
      </c>
      <c r="AP334" t="s">
        <v>6600</v>
      </c>
      <c r="AQ334" t="s">
        <v>74</v>
      </c>
      <c r="AR334" t="s">
        <v>6601</v>
      </c>
      <c r="AS334" t="s">
        <v>6602</v>
      </c>
      <c r="AT334" t="s">
        <v>4623</v>
      </c>
      <c r="AU334">
        <v>2017</v>
      </c>
      <c r="AV334">
        <v>23</v>
      </c>
      <c r="AW334">
        <v>5</v>
      </c>
      <c r="AX334" t="s">
        <v>74</v>
      </c>
      <c r="AY334" t="s">
        <v>74</v>
      </c>
      <c r="AZ334" t="s">
        <v>74</v>
      </c>
      <c r="BA334" t="s">
        <v>74</v>
      </c>
      <c r="BB334">
        <v>2047</v>
      </c>
      <c r="BC334">
        <v>2057</v>
      </c>
      <c r="BD334" t="s">
        <v>74</v>
      </c>
      <c r="BE334" t="s">
        <v>6603</v>
      </c>
      <c r="BF334" t="str">
        <f>HYPERLINK("http://dx.doi.org/10.1111/gcb.13635","http://dx.doi.org/10.1111/gcb.13635")</f>
        <v>http://dx.doi.org/10.1111/gcb.13635</v>
      </c>
      <c r="BG334" t="s">
        <v>74</v>
      </c>
      <c r="BH334" t="s">
        <v>74</v>
      </c>
      <c r="BI334">
        <v>11</v>
      </c>
      <c r="BJ334" t="s">
        <v>382</v>
      </c>
      <c r="BK334" t="s">
        <v>103</v>
      </c>
      <c r="BL334" t="s">
        <v>326</v>
      </c>
      <c r="BM334" t="s">
        <v>6604</v>
      </c>
      <c r="BN334">
        <v>28122146</v>
      </c>
      <c r="BO334" t="s">
        <v>5013</v>
      </c>
      <c r="BP334" t="s">
        <v>74</v>
      </c>
      <c r="BQ334" t="s">
        <v>74</v>
      </c>
      <c r="BR334" t="s">
        <v>106</v>
      </c>
      <c r="BS334" t="s">
        <v>6605</v>
      </c>
      <c r="BT334" t="str">
        <f>HYPERLINK("https%3A%2F%2Fwww.webofscience.com%2Fwos%2Fwoscc%2Ffull-record%2FWOS:000397800600023","View Full Record in Web of Science")</f>
        <v>View Full Record in Web of Science</v>
      </c>
    </row>
    <row r="335" spans="1:72" x14ac:dyDescent="0.15">
      <c r="A335" t="s">
        <v>72</v>
      </c>
      <c r="B335" t="s">
        <v>6606</v>
      </c>
      <c r="C335" t="s">
        <v>74</v>
      </c>
      <c r="D335" t="s">
        <v>74</v>
      </c>
      <c r="E335" t="s">
        <v>74</v>
      </c>
      <c r="F335" t="s">
        <v>6607</v>
      </c>
      <c r="G335" t="s">
        <v>74</v>
      </c>
      <c r="H335" t="s">
        <v>74</v>
      </c>
      <c r="I335" t="s">
        <v>6608</v>
      </c>
      <c r="J335" t="s">
        <v>4928</v>
      </c>
      <c r="K335" t="s">
        <v>74</v>
      </c>
      <c r="L335" t="s">
        <v>74</v>
      </c>
      <c r="M335" t="s">
        <v>78</v>
      </c>
      <c r="N335" t="s">
        <v>79</v>
      </c>
      <c r="O335" t="s">
        <v>74</v>
      </c>
      <c r="P335" t="s">
        <v>74</v>
      </c>
      <c r="Q335" t="s">
        <v>74</v>
      </c>
      <c r="R335" t="s">
        <v>74</v>
      </c>
      <c r="S335" t="s">
        <v>74</v>
      </c>
      <c r="T335" t="s">
        <v>6609</v>
      </c>
      <c r="U335" t="s">
        <v>6610</v>
      </c>
      <c r="V335" t="s">
        <v>6611</v>
      </c>
      <c r="W335" t="s">
        <v>6612</v>
      </c>
      <c r="X335" t="s">
        <v>6613</v>
      </c>
      <c r="Y335" t="s">
        <v>6614</v>
      </c>
      <c r="Z335" t="s">
        <v>6615</v>
      </c>
      <c r="AA335" t="s">
        <v>74</v>
      </c>
      <c r="AB335" t="s">
        <v>74</v>
      </c>
      <c r="AC335" t="s">
        <v>6616</v>
      </c>
      <c r="AD335" t="s">
        <v>6617</v>
      </c>
      <c r="AE335" t="s">
        <v>6618</v>
      </c>
      <c r="AF335" t="s">
        <v>74</v>
      </c>
      <c r="AG335">
        <v>66</v>
      </c>
      <c r="AH335">
        <v>12</v>
      </c>
      <c r="AI335">
        <v>13</v>
      </c>
      <c r="AJ335">
        <v>1</v>
      </c>
      <c r="AK335">
        <v>32</v>
      </c>
      <c r="AL335" t="s">
        <v>92</v>
      </c>
      <c r="AM335" t="s">
        <v>93</v>
      </c>
      <c r="AN335" t="s">
        <v>94</v>
      </c>
      <c r="AO335" t="s">
        <v>4939</v>
      </c>
      <c r="AP335" t="s">
        <v>4940</v>
      </c>
      <c r="AQ335" t="s">
        <v>74</v>
      </c>
      <c r="AR335" t="s">
        <v>4941</v>
      </c>
      <c r="AS335" t="s">
        <v>4942</v>
      </c>
      <c r="AT335" t="s">
        <v>4943</v>
      </c>
      <c r="AU335">
        <v>2017</v>
      </c>
      <c r="AV335">
        <v>74</v>
      </c>
      <c r="AW335">
        <v>4</v>
      </c>
      <c r="AX335" t="s">
        <v>74</v>
      </c>
      <c r="AY335" t="s">
        <v>74</v>
      </c>
      <c r="AZ335" t="s">
        <v>74</v>
      </c>
      <c r="BA335" t="s">
        <v>74</v>
      </c>
      <c r="BB335">
        <v>1005</v>
      </c>
      <c r="BC335">
        <v>1012</v>
      </c>
      <c r="BD335" t="s">
        <v>74</v>
      </c>
      <c r="BE335" t="s">
        <v>6619</v>
      </c>
      <c r="BF335" t="str">
        <f>HYPERLINK("http://dx.doi.org/10.1093/icesjms/fsw021","http://dx.doi.org/10.1093/icesjms/fsw021")</f>
        <v>http://dx.doi.org/10.1093/icesjms/fsw021</v>
      </c>
      <c r="BG335" t="s">
        <v>74</v>
      </c>
      <c r="BH335" t="s">
        <v>74</v>
      </c>
      <c r="BI335">
        <v>8</v>
      </c>
      <c r="BJ335" t="s">
        <v>4945</v>
      </c>
      <c r="BK335" t="s">
        <v>103</v>
      </c>
      <c r="BL335" t="s">
        <v>4945</v>
      </c>
      <c r="BM335" t="s">
        <v>6620</v>
      </c>
      <c r="BN335" t="s">
        <v>74</v>
      </c>
      <c r="BO335" t="s">
        <v>412</v>
      </c>
      <c r="BP335" t="s">
        <v>74</v>
      </c>
      <c r="BQ335" t="s">
        <v>74</v>
      </c>
      <c r="BR335" t="s">
        <v>106</v>
      </c>
      <c r="BS335" t="s">
        <v>6621</v>
      </c>
      <c r="BT335" t="str">
        <f>HYPERLINK("https%3A%2F%2Fwww.webofscience.com%2Fwos%2Fwoscc%2Ffull-record%2FWOS:000404450100012","View Full Record in Web of Science")</f>
        <v>View Full Record in Web of Science</v>
      </c>
    </row>
    <row r="336" spans="1:72" x14ac:dyDescent="0.15">
      <c r="A336" t="s">
        <v>72</v>
      </c>
      <c r="B336" t="s">
        <v>6622</v>
      </c>
      <c r="C336" t="s">
        <v>74</v>
      </c>
      <c r="D336" t="s">
        <v>74</v>
      </c>
      <c r="E336" t="s">
        <v>74</v>
      </c>
      <c r="F336" t="s">
        <v>6623</v>
      </c>
      <c r="G336" t="s">
        <v>74</v>
      </c>
      <c r="H336" t="s">
        <v>74</v>
      </c>
      <c r="I336" t="s">
        <v>6624</v>
      </c>
      <c r="J336" t="s">
        <v>5977</v>
      </c>
      <c r="K336" t="s">
        <v>74</v>
      </c>
      <c r="L336" t="s">
        <v>74</v>
      </c>
      <c r="M336" t="s">
        <v>78</v>
      </c>
      <c r="N336" t="s">
        <v>79</v>
      </c>
      <c r="O336" t="s">
        <v>74</v>
      </c>
      <c r="P336" t="s">
        <v>74</v>
      </c>
      <c r="Q336" t="s">
        <v>74</v>
      </c>
      <c r="R336" t="s">
        <v>74</v>
      </c>
      <c r="S336" t="s">
        <v>74</v>
      </c>
      <c r="T336" t="s">
        <v>6625</v>
      </c>
      <c r="U336" t="s">
        <v>6626</v>
      </c>
      <c r="V336" t="s">
        <v>6627</v>
      </c>
      <c r="W336" t="s">
        <v>6628</v>
      </c>
      <c r="X336" t="s">
        <v>6629</v>
      </c>
      <c r="Y336" t="s">
        <v>6630</v>
      </c>
      <c r="Z336" t="s">
        <v>6631</v>
      </c>
      <c r="AA336" t="s">
        <v>6632</v>
      </c>
      <c r="AB336" t="s">
        <v>6633</v>
      </c>
      <c r="AC336" t="s">
        <v>6634</v>
      </c>
      <c r="AD336" t="s">
        <v>6635</v>
      </c>
      <c r="AE336" t="s">
        <v>6636</v>
      </c>
      <c r="AF336" t="s">
        <v>74</v>
      </c>
      <c r="AG336">
        <v>14</v>
      </c>
      <c r="AH336">
        <v>2</v>
      </c>
      <c r="AI336">
        <v>2</v>
      </c>
      <c r="AJ336">
        <v>0</v>
      </c>
      <c r="AK336">
        <v>6</v>
      </c>
      <c r="AL336" t="s">
        <v>289</v>
      </c>
      <c r="AM336" t="s">
        <v>290</v>
      </c>
      <c r="AN336" t="s">
        <v>291</v>
      </c>
      <c r="AO336" t="s">
        <v>5990</v>
      </c>
      <c r="AP336" t="s">
        <v>5991</v>
      </c>
      <c r="AQ336" t="s">
        <v>74</v>
      </c>
      <c r="AR336" t="s">
        <v>5992</v>
      </c>
      <c r="AS336" t="s">
        <v>5993</v>
      </c>
      <c r="AT336" t="s">
        <v>4623</v>
      </c>
      <c r="AU336">
        <v>2017</v>
      </c>
      <c r="AV336">
        <v>55</v>
      </c>
      <c r="AW336">
        <v>5</v>
      </c>
      <c r="AX336" t="s">
        <v>74</v>
      </c>
      <c r="AY336" t="s">
        <v>74</v>
      </c>
      <c r="AZ336" t="s">
        <v>74</v>
      </c>
      <c r="BA336" t="s">
        <v>74</v>
      </c>
      <c r="BB336">
        <v>2751</v>
      </c>
      <c r="BC336">
        <v>2756</v>
      </c>
      <c r="BD336" t="s">
        <v>74</v>
      </c>
      <c r="BE336" t="s">
        <v>6637</v>
      </c>
      <c r="BF336" t="str">
        <f>HYPERLINK("http://dx.doi.org/10.1109/TGRS.2017.2653241","http://dx.doi.org/10.1109/TGRS.2017.2653241")</f>
        <v>http://dx.doi.org/10.1109/TGRS.2017.2653241</v>
      </c>
      <c r="BG336" t="s">
        <v>74</v>
      </c>
      <c r="BH336" t="s">
        <v>74</v>
      </c>
      <c r="BI336">
        <v>6</v>
      </c>
      <c r="BJ336" t="s">
        <v>5995</v>
      </c>
      <c r="BK336" t="s">
        <v>103</v>
      </c>
      <c r="BL336" t="s">
        <v>5996</v>
      </c>
      <c r="BM336" t="s">
        <v>5997</v>
      </c>
      <c r="BN336" t="s">
        <v>74</v>
      </c>
      <c r="BO336" t="s">
        <v>1100</v>
      </c>
      <c r="BP336" t="s">
        <v>74</v>
      </c>
      <c r="BQ336" t="s">
        <v>74</v>
      </c>
      <c r="BR336" t="s">
        <v>106</v>
      </c>
      <c r="BS336" t="s">
        <v>6638</v>
      </c>
      <c r="BT336" t="str">
        <f>HYPERLINK("https%3A%2F%2Fwww.webofscience.com%2Fwos%2Fwoscc%2Ffull-record%2FWOS:000399943400024","View Full Record in Web of Science")</f>
        <v>View Full Record in Web of Science</v>
      </c>
    </row>
    <row r="337" spans="1:72" x14ac:dyDescent="0.15">
      <c r="A337" t="s">
        <v>72</v>
      </c>
      <c r="B337" t="s">
        <v>6639</v>
      </c>
      <c r="C337" t="s">
        <v>74</v>
      </c>
      <c r="D337" t="s">
        <v>74</v>
      </c>
      <c r="E337" t="s">
        <v>74</v>
      </c>
      <c r="F337" t="s">
        <v>6640</v>
      </c>
      <c r="G337" t="s">
        <v>74</v>
      </c>
      <c r="H337" t="s">
        <v>74</v>
      </c>
      <c r="I337" t="s">
        <v>6641</v>
      </c>
      <c r="J337" t="s">
        <v>6642</v>
      </c>
      <c r="K337" t="s">
        <v>74</v>
      </c>
      <c r="L337" t="s">
        <v>74</v>
      </c>
      <c r="M337" t="s">
        <v>78</v>
      </c>
      <c r="N337" t="s">
        <v>79</v>
      </c>
      <c r="O337" t="s">
        <v>74</v>
      </c>
      <c r="P337" t="s">
        <v>74</v>
      </c>
      <c r="Q337" t="s">
        <v>74</v>
      </c>
      <c r="R337" t="s">
        <v>74</v>
      </c>
      <c r="S337" t="s">
        <v>74</v>
      </c>
      <c r="T337" t="s">
        <v>6643</v>
      </c>
      <c r="U337" t="s">
        <v>6644</v>
      </c>
      <c r="V337" t="s">
        <v>6645</v>
      </c>
      <c r="W337" t="s">
        <v>6646</v>
      </c>
      <c r="X337" t="s">
        <v>6647</v>
      </c>
      <c r="Y337" t="s">
        <v>6648</v>
      </c>
      <c r="Z337" t="s">
        <v>6649</v>
      </c>
      <c r="AA337" t="s">
        <v>6650</v>
      </c>
      <c r="AB337" t="s">
        <v>6651</v>
      </c>
      <c r="AC337" t="s">
        <v>74</v>
      </c>
      <c r="AD337" t="s">
        <v>74</v>
      </c>
      <c r="AE337" t="s">
        <v>74</v>
      </c>
      <c r="AF337" t="s">
        <v>74</v>
      </c>
      <c r="AG337">
        <v>50</v>
      </c>
      <c r="AH337">
        <v>42</v>
      </c>
      <c r="AI337">
        <v>43</v>
      </c>
      <c r="AJ337">
        <v>0</v>
      </c>
      <c r="AK337">
        <v>34</v>
      </c>
      <c r="AL337" t="s">
        <v>681</v>
      </c>
      <c r="AM337" t="s">
        <v>682</v>
      </c>
      <c r="AN337" t="s">
        <v>683</v>
      </c>
      <c r="AO337" t="s">
        <v>6652</v>
      </c>
      <c r="AP337" t="s">
        <v>6653</v>
      </c>
      <c r="AQ337" t="s">
        <v>74</v>
      </c>
      <c r="AR337" t="s">
        <v>6654</v>
      </c>
      <c r="AS337" t="s">
        <v>6655</v>
      </c>
      <c r="AT337" t="s">
        <v>4623</v>
      </c>
      <c r="AU337">
        <v>2017</v>
      </c>
      <c r="AV337">
        <v>41</v>
      </c>
      <c r="AW337">
        <v>3</v>
      </c>
      <c r="AX337" t="s">
        <v>74</v>
      </c>
      <c r="AY337" t="s">
        <v>74</v>
      </c>
      <c r="AZ337" t="s">
        <v>74</v>
      </c>
      <c r="BA337" t="s">
        <v>74</v>
      </c>
      <c r="BB337">
        <v>299</v>
      </c>
      <c r="BC337">
        <v>311</v>
      </c>
      <c r="BD337" t="s">
        <v>74</v>
      </c>
      <c r="BE337" t="s">
        <v>6656</v>
      </c>
      <c r="BF337" t="str">
        <f>HYPERLINK("http://dx.doi.org/10.1111/ijcs.12342","http://dx.doi.org/10.1111/ijcs.12342")</f>
        <v>http://dx.doi.org/10.1111/ijcs.12342</v>
      </c>
      <c r="BG337" t="s">
        <v>74</v>
      </c>
      <c r="BH337" t="s">
        <v>74</v>
      </c>
      <c r="BI337">
        <v>13</v>
      </c>
      <c r="BJ337" t="s">
        <v>6657</v>
      </c>
      <c r="BK337" t="s">
        <v>3321</v>
      </c>
      <c r="BL337" t="s">
        <v>6658</v>
      </c>
      <c r="BM337" t="s">
        <v>6659</v>
      </c>
      <c r="BN337" t="s">
        <v>74</v>
      </c>
      <c r="BO337" t="s">
        <v>1100</v>
      </c>
      <c r="BP337" t="s">
        <v>74</v>
      </c>
      <c r="BQ337" t="s">
        <v>74</v>
      </c>
      <c r="BR337" t="s">
        <v>106</v>
      </c>
      <c r="BS337" t="s">
        <v>6660</v>
      </c>
      <c r="BT337" t="str">
        <f>HYPERLINK("https%3A%2F%2Fwww.webofscience.com%2Fwos%2Fwoscc%2Ffull-record%2FWOS:000398573300008","View Full Record in Web of Science")</f>
        <v>View Full Record in Web of Science</v>
      </c>
    </row>
    <row r="338" spans="1:72" x14ac:dyDescent="0.15">
      <c r="A338" t="s">
        <v>72</v>
      </c>
      <c r="B338" t="s">
        <v>6661</v>
      </c>
      <c r="C338" t="s">
        <v>74</v>
      </c>
      <c r="D338" t="s">
        <v>74</v>
      </c>
      <c r="E338" t="s">
        <v>74</v>
      </c>
      <c r="F338" t="s">
        <v>6662</v>
      </c>
      <c r="G338" t="s">
        <v>74</v>
      </c>
      <c r="H338" t="s">
        <v>74</v>
      </c>
      <c r="I338" t="s">
        <v>6663</v>
      </c>
      <c r="J338" t="s">
        <v>389</v>
      </c>
      <c r="K338" t="s">
        <v>74</v>
      </c>
      <c r="L338" t="s">
        <v>74</v>
      </c>
      <c r="M338" t="s">
        <v>78</v>
      </c>
      <c r="N338" t="s">
        <v>79</v>
      </c>
      <c r="O338" t="s">
        <v>74</v>
      </c>
      <c r="P338" t="s">
        <v>74</v>
      </c>
      <c r="Q338" t="s">
        <v>74</v>
      </c>
      <c r="R338" t="s">
        <v>74</v>
      </c>
      <c r="S338" t="s">
        <v>74</v>
      </c>
      <c r="T338" t="s">
        <v>6664</v>
      </c>
      <c r="U338" t="s">
        <v>6665</v>
      </c>
      <c r="V338" t="s">
        <v>6666</v>
      </c>
      <c r="W338" t="s">
        <v>6667</v>
      </c>
      <c r="X338" t="s">
        <v>6668</v>
      </c>
      <c r="Y338" t="s">
        <v>6669</v>
      </c>
      <c r="Z338" t="s">
        <v>6670</v>
      </c>
      <c r="AA338" t="s">
        <v>6671</v>
      </c>
      <c r="AB338" t="s">
        <v>6672</v>
      </c>
      <c r="AC338" t="s">
        <v>6673</v>
      </c>
      <c r="AD338" t="s">
        <v>6674</v>
      </c>
      <c r="AE338" t="s">
        <v>6675</v>
      </c>
      <c r="AF338" t="s">
        <v>74</v>
      </c>
      <c r="AG338">
        <v>38</v>
      </c>
      <c r="AH338">
        <v>19</v>
      </c>
      <c r="AI338">
        <v>19</v>
      </c>
      <c r="AJ338">
        <v>1</v>
      </c>
      <c r="AK338">
        <v>14</v>
      </c>
      <c r="AL338" t="s">
        <v>402</v>
      </c>
      <c r="AM338" t="s">
        <v>403</v>
      </c>
      <c r="AN338" t="s">
        <v>5114</v>
      </c>
      <c r="AO338" t="s">
        <v>405</v>
      </c>
      <c r="AP338" t="s">
        <v>406</v>
      </c>
      <c r="AQ338" t="s">
        <v>74</v>
      </c>
      <c r="AR338" t="s">
        <v>407</v>
      </c>
      <c r="AS338" t="s">
        <v>408</v>
      </c>
      <c r="AT338" t="s">
        <v>4623</v>
      </c>
      <c r="AU338">
        <v>2017</v>
      </c>
      <c r="AV338">
        <v>67</v>
      </c>
      <c r="AW338">
        <v>5</v>
      </c>
      <c r="AX338" t="s">
        <v>74</v>
      </c>
      <c r="AY338" t="s">
        <v>74</v>
      </c>
      <c r="AZ338" t="s">
        <v>74</v>
      </c>
      <c r="BA338" t="s">
        <v>74</v>
      </c>
      <c r="BB338">
        <v>1499</v>
      </c>
      <c r="BC338">
        <v>1507</v>
      </c>
      <c r="BD338" t="s">
        <v>74</v>
      </c>
      <c r="BE338" t="s">
        <v>6676</v>
      </c>
      <c r="BF338" t="str">
        <f>HYPERLINK("http://dx.doi.org/10.1099/ijsem.0.001749","http://dx.doi.org/10.1099/ijsem.0.001749")</f>
        <v>http://dx.doi.org/10.1099/ijsem.0.001749</v>
      </c>
      <c r="BG338" t="s">
        <v>74</v>
      </c>
      <c r="BH338" t="s">
        <v>74</v>
      </c>
      <c r="BI338">
        <v>9</v>
      </c>
      <c r="BJ338" t="s">
        <v>410</v>
      </c>
      <c r="BK338" t="s">
        <v>103</v>
      </c>
      <c r="BL338" t="s">
        <v>410</v>
      </c>
      <c r="BM338" t="s">
        <v>5116</v>
      </c>
      <c r="BN338">
        <v>27995868</v>
      </c>
      <c r="BO338" t="s">
        <v>412</v>
      </c>
      <c r="BP338" t="s">
        <v>74</v>
      </c>
      <c r="BQ338" t="s">
        <v>74</v>
      </c>
      <c r="BR338" t="s">
        <v>106</v>
      </c>
      <c r="BS338" t="s">
        <v>6677</v>
      </c>
      <c r="BT338" t="str">
        <f>HYPERLINK("https%3A%2F%2Fwww.webofscience.com%2Fwos%2Fwoscc%2Ffull-record%2FWOS:000403696100060","View Full Record in Web of Science")</f>
        <v>View Full Record in Web of Science</v>
      </c>
    </row>
    <row r="339" spans="1:72" x14ac:dyDescent="0.15">
      <c r="A339" t="s">
        <v>72</v>
      </c>
      <c r="B339" t="s">
        <v>6678</v>
      </c>
      <c r="C339" t="s">
        <v>74</v>
      </c>
      <c r="D339" t="s">
        <v>74</v>
      </c>
      <c r="E339" t="s">
        <v>74</v>
      </c>
      <c r="F339" t="s">
        <v>6679</v>
      </c>
      <c r="G339" t="s">
        <v>74</v>
      </c>
      <c r="H339" t="s">
        <v>74</v>
      </c>
      <c r="I339" t="s">
        <v>6680</v>
      </c>
      <c r="J339" t="s">
        <v>6681</v>
      </c>
      <c r="K339" t="s">
        <v>74</v>
      </c>
      <c r="L339" t="s">
        <v>74</v>
      </c>
      <c r="M339" t="s">
        <v>78</v>
      </c>
      <c r="N339" t="s">
        <v>79</v>
      </c>
      <c r="O339" t="s">
        <v>74</v>
      </c>
      <c r="P339" t="s">
        <v>74</v>
      </c>
      <c r="Q339" t="s">
        <v>74</v>
      </c>
      <c r="R339" t="s">
        <v>74</v>
      </c>
      <c r="S339" t="s">
        <v>74</v>
      </c>
      <c r="T339" t="s">
        <v>74</v>
      </c>
      <c r="U339" t="s">
        <v>6682</v>
      </c>
      <c r="V339" t="s">
        <v>6683</v>
      </c>
      <c r="W339" t="s">
        <v>6684</v>
      </c>
      <c r="X339" t="s">
        <v>6685</v>
      </c>
      <c r="Y339" t="s">
        <v>6686</v>
      </c>
      <c r="Z339" t="s">
        <v>6687</v>
      </c>
      <c r="AA339" t="s">
        <v>6688</v>
      </c>
      <c r="AB339" t="s">
        <v>6689</v>
      </c>
      <c r="AC339" t="s">
        <v>6690</v>
      </c>
      <c r="AD339" t="s">
        <v>6691</v>
      </c>
      <c r="AE339" t="s">
        <v>6692</v>
      </c>
      <c r="AF339" t="s">
        <v>74</v>
      </c>
      <c r="AG339">
        <v>30</v>
      </c>
      <c r="AH339">
        <v>8</v>
      </c>
      <c r="AI339">
        <v>8</v>
      </c>
      <c r="AJ339">
        <v>0</v>
      </c>
      <c r="AK339">
        <v>9</v>
      </c>
      <c r="AL339" t="s">
        <v>6693</v>
      </c>
      <c r="AM339" t="s">
        <v>1984</v>
      </c>
      <c r="AN339" t="s">
        <v>6694</v>
      </c>
      <c r="AO339" t="s">
        <v>6695</v>
      </c>
      <c r="AP339" t="s">
        <v>6696</v>
      </c>
      <c r="AQ339" t="s">
        <v>74</v>
      </c>
      <c r="AR339" t="s">
        <v>6697</v>
      </c>
      <c r="AS339" t="s">
        <v>6698</v>
      </c>
      <c r="AT339" t="s">
        <v>5138</v>
      </c>
      <c r="AU339">
        <v>2017</v>
      </c>
      <c r="AV339">
        <v>32</v>
      </c>
      <c r="AW339">
        <v>5</v>
      </c>
      <c r="AX339" t="s">
        <v>74</v>
      </c>
      <c r="AY339" t="s">
        <v>74</v>
      </c>
      <c r="AZ339" t="s">
        <v>74</v>
      </c>
      <c r="BA339" t="s">
        <v>74</v>
      </c>
      <c r="BB339">
        <v>1004</v>
      </c>
      <c r="BC339">
        <v>1008</v>
      </c>
      <c r="BD339" t="s">
        <v>74</v>
      </c>
      <c r="BE339" t="s">
        <v>6699</v>
      </c>
      <c r="BF339" t="str">
        <f>HYPERLINK("http://dx.doi.org/10.1039/c7ja00062f","http://dx.doi.org/10.1039/c7ja00062f")</f>
        <v>http://dx.doi.org/10.1039/c7ja00062f</v>
      </c>
      <c r="BG339" t="s">
        <v>74</v>
      </c>
      <c r="BH339" t="s">
        <v>74</v>
      </c>
      <c r="BI339">
        <v>5</v>
      </c>
      <c r="BJ339" t="s">
        <v>6700</v>
      </c>
      <c r="BK339" t="s">
        <v>103</v>
      </c>
      <c r="BL339" t="s">
        <v>6701</v>
      </c>
      <c r="BM339" t="s">
        <v>6702</v>
      </c>
      <c r="BN339" t="s">
        <v>74</v>
      </c>
      <c r="BO339" t="s">
        <v>231</v>
      </c>
      <c r="BP339" t="s">
        <v>74</v>
      </c>
      <c r="BQ339" t="s">
        <v>74</v>
      </c>
      <c r="BR339" t="s">
        <v>106</v>
      </c>
      <c r="BS339" t="s">
        <v>6703</v>
      </c>
      <c r="BT339" t="str">
        <f>HYPERLINK("https%3A%2F%2Fwww.webofscience.com%2Fwos%2Fwoscc%2Ffull-record%2FWOS:000401119500011","View Full Record in Web of Science")</f>
        <v>View Full Record in Web of Science</v>
      </c>
    </row>
    <row r="340" spans="1:72" x14ac:dyDescent="0.15">
      <c r="A340" t="s">
        <v>72</v>
      </c>
      <c r="B340" t="s">
        <v>6704</v>
      </c>
      <c r="C340" t="s">
        <v>74</v>
      </c>
      <c r="D340" t="s">
        <v>74</v>
      </c>
      <c r="E340" t="s">
        <v>74</v>
      </c>
      <c r="F340" t="s">
        <v>6705</v>
      </c>
      <c r="G340" t="s">
        <v>74</v>
      </c>
      <c r="H340" t="s">
        <v>74</v>
      </c>
      <c r="I340" t="s">
        <v>6706</v>
      </c>
      <c r="J340" t="s">
        <v>1521</v>
      </c>
      <c r="K340" t="s">
        <v>74</v>
      </c>
      <c r="L340" t="s">
        <v>74</v>
      </c>
      <c r="M340" t="s">
        <v>78</v>
      </c>
      <c r="N340" t="s">
        <v>79</v>
      </c>
      <c r="O340" t="s">
        <v>74</v>
      </c>
      <c r="P340" t="s">
        <v>74</v>
      </c>
      <c r="Q340" t="s">
        <v>74</v>
      </c>
      <c r="R340" t="s">
        <v>74</v>
      </c>
      <c r="S340" t="s">
        <v>74</v>
      </c>
      <c r="T340" t="s">
        <v>74</v>
      </c>
      <c r="U340" t="s">
        <v>6707</v>
      </c>
      <c r="V340" t="s">
        <v>6708</v>
      </c>
      <c r="W340" t="s">
        <v>6709</v>
      </c>
      <c r="X340" t="s">
        <v>6710</v>
      </c>
      <c r="Y340" t="s">
        <v>6711</v>
      </c>
      <c r="Z340" t="s">
        <v>6712</v>
      </c>
      <c r="AA340" t="s">
        <v>6713</v>
      </c>
      <c r="AB340" t="s">
        <v>6714</v>
      </c>
      <c r="AC340" t="s">
        <v>6715</v>
      </c>
      <c r="AD340" t="s">
        <v>6716</v>
      </c>
      <c r="AE340" t="s">
        <v>6717</v>
      </c>
      <c r="AF340" t="s">
        <v>74</v>
      </c>
      <c r="AG340">
        <v>105</v>
      </c>
      <c r="AH340">
        <v>17</v>
      </c>
      <c r="AI340">
        <v>18</v>
      </c>
      <c r="AJ340">
        <v>1</v>
      </c>
      <c r="AK340">
        <v>39</v>
      </c>
      <c r="AL340" t="s">
        <v>1115</v>
      </c>
      <c r="AM340" t="s">
        <v>1116</v>
      </c>
      <c r="AN340" t="s">
        <v>1569</v>
      </c>
      <c r="AO340" t="s">
        <v>1532</v>
      </c>
      <c r="AP340" t="s">
        <v>1533</v>
      </c>
      <c r="AQ340" t="s">
        <v>74</v>
      </c>
      <c r="AR340" t="s">
        <v>1534</v>
      </c>
      <c r="AS340" t="s">
        <v>1535</v>
      </c>
      <c r="AT340" t="s">
        <v>4623</v>
      </c>
      <c r="AU340">
        <v>2017</v>
      </c>
      <c r="AV340">
        <v>30</v>
      </c>
      <c r="AW340">
        <v>10</v>
      </c>
      <c r="AX340" t="s">
        <v>74</v>
      </c>
      <c r="AY340" t="s">
        <v>74</v>
      </c>
      <c r="AZ340" t="s">
        <v>74</v>
      </c>
      <c r="BA340" t="s">
        <v>74</v>
      </c>
      <c r="BB340">
        <v>3473</v>
      </c>
      <c r="BC340">
        <v>3497</v>
      </c>
      <c r="BD340" t="s">
        <v>74</v>
      </c>
      <c r="BE340" t="s">
        <v>6718</v>
      </c>
      <c r="BF340" t="str">
        <f>HYPERLINK("http://dx.doi.org/10.1175/JCLI-D-15-0908.1","http://dx.doi.org/10.1175/JCLI-D-15-0908.1")</f>
        <v>http://dx.doi.org/10.1175/JCLI-D-15-0908.1</v>
      </c>
      <c r="BG340" t="s">
        <v>74</v>
      </c>
      <c r="BH340" t="s">
        <v>74</v>
      </c>
      <c r="BI340">
        <v>25</v>
      </c>
      <c r="BJ340" t="s">
        <v>1261</v>
      </c>
      <c r="BK340" t="s">
        <v>103</v>
      </c>
      <c r="BL340" t="s">
        <v>1261</v>
      </c>
      <c r="BM340" t="s">
        <v>6719</v>
      </c>
      <c r="BN340" t="s">
        <v>74</v>
      </c>
      <c r="BO340" t="s">
        <v>6720</v>
      </c>
      <c r="BP340" t="s">
        <v>74</v>
      </c>
      <c r="BQ340" t="s">
        <v>74</v>
      </c>
      <c r="BR340" t="s">
        <v>106</v>
      </c>
      <c r="BS340" t="s">
        <v>6721</v>
      </c>
      <c r="BT340" t="str">
        <f>HYPERLINK("https%3A%2F%2Fwww.webofscience.com%2Fwos%2Fwoscc%2Ffull-record%2FWOS:000399680600001","View Full Record in Web of Science")</f>
        <v>View Full Record in Web of Science</v>
      </c>
    </row>
    <row r="341" spans="1:72" x14ac:dyDescent="0.15">
      <c r="A341" t="s">
        <v>72</v>
      </c>
      <c r="B341" t="s">
        <v>6722</v>
      </c>
      <c r="C341" t="s">
        <v>74</v>
      </c>
      <c r="D341" t="s">
        <v>74</v>
      </c>
      <c r="E341" t="s">
        <v>74</v>
      </c>
      <c r="F341" t="s">
        <v>6723</v>
      </c>
      <c r="G341" t="s">
        <v>74</v>
      </c>
      <c r="H341" t="s">
        <v>74</v>
      </c>
      <c r="I341" t="s">
        <v>6724</v>
      </c>
      <c r="J341" t="s">
        <v>6725</v>
      </c>
      <c r="K341" t="s">
        <v>74</v>
      </c>
      <c r="L341" t="s">
        <v>74</v>
      </c>
      <c r="M341" t="s">
        <v>78</v>
      </c>
      <c r="N341" t="s">
        <v>79</v>
      </c>
      <c r="O341" t="s">
        <v>74</v>
      </c>
      <c r="P341" t="s">
        <v>74</v>
      </c>
      <c r="Q341" t="s">
        <v>74</v>
      </c>
      <c r="R341" t="s">
        <v>74</v>
      </c>
      <c r="S341" t="s">
        <v>74</v>
      </c>
      <c r="T341" t="s">
        <v>6726</v>
      </c>
      <c r="U341" t="s">
        <v>6727</v>
      </c>
      <c r="V341" t="s">
        <v>6728</v>
      </c>
      <c r="W341" t="s">
        <v>6729</v>
      </c>
      <c r="X341" t="s">
        <v>6730</v>
      </c>
      <c r="Y341" t="s">
        <v>6731</v>
      </c>
      <c r="Z341" t="s">
        <v>6732</v>
      </c>
      <c r="AA341" t="s">
        <v>6733</v>
      </c>
      <c r="AB341" t="s">
        <v>6734</v>
      </c>
      <c r="AC341" t="s">
        <v>6735</v>
      </c>
      <c r="AD341" t="s">
        <v>6736</v>
      </c>
      <c r="AE341" t="s">
        <v>6737</v>
      </c>
      <c r="AF341" t="s">
        <v>74</v>
      </c>
      <c r="AG341">
        <v>53</v>
      </c>
      <c r="AH341">
        <v>13</v>
      </c>
      <c r="AI341">
        <v>13</v>
      </c>
      <c r="AJ341">
        <v>0</v>
      </c>
      <c r="AK341">
        <v>13</v>
      </c>
      <c r="AL341" t="s">
        <v>656</v>
      </c>
      <c r="AM341" t="s">
        <v>93</v>
      </c>
      <c r="AN341" t="s">
        <v>657</v>
      </c>
      <c r="AO341" t="s">
        <v>6738</v>
      </c>
      <c r="AP341" t="s">
        <v>74</v>
      </c>
      <c r="AQ341" t="s">
        <v>74</v>
      </c>
      <c r="AR341" t="s">
        <v>6739</v>
      </c>
      <c r="AS341" t="s">
        <v>6740</v>
      </c>
      <c r="AT341" t="s">
        <v>4623</v>
      </c>
      <c r="AU341">
        <v>2017</v>
      </c>
      <c r="AV341">
        <v>106</v>
      </c>
      <c r="AW341" t="s">
        <v>74</v>
      </c>
      <c r="AX341" t="s">
        <v>74</v>
      </c>
      <c r="AY341" t="s">
        <v>74</v>
      </c>
      <c r="AZ341" t="s">
        <v>74</v>
      </c>
      <c r="BA341" t="s">
        <v>74</v>
      </c>
      <c r="BB341">
        <v>66</v>
      </c>
      <c r="BC341">
        <v>73</v>
      </c>
      <c r="BD341" t="s">
        <v>74</v>
      </c>
      <c r="BE341" t="s">
        <v>6741</v>
      </c>
      <c r="BF341" t="str">
        <f>HYPERLINK("http://dx.doi.org/10.1016/j.jog.2017.01.008","http://dx.doi.org/10.1016/j.jog.2017.01.008")</f>
        <v>http://dx.doi.org/10.1016/j.jog.2017.01.008</v>
      </c>
      <c r="BG341" t="s">
        <v>74</v>
      </c>
      <c r="BH341" t="s">
        <v>74</v>
      </c>
      <c r="BI341">
        <v>8</v>
      </c>
      <c r="BJ341" t="s">
        <v>176</v>
      </c>
      <c r="BK341" t="s">
        <v>103</v>
      </c>
      <c r="BL341" t="s">
        <v>176</v>
      </c>
      <c r="BM341" t="s">
        <v>6742</v>
      </c>
      <c r="BN341" t="s">
        <v>74</v>
      </c>
      <c r="BO341" t="s">
        <v>74</v>
      </c>
      <c r="BP341" t="s">
        <v>74</v>
      </c>
      <c r="BQ341" t="s">
        <v>74</v>
      </c>
      <c r="BR341" t="s">
        <v>106</v>
      </c>
      <c r="BS341" t="s">
        <v>6743</v>
      </c>
      <c r="BT341" t="str">
        <f>HYPERLINK("https%3A%2F%2Fwww.webofscience.com%2Fwos%2Fwoscc%2Ffull-record%2FWOS:000399627000006","View Full Record in Web of Science")</f>
        <v>View Full Record in Web of Science</v>
      </c>
    </row>
    <row r="342" spans="1:72" x14ac:dyDescent="0.15">
      <c r="A342" t="s">
        <v>72</v>
      </c>
      <c r="B342" t="s">
        <v>6744</v>
      </c>
      <c r="C342" t="s">
        <v>74</v>
      </c>
      <c r="D342" t="s">
        <v>74</v>
      </c>
      <c r="E342" t="s">
        <v>74</v>
      </c>
      <c r="F342" t="s">
        <v>6745</v>
      </c>
      <c r="G342" t="s">
        <v>74</v>
      </c>
      <c r="H342" t="s">
        <v>74</v>
      </c>
      <c r="I342" t="s">
        <v>6746</v>
      </c>
      <c r="J342" t="s">
        <v>6747</v>
      </c>
      <c r="K342" t="s">
        <v>74</v>
      </c>
      <c r="L342" t="s">
        <v>74</v>
      </c>
      <c r="M342" t="s">
        <v>78</v>
      </c>
      <c r="N342" t="s">
        <v>79</v>
      </c>
      <c r="O342" t="s">
        <v>74</v>
      </c>
      <c r="P342" t="s">
        <v>74</v>
      </c>
      <c r="Q342" t="s">
        <v>74</v>
      </c>
      <c r="R342" t="s">
        <v>74</v>
      </c>
      <c r="S342" t="s">
        <v>74</v>
      </c>
      <c r="T342" t="s">
        <v>6748</v>
      </c>
      <c r="U342" t="s">
        <v>6749</v>
      </c>
      <c r="V342" t="s">
        <v>6750</v>
      </c>
      <c r="W342" t="s">
        <v>6751</v>
      </c>
      <c r="X342" t="s">
        <v>6752</v>
      </c>
      <c r="Y342" t="s">
        <v>6753</v>
      </c>
      <c r="Z342" t="s">
        <v>6754</v>
      </c>
      <c r="AA342" t="s">
        <v>6755</v>
      </c>
      <c r="AB342" t="s">
        <v>6756</v>
      </c>
      <c r="AC342" t="s">
        <v>6757</v>
      </c>
      <c r="AD342" t="s">
        <v>6758</v>
      </c>
      <c r="AE342" t="s">
        <v>6759</v>
      </c>
      <c r="AF342" t="s">
        <v>74</v>
      </c>
      <c r="AG342">
        <v>45</v>
      </c>
      <c r="AH342">
        <v>12</v>
      </c>
      <c r="AI342">
        <v>12</v>
      </c>
      <c r="AJ342">
        <v>1</v>
      </c>
      <c r="AK342">
        <v>9</v>
      </c>
      <c r="AL342" t="s">
        <v>222</v>
      </c>
      <c r="AM342" t="s">
        <v>223</v>
      </c>
      <c r="AN342" t="s">
        <v>224</v>
      </c>
      <c r="AO342" t="s">
        <v>6760</v>
      </c>
      <c r="AP342" t="s">
        <v>6761</v>
      </c>
      <c r="AQ342" t="s">
        <v>74</v>
      </c>
      <c r="AR342" t="s">
        <v>6762</v>
      </c>
      <c r="AS342" t="s">
        <v>6763</v>
      </c>
      <c r="AT342" t="s">
        <v>4623</v>
      </c>
      <c r="AU342">
        <v>2017</v>
      </c>
      <c r="AV342">
        <v>122</v>
      </c>
      <c r="AW342">
        <v>5</v>
      </c>
      <c r="AX342" t="s">
        <v>74</v>
      </c>
      <c r="AY342" t="s">
        <v>74</v>
      </c>
      <c r="AZ342" t="s">
        <v>74</v>
      </c>
      <c r="BA342" t="s">
        <v>74</v>
      </c>
      <c r="BB342">
        <v>1139</v>
      </c>
      <c r="BC342">
        <v>1153</v>
      </c>
      <c r="BD342" t="s">
        <v>74</v>
      </c>
      <c r="BE342" t="s">
        <v>6764</v>
      </c>
      <c r="BF342" t="str">
        <f>HYPERLINK("http://dx.doi.org/10.1002/2016JF004047","http://dx.doi.org/10.1002/2016JF004047")</f>
        <v>http://dx.doi.org/10.1002/2016JF004047</v>
      </c>
      <c r="BG342" t="s">
        <v>74</v>
      </c>
      <c r="BH342" t="s">
        <v>74</v>
      </c>
      <c r="BI342">
        <v>15</v>
      </c>
      <c r="BJ342" t="s">
        <v>437</v>
      </c>
      <c r="BK342" t="s">
        <v>103</v>
      </c>
      <c r="BL342" t="s">
        <v>438</v>
      </c>
      <c r="BM342" t="s">
        <v>6765</v>
      </c>
      <c r="BN342" t="s">
        <v>74</v>
      </c>
      <c r="BO342" t="s">
        <v>6766</v>
      </c>
      <c r="BP342" t="s">
        <v>74</v>
      </c>
      <c r="BQ342" t="s">
        <v>74</v>
      </c>
      <c r="BR342" t="s">
        <v>106</v>
      </c>
      <c r="BS342" t="s">
        <v>6767</v>
      </c>
      <c r="BT342" t="str">
        <f>HYPERLINK("https%3A%2F%2Fwww.webofscience.com%2Fwos%2Fwoscc%2Ffull-record%2FWOS:000403322100004","View Full Record in Web of Science")</f>
        <v>View Full Record in Web of Science</v>
      </c>
    </row>
    <row r="343" spans="1:72" x14ac:dyDescent="0.15">
      <c r="A343" t="s">
        <v>72</v>
      </c>
      <c r="B343" t="s">
        <v>6768</v>
      </c>
      <c r="C343" t="s">
        <v>74</v>
      </c>
      <c r="D343" t="s">
        <v>74</v>
      </c>
      <c r="E343" t="s">
        <v>74</v>
      </c>
      <c r="F343" t="s">
        <v>6769</v>
      </c>
      <c r="G343" t="s">
        <v>74</v>
      </c>
      <c r="H343" t="s">
        <v>74</v>
      </c>
      <c r="I343" t="s">
        <v>6770</v>
      </c>
      <c r="J343" t="s">
        <v>210</v>
      </c>
      <c r="K343" t="s">
        <v>74</v>
      </c>
      <c r="L343" t="s">
        <v>74</v>
      </c>
      <c r="M343" t="s">
        <v>78</v>
      </c>
      <c r="N343" t="s">
        <v>79</v>
      </c>
      <c r="O343" t="s">
        <v>74</v>
      </c>
      <c r="P343" t="s">
        <v>74</v>
      </c>
      <c r="Q343" t="s">
        <v>74</v>
      </c>
      <c r="R343" t="s">
        <v>74</v>
      </c>
      <c r="S343" t="s">
        <v>74</v>
      </c>
      <c r="T343" t="s">
        <v>6771</v>
      </c>
      <c r="U343" t="s">
        <v>6772</v>
      </c>
      <c r="V343" t="s">
        <v>6773</v>
      </c>
      <c r="W343" t="s">
        <v>6774</v>
      </c>
      <c r="X343" t="s">
        <v>6775</v>
      </c>
      <c r="Y343" t="s">
        <v>6776</v>
      </c>
      <c r="Z343" t="s">
        <v>6777</v>
      </c>
      <c r="AA343" t="s">
        <v>6778</v>
      </c>
      <c r="AB343" t="s">
        <v>6779</v>
      </c>
      <c r="AC343" t="s">
        <v>6780</v>
      </c>
      <c r="AD343" t="s">
        <v>6781</v>
      </c>
      <c r="AE343" t="s">
        <v>6782</v>
      </c>
      <c r="AF343" t="s">
        <v>74</v>
      </c>
      <c r="AG343">
        <v>78</v>
      </c>
      <c r="AH343">
        <v>17</v>
      </c>
      <c r="AI343">
        <v>22</v>
      </c>
      <c r="AJ343">
        <v>1</v>
      </c>
      <c r="AK343">
        <v>29</v>
      </c>
      <c r="AL343" t="s">
        <v>222</v>
      </c>
      <c r="AM343" t="s">
        <v>223</v>
      </c>
      <c r="AN343" t="s">
        <v>224</v>
      </c>
      <c r="AO343" t="s">
        <v>225</v>
      </c>
      <c r="AP343" t="s">
        <v>226</v>
      </c>
      <c r="AQ343" t="s">
        <v>74</v>
      </c>
      <c r="AR343" t="s">
        <v>227</v>
      </c>
      <c r="AS343" t="s">
        <v>228</v>
      </c>
      <c r="AT343" t="s">
        <v>4623</v>
      </c>
      <c r="AU343">
        <v>2017</v>
      </c>
      <c r="AV343">
        <v>122</v>
      </c>
      <c r="AW343">
        <v>5</v>
      </c>
      <c r="AX343" t="s">
        <v>74</v>
      </c>
      <c r="AY343" t="s">
        <v>74</v>
      </c>
      <c r="AZ343" t="s">
        <v>74</v>
      </c>
      <c r="BA343" t="s">
        <v>74</v>
      </c>
      <c r="BB343">
        <v>4413</v>
      </c>
      <c r="BC343">
        <v>4430</v>
      </c>
      <c r="BD343" t="s">
        <v>74</v>
      </c>
      <c r="BE343" t="s">
        <v>6783</v>
      </c>
      <c r="BF343" t="str">
        <f>HYPERLINK("http://dx.doi.org/10.1002/2016JC012416","http://dx.doi.org/10.1002/2016JC012416")</f>
        <v>http://dx.doi.org/10.1002/2016JC012416</v>
      </c>
      <c r="BG343" t="s">
        <v>74</v>
      </c>
      <c r="BH343" t="s">
        <v>74</v>
      </c>
      <c r="BI343">
        <v>18</v>
      </c>
      <c r="BJ343" t="s">
        <v>127</v>
      </c>
      <c r="BK343" t="s">
        <v>103</v>
      </c>
      <c r="BL343" t="s">
        <v>127</v>
      </c>
      <c r="BM343" t="s">
        <v>4875</v>
      </c>
      <c r="BN343" t="s">
        <v>74</v>
      </c>
      <c r="BO343" t="s">
        <v>74</v>
      </c>
      <c r="BP343" t="s">
        <v>74</v>
      </c>
      <c r="BQ343" t="s">
        <v>74</v>
      </c>
      <c r="BR343" t="s">
        <v>106</v>
      </c>
      <c r="BS343" t="s">
        <v>6784</v>
      </c>
      <c r="BT343" t="str">
        <f>HYPERLINK("https%3A%2F%2Fwww.webofscience.com%2Fwos%2Fwoscc%2Ffull-record%2FWOS:000404363600048","View Full Record in Web of Science")</f>
        <v>View Full Record in Web of Science</v>
      </c>
    </row>
    <row r="344" spans="1:72" x14ac:dyDescent="0.15">
      <c r="A344" t="s">
        <v>72</v>
      </c>
      <c r="B344" t="s">
        <v>6785</v>
      </c>
      <c r="C344" t="s">
        <v>74</v>
      </c>
      <c r="D344" t="s">
        <v>74</v>
      </c>
      <c r="E344" t="s">
        <v>74</v>
      </c>
      <c r="F344" t="s">
        <v>6786</v>
      </c>
      <c r="G344" t="s">
        <v>74</v>
      </c>
      <c r="H344" t="s">
        <v>74</v>
      </c>
      <c r="I344" t="s">
        <v>6787</v>
      </c>
      <c r="J344" t="s">
        <v>1105</v>
      </c>
      <c r="K344" t="s">
        <v>74</v>
      </c>
      <c r="L344" t="s">
        <v>74</v>
      </c>
      <c r="M344" t="s">
        <v>78</v>
      </c>
      <c r="N344" t="s">
        <v>79</v>
      </c>
      <c r="O344" t="s">
        <v>74</v>
      </c>
      <c r="P344" t="s">
        <v>74</v>
      </c>
      <c r="Q344" t="s">
        <v>74</v>
      </c>
      <c r="R344" t="s">
        <v>74</v>
      </c>
      <c r="S344" t="s">
        <v>74</v>
      </c>
      <c r="T344" t="s">
        <v>74</v>
      </c>
      <c r="U344" t="s">
        <v>6788</v>
      </c>
      <c r="V344" t="s">
        <v>6789</v>
      </c>
      <c r="W344" t="s">
        <v>6790</v>
      </c>
      <c r="X344" t="s">
        <v>6791</v>
      </c>
      <c r="Y344" t="s">
        <v>6792</v>
      </c>
      <c r="Z344" t="s">
        <v>6793</v>
      </c>
      <c r="AA344" t="s">
        <v>6794</v>
      </c>
      <c r="AB344" t="s">
        <v>6795</v>
      </c>
      <c r="AC344" t="s">
        <v>6796</v>
      </c>
      <c r="AD344" t="s">
        <v>6797</v>
      </c>
      <c r="AE344" t="s">
        <v>6798</v>
      </c>
      <c r="AF344" t="s">
        <v>74</v>
      </c>
      <c r="AG344">
        <v>59</v>
      </c>
      <c r="AH344">
        <v>33</v>
      </c>
      <c r="AI344">
        <v>36</v>
      </c>
      <c r="AJ344">
        <v>2</v>
      </c>
      <c r="AK344">
        <v>31</v>
      </c>
      <c r="AL344" t="s">
        <v>1115</v>
      </c>
      <c r="AM344" t="s">
        <v>1116</v>
      </c>
      <c r="AN344" t="s">
        <v>1117</v>
      </c>
      <c r="AO344" t="s">
        <v>1118</v>
      </c>
      <c r="AP344" t="s">
        <v>1119</v>
      </c>
      <c r="AQ344" t="s">
        <v>74</v>
      </c>
      <c r="AR344" t="s">
        <v>1120</v>
      </c>
      <c r="AS344" t="s">
        <v>1121</v>
      </c>
      <c r="AT344" t="s">
        <v>4623</v>
      </c>
      <c r="AU344">
        <v>2017</v>
      </c>
      <c r="AV344">
        <v>47</v>
      </c>
      <c r="AW344">
        <v>5</v>
      </c>
      <c r="AX344" t="s">
        <v>74</v>
      </c>
      <c r="AY344" t="s">
        <v>74</v>
      </c>
      <c r="AZ344" t="s">
        <v>74</v>
      </c>
      <c r="BA344" t="s">
        <v>74</v>
      </c>
      <c r="BB344">
        <v>1151</v>
      </c>
      <c r="BC344">
        <v>1168</v>
      </c>
      <c r="BD344" t="s">
        <v>74</v>
      </c>
      <c r="BE344" t="s">
        <v>6799</v>
      </c>
      <c r="BF344" t="str">
        <f>HYPERLINK("http://dx.doi.org/10.1175/JPO-D-16-0222.1","http://dx.doi.org/10.1175/JPO-D-16-0222.1")</f>
        <v>http://dx.doi.org/10.1175/JPO-D-16-0222.1</v>
      </c>
      <c r="BG344" t="s">
        <v>74</v>
      </c>
      <c r="BH344" t="s">
        <v>74</v>
      </c>
      <c r="BI344">
        <v>18</v>
      </c>
      <c r="BJ344" t="s">
        <v>127</v>
      </c>
      <c r="BK344" t="s">
        <v>103</v>
      </c>
      <c r="BL344" t="s">
        <v>127</v>
      </c>
      <c r="BM344" t="s">
        <v>6800</v>
      </c>
      <c r="BN344" t="s">
        <v>74</v>
      </c>
      <c r="BO344" t="s">
        <v>1538</v>
      </c>
      <c r="BP344" t="s">
        <v>74</v>
      </c>
      <c r="BQ344" t="s">
        <v>74</v>
      </c>
      <c r="BR344" t="s">
        <v>106</v>
      </c>
      <c r="BS344" t="s">
        <v>6801</v>
      </c>
      <c r="BT344" t="str">
        <f>HYPERLINK("https%3A%2F%2Fwww.webofscience.com%2Fwos%2Fwoscc%2Ffull-record%2FWOS:000401462000012","View Full Record in Web of Science")</f>
        <v>View Full Record in Web of Science</v>
      </c>
    </row>
    <row r="345" spans="1:72" x14ac:dyDescent="0.15">
      <c r="A345" t="s">
        <v>72</v>
      </c>
      <c r="B345" t="s">
        <v>6802</v>
      </c>
      <c r="C345" t="s">
        <v>74</v>
      </c>
      <c r="D345" t="s">
        <v>74</v>
      </c>
      <c r="E345" t="s">
        <v>74</v>
      </c>
      <c r="F345" t="s">
        <v>6803</v>
      </c>
      <c r="G345" t="s">
        <v>74</v>
      </c>
      <c r="H345" t="s">
        <v>74</v>
      </c>
      <c r="I345" t="s">
        <v>6804</v>
      </c>
      <c r="J345" t="s">
        <v>6805</v>
      </c>
      <c r="K345" t="s">
        <v>74</v>
      </c>
      <c r="L345" t="s">
        <v>74</v>
      </c>
      <c r="M345" t="s">
        <v>78</v>
      </c>
      <c r="N345" t="s">
        <v>79</v>
      </c>
      <c r="O345" t="s">
        <v>74</v>
      </c>
      <c r="P345" t="s">
        <v>74</v>
      </c>
      <c r="Q345" t="s">
        <v>74</v>
      </c>
      <c r="R345" t="s">
        <v>74</v>
      </c>
      <c r="S345" t="s">
        <v>74</v>
      </c>
      <c r="T345" t="s">
        <v>74</v>
      </c>
      <c r="U345" t="s">
        <v>6806</v>
      </c>
      <c r="V345" t="s">
        <v>6807</v>
      </c>
      <c r="W345" t="s">
        <v>6808</v>
      </c>
      <c r="X345" t="s">
        <v>6809</v>
      </c>
      <c r="Y345" t="s">
        <v>6810</v>
      </c>
      <c r="Z345" t="s">
        <v>6811</v>
      </c>
      <c r="AA345" t="s">
        <v>6812</v>
      </c>
      <c r="AB345" t="s">
        <v>6813</v>
      </c>
      <c r="AC345" t="s">
        <v>6814</v>
      </c>
      <c r="AD345" t="s">
        <v>6815</v>
      </c>
      <c r="AE345" t="s">
        <v>6816</v>
      </c>
      <c r="AF345" t="s">
        <v>74</v>
      </c>
      <c r="AG345">
        <v>181</v>
      </c>
      <c r="AH345">
        <v>47</v>
      </c>
      <c r="AI345">
        <v>48</v>
      </c>
      <c r="AJ345">
        <v>0</v>
      </c>
      <c r="AK345">
        <v>5</v>
      </c>
      <c r="AL345" t="s">
        <v>6817</v>
      </c>
      <c r="AM345" t="s">
        <v>6818</v>
      </c>
      <c r="AN345" t="s">
        <v>6819</v>
      </c>
      <c r="AO345" t="s">
        <v>6820</v>
      </c>
      <c r="AP345" t="s">
        <v>6821</v>
      </c>
      <c r="AQ345" t="s">
        <v>74</v>
      </c>
      <c r="AR345" t="s">
        <v>6822</v>
      </c>
      <c r="AS345" t="s">
        <v>6823</v>
      </c>
      <c r="AT345" t="s">
        <v>4623</v>
      </c>
      <c r="AU345">
        <v>2017</v>
      </c>
      <c r="AV345">
        <v>174</v>
      </c>
      <c r="AW345">
        <v>3</v>
      </c>
      <c r="AX345" t="s">
        <v>74</v>
      </c>
      <c r="AY345" t="s">
        <v>74</v>
      </c>
      <c r="AZ345" t="s">
        <v>74</v>
      </c>
      <c r="BA345" t="s">
        <v>74</v>
      </c>
      <c r="BB345">
        <v>405</v>
      </c>
      <c r="BC345">
        <v>421</v>
      </c>
      <c r="BD345" t="s">
        <v>74</v>
      </c>
      <c r="BE345" t="s">
        <v>6824</v>
      </c>
      <c r="BF345" t="str">
        <f>HYPERLINK("http://dx.doi.org/10.1144/jgs2016-087","http://dx.doi.org/10.1144/jgs2016-087")</f>
        <v>http://dx.doi.org/10.1144/jgs2016-087</v>
      </c>
      <c r="BG345" t="s">
        <v>74</v>
      </c>
      <c r="BH345" t="s">
        <v>74</v>
      </c>
      <c r="BI345">
        <v>17</v>
      </c>
      <c r="BJ345" t="s">
        <v>437</v>
      </c>
      <c r="BK345" t="s">
        <v>103</v>
      </c>
      <c r="BL345" t="s">
        <v>438</v>
      </c>
      <c r="BM345" t="s">
        <v>6825</v>
      </c>
      <c r="BN345" t="s">
        <v>74</v>
      </c>
      <c r="BO345" t="s">
        <v>74</v>
      </c>
      <c r="BP345" t="s">
        <v>74</v>
      </c>
      <c r="BQ345" t="s">
        <v>74</v>
      </c>
      <c r="BR345" t="s">
        <v>106</v>
      </c>
      <c r="BS345" t="s">
        <v>6826</v>
      </c>
      <c r="BT345" t="str">
        <f>HYPERLINK("https%3A%2F%2Fwww.webofscience.com%2Fwos%2Fwoscc%2Ffull-record%2FWOS:000401014500003","View Full Record in Web of Science")</f>
        <v>View Full Record in Web of Science</v>
      </c>
    </row>
    <row r="346" spans="1:72" x14ac:dyDescent="0.15">
      <c r="A346" t="s">
        <v>72</v>
      </c>
      <c r="B346" t="s">
        <v>6827</v>
      </c>
      <c r="C346" t="s">
        <v>74</v>
      </c>
      <c r="D346" t="s">
        <v>74</v>
      </c>
      <c r="E346" t="s">
        <v>74</v>
      </c>
      <c r="F346" t="s">
        <v>6828</v>
      </c>
      <c r="G346" t="s">
        <v>74</v>
      </c>
      <c r="H346" t="s">
        <v>74</v>
      </c>
      <c r="I346" t="s">
        <v>6829</v>
      </c>
      <c r="J346" t="s">
        <v>6830</v>
      </c>
      <c r="K346" t="s">
        <v>74</v>
      </c>
      <c r="L346" t="s">
        <v>74</v>
      </c>
      <c r="M346" t="s">
        <v>78</v>
      </c>
      <c r="N346" t="s">
        <v>2082</v>
      </c>
      <c r="O346" t="s">
        <v>74</v>
      </c>
      <c r="P346" t="s">
        <v>74</v>
      </c>
      <c r="Q346" t="s">
        <v>74</v>
      </c>
      <c r="R346" t="s">
        <v>74</v>
      </c>
      <c r="S346" t="s">
        <v>74</v>
      </c>
      <c r="T346" t="s">
        <v>74</v>
      </c>
      <c r="U346" t="s">
        <v>6831</v>
      </c>
      <c r="V346" t="s">
        <v>74</v>
      </c>
      <c r="W346" t="s">
        <v>6832</v>
      </c>
      <c r="X346" t="s">
        <v>6833</v>
      </c>
      <c r="Y346" t="s">
        <v>6834</v>
      </c>
      <c r="Z346" t="s">
        <v>6835</v>
      </c>
      <c r="AA346" t="s">
        <v>6836</v>
      </c>
      <c r="AB346" t="s">
        <v>6837</v>
      </c>
      <c r="AC346" t="s">
        <v>6838</v>
      </c>
      <c r="AD346" t="s">
        <v>6839</v>
      </c>
      <c r="AE346" t="s">
        <v>6840</v>
      </c>
      <c r="AF346" t="s">
        <v>74</v>
      </c>
      <c r="AG346">
        <v>18</v>
      </c>
      <c r="AH346">
        <v>2</v>
      </c>
      <c r="AI346">
        <v>3</v>
      </c>
      <c r="AJ346">
        <v>0</v>
      </c>
      <c r="AK346">
        <v>2</v>
      </c>
      <c r="AL346" t="s">
        <v>6841</v>
      </c>
      <c r="AM346" t="s">
        <v>6842</v>
      </c>
      <c r="AN346" t="s">
        <v>6843</v>
      </c>
      <c r="AO346" t="s">
        <v>6844</v>
      </c>
      <c r="AP346" t="s">
        <v>6845</v>
      </c>
      <c r="AQ346" t="s">
        <v>74</v>
      </c>
      <c r="AR346" t="s">
        <v>6846</v>
      </c>
      <c r="AS346" t="s">
        <v>6847</v>
      </c>
      <c r="AT346" t="s">
        <v>4623</v>
      </c>
      <c r="AU346">
        <v>2017</v>
      </c>
      <c r="AV346">
        <v>9</v>
      </c>
      <c r="AW346">
        <v>5</v>
      </c>
      <c r="AX346" t="s">
        <v>74</v>
      </c>
      <c r="AY346" t="s">
        <v>74</v>
      </c>
      <c r="AZ346" t="s">
        <v>74</v>
      </c>
      <c r="BA346" t="s">
        <v>74</v>
      </c>
      <c r="BB346" t="s">
        <v>6848</v>
      </c>
      <c r="BC346" t="s">
        <v>6849</v>
      </c>
      <c r="BD346" t="s">
        <v>74</v>
      </c>
      <c r="BE346" t="s">
        <v>6850</v>
      </c>
      <c r="BF346" t="str">
        <f>HYPERLINK("http://dx.doi.org/10.21037/jtd.2017.04.46","http://dx.doi.org/10.21037/jtd.2017.04.46")</f>
        <v>http://dx.doi.org/10.21037/jtd.2017.04.46</v>
      </c>
      <c r="BG346" t="s">
        <v>74</v>
      </c>
      <c r="BH346" t="s">
        <v>74</v>
      </c>
      <c r="BI346">
        <v>4</v>
      </c>
      <c r="BJ346" t="s">
        <v>6851</v>
      </c>
      <c r="BK346" t="s">
        <v>103</v>
      </c>
      <c r="BL346" t="s">
        <v>6851</v>
      </c>
      <c r="BM346" t="s">
        <v>6852</v>
      </c>
      <c r="BN346">
        <v>28616304</v>
      </c>
      <c r="BO346" t="s">
        <v>231</v>
      </c>
      <c r="BP346" t="s">
        <v>74</v>
      </c>
      <c r="BQ346" t="s">
        <v>74</v>
      </c>
      <c r="BR346" t="s">
        <v>106</v>
      </c>
      <c r="BS346" t="s">
        <v>6853</v>
      </c>
      <c r="BT346" t="str">
        <f>HYPERLINK("https%3A%2F%2Fwww.webofscience.com%2Fwos%2Fwoscc%2Ffull-record%2FWOS:000404639800043","View Full Record in Web of Science")</f>
        <v>View Full Record in Web of Science</v>
      </c>
    </row>
    <row r="347" spans="1:72" x14ac:dyDescent="0.15">
      <c r="A347" t="s">
        <v>72</v>
      </c>
      <c r="B347" t="s">
        <v>6854</v>
      </c>
      <c r="C347" t="s">
        <v>74</v>
      </c>
      <c r="D347" t="s">
        <v>74</v>
      </c>
      <c r="E347" t="s">
        <v>74</v>
      </c>
      <c r="F347" t="s">
        <v>6855</v>
      </c>
      <c r="G347" t="s">
        <v>74</v>
      </c>
      <c r="H347" t="s">
        <v>74</v>
      </c>
      <c r="I347" t="s">
        <v>6856</v>
      </c>
      <c r="J347" t="s">
        <v>718</v>
      </c>
      <c r="K347" t="s">
        <v>74</v>
      </c>
      <c r="L347" t="s">
        <v>74</v>
      </c>
      <c r="M347" t="s">
        <v>78</v>
      </c>
      <c r="N347" t="s">
        <v>79</v>
      </c>
      <c r="O347" t="s">
        <v>74</v>
      </c>
      <c r="P347" t="s">
        <v>74</v>
      </c>
      <c r="Q347" t="s">
        <v>74</v>
      </c>
      <c r="R347" t="s">
        <v>74</v>
      </c>
      <c r="S347" t="s">
        <v>74</v>
      </c>
      <c r="T347" t="s">
        <v>74</v>
      </c>
      <c r="U347" t="s">
        <v>6857</v>
      </c>
      <c r="V347" t="s">
        <v>6858</v>
      </c>
      <c r="W347" t="s">
        <v>6859</v>
      </c>
      <c r="X347" t="s">
        <v>6860</v>
      </c>
      <c r="Y347" t="s">
        <v>6861</v>
      </c>
      <c r="Z347" t="s">
        <v>6862</v>
      </c>
      <c r="AA347" t="s">
        <v>6863</v>
      </c>
      <c r="AB347" t="s">
        <v>6864</v>
      </c>
      <c r="AC347" t="s">
        <v>6865</v>
      </c>
      <c r="AD347" t="s">
        <v>6866</v>
      </c>
      <c r="AE347" t="s">
        <v>6867</v>
      </c>
      <c r="AF347" t="s">
        <v>74</v>
      </c>
      <c r="AG347">
        <v>68</v>
      </c>
      <c r="AH347">
        <v>30</v>
      </c>
      <c r="AI347">
        <v>33</v>
      </c>
      <c r="AJ347">
        <v>1</v>
      </c>
      <c r="AK347">
        <v>38</v>
      </c>
      <c r="AL347" t="s">
        <v>729</v>
      </c>
      <c r="AM347" t="s">
        <v>730</v>
      </c>
      <c r="AN347" t="s">
        <v>731</v>
      </c>
      <c r="AO347" t="s">
        <v>732</v>
      </c>
      <c r="AP347" t="s">
        <v>733</v>
      </c>
      <c r="AQ347" t="s">
        <v>74</v>
      </c>
      <c r="AR347" t="s">
        <v>734</v>
      </c>
      <c r="AS347" t="s">
        <v>735</v>
      </c>
      <c r="AT347" t="s">
        <v>4623</v>
      </c>
      <c r="AU347">
        <v>2017</v>
      </c>
      <c r="AV347">
        <v>164</v>
      </c>
      <c r="AW347">
        <v>5</v>
      </c>
      <c r="AX347" t="s">
        <v>74</v>
      </c>
      <c r="AY347" t="s">
        <v>74</v>
      </c>
      <c r="AZ347" t="s">
        <v>74</v>
      </c>
      <c r="BA347" t="s">
        <v>74</v>
      </c>
      <c r="BB347" t="s">
        <v>74</v>
      </c>
      <c r="BC347" t="s">
        <v>74</v>
      </c>
      <c r="BD347">
        <v>115</v>
      </c>
      <c r="BE347" t="s">
        <v>6868</v>
      </c>
      <c r="BF347" t="str">
        <f>HYPERLINK("http://dx.doi.org/10.1007/s00227-017-3142-9","http://dx.doi.org/10.1007/s00227-017-3142-9")</f>
        <v>http://dx.doi.org/10.1007/s00227-017-3142-9</v>
      </c>
      <c r="BG347" t="s">
        <v>74</v>
      </c>
      <c r="BH347" t="s">
        <v>74</v>
      </c>
      <c r="BI347">
        <v>13</v>
      </c>
      <c r="BJ347" t="s">
        <v>737</v>
      </c>
      <c r="BK347" t="s">
        <v>103</v>
      </c>
      <c r="BL347" t="s">
        <v>737</v>
      </c>
      <c r="BM347" t="s">
        <v>5206</v>
      </c>
      <c r="BN347" t="s">
        <v>74</v>
      </c>
      <c r="BO347" t="s">
        <v>74</v>
      </c>
      <c r="BP347" t="s">
        <v>74</v>
      </c>
      <c r="BQ347" t="s">
        <v>74</v>
      </c>
      <c r="BR347" t="s">
        <v>106</v>
      </c>
      <c r="BS347" t="s">
        <v>6869</v>
      </c>
      <c r="BT347" t="str">
        <f>HYPERLINK("https%3A%2F%2Fwww.webofscience.com%2Fwos%2Fwoscc%2Ffull-record%2FWOS:000403083700007","View Full Record in Web of Science")</f>
        <v>View Full Record in Web of Science</v>
      </c>
    </row>
    <row r="348" spans="1:72" x14ac:dyDescent="0.15">
      <c r="A348" t="s">
        <v>72</v>
      </c>
      <c r="B348" t="s">
        <v>6870</v>
      </c>
      <c r="C348" t="s">
        <v>74</v>
      </c>
      <c r="D348" t="s">
        <v>74</v>
      </c>
      <c r="E348" t="s">
        <v>74</v>
      </c>
      <c r="F348" t="s">
        <v>6871</v>
      </c>
      <c r="G348" t="s">
        <v>74</v>
      </c>
      <c r="H348" t="s">
        <v>74</v>
      </c>
      <c r="I348" t="s">
        <v>6872</v>
      </c>
      <c r="J348" t="s">
        <v>718</v>
      </c>
      <c r="K348" t="s">
        <v>74</v>
      </c>
      <c r="L348" t="s">
        <v>74</v>
      </c>
      <c r="M348" t="s">
        <v>78</v>
      </c>
      <c r="N348" t="s">
        <v>79</v>
      </c>
      <c r="O348" t="s">
        <v>74</v>
      </c>
      <c r="P348" t="s">
        <v>74</v>
      </c>
      <c r="Q348" t="s">
        <v>74</v>
      </c>
      <c r="R348" t="s">
        <v>74</v>
      </c>
      <c r="S348" t="s">
        <v>74</v>
      </c>
      <c r="T348" t="s">
        <v>74</v>
      </c>
      <c r="U348" t="s">
        <v>6873</v>
      </c>
      <c r="V348" t="s">
        <v>6874</v>
      </c>
      <c r="W348" t="s">
        <v>6875</v>
      </c>
      <c r="X348" t="s">
        <v>6876</v>
      </c>
      <c r="Y348" t="s">
        <v>6877</v>
      </c>
      <c r="Z348" t="s">
        <v>6878</v>
      </c>
      <c r="AA348" t="s">
        <v>6879</v>
      </c>
      <c r="AB348" t="s">
        <v>6880</v>
      </c>
      <c r="AC348" t="s">
        <v>6881</v>
      </c>
      <c r="AD348" t="s">
        <v>6882</v>
      </c>
      <c r="AE348" t="s">
        <v>6883</v>
      </c>
      <c r="AF348" t="s">
        <v>74</v>
      </c>
      <c r="AG348">
        <v>62</v>
      </c>
      <c r="AH348">
        <v>14</v>
      </c>
      <c r="AI348">
        <v>16</v>
      </c>
      <c r="AJ348">
        <v>0</v>
      </c>
      <c r="AK348">
        <v>25</v>
      </c>
      <c r="AL348" t="s">
        <v>729</v>
      </c>
      <c r="AM348" t="s">
        <v>730</v>
      </c>
      <c r="AN348" t="s">
        <v>731</v>
      </c>
      <c r="AO348" t="s">
        <v>732</v>
      </c>
      <c r="AP348" t="s">
        <v>733</v>
      </c>
      <c r="AQ348" t="s">
        <v>74</v>
      </c>
      <c r="AR348" t="s">
        <v>734</v>
      </c>
      <c r="AS348" t="s">
        <v>735</v>
      </c>
      <c r="AT348" t="s">
        <v>4623</v>
      </c>
      <c r="AU348">
        <v>2017</v>
      </c>
      <c r="AV348">
        <v>164</v>
      </c>
      <c r="AW348">
        <v>5</v>
      </c>
      <c r="AX348" t="s">
        <v>74</v>
      </c>
      <c r="AY348" t="s">
        <v>74</v>
      </c>
      <c r="AZ348" t="s">
        <v>74</v>
      </c>
      <c r="BA348" t="s">
        <v>74</v>
      </c>
      <c r="BB348" t="s">
        <v>74</v>
      </c>
      <c r="BC348" t="s">
        <v>74</v>
      </c>
      <c r="BD348">
        <v>113</v>
      </c>
      <c r="BE348" t="s">
        <v>6884</v>
      </c>
      <c r="BF348" t="str">
        <f>HYPERLINK("http://dx.doi.org/10.1007/s00227-017-3140-y","http://dx.doi.org/10.1007/s00227-017-3140-y")</f>
        <v>http://dx.doi.org/10.1007/s00227-017-3140-y</v>
      </c>
      <c r="BG348" t="s">
        <v>74</v>
      </c>
      <c r="BH348" t="s">
        <v>74</v>
      </c>
      <c r="BI348">
        <v>9</v>
      </c>
      <c r="BJ348" t="s">
        <v>737</v>
      </c>
      <c r="BK348" t="s">
        <v>103</v>
      </c>
      <c r="BL348" t="s">
        <v>737</v>
      </c>
      <c r="BM348" t="s">
        <v>5206</v>
      </c>
      <c r="BN348" t="s">
        <v>74</v>
      </c>
      <c r="BO348" t="s">
        <v>74</v>
      </c>
      <c r="BP348" t="s">
        <v>74</v>
      </c>
      <c r="BQ348" t="s">
        <v>74</v>
      </c>
      <c r="BR348" t="s">
        <v>106</v>
      </c>
      <c r="BS348" t="s">
        <v>6885</v>
      </c>
      <c r="BT348" t="str">
        <f>HYPERLINK("https%3A%2F%2Fwww.webofscience.com%2Fwos%2Fwoscc%2Ffull-record%2FWOS:000403083700005","View Full Record in Web of Science")</f>
        <v>View Full Record in Web of Science</v>
      </c>
    </row>
    <row r="349" spans="1:72" x14ac:dyDescent="0.15">
      <c r="A349" t="s">
        <v>72</v>
      </c>
      <c r="B349" t="s">
        <v>6886</v>
      </c>
      <c r="C349" t="s">
        <v>74</v>
      </c>
      <c r="D349" t="s">
        <v>74</v>
      </c>
      <c r="E349" t="s">
        <v>74</v>
      </c>
      <c r="F349" t="s">
        <v>6887</v>
      </c>
      <c r="G349" t="s">
        <v>74</v>
      </c>
      <c r="H349" t="s">
        <v>74</v>
      </c>
      <c r="I349" t="s">
        <v>6888</v>
      </c>
      <c r="J349" t="s">
        <v>1625</v>
      </c>
      <c r="K349" t="s">
        <v>74</v>
      </c>
      <c r="L349" t="s">
        <v>74</v>
      </c>
      <c r="M349" t="s">
        <v>78</v>
      </c>
      <c r="N349" t="s">
        <v>79</v>
      </c>
      <c r="O349" t="s">
        <v>74</v>
      </c>
      <c r="P349" t="s">
        <v>74</v>
      </c>
      <c r="Q349" t="s">
        <v>74</v>
      </c>
      <c r="R349" t="s">
        <v>74</v>
      </c>
      <c r="S349" t="s">
        <v>74</v>
      </c>
      <c r="T349" t="s">
        <v>6889</v>
      </c>
      <c r="U349" t="s">
        <v>6890</v>
      </c>
      <c r="V349" t="s">
        <v>6891</v>
      </c>
      <c r="W349" t="s">
        <v>6892</v>
      </c>
      <c r="X349" t="s">
        <v>6893</v>
      </c>
      <c r="Y349" t="s">
        <v>6894</v>
      </c>
      <c r="Z349" t="s">
        <v>6895</v>
      </c>
      <c r="AA349" t="s">
        <v>6896</v>
      </c>
      <c r="AB349" t="s">
        <v>6897</v>
      </c>
      <c r="AC349" t="s">
        <v>6898</v>
      </c>
      <c r="AD349" t="s">
        <v>6899</v>
      </c>
      <c r="AE349" t="s">
        <v>6900</v>
      </c>
      <c r="AF349" t="s">
        <v>74</v>
      </c>
      <c r="AG349">
        <v>64</v>
      </c>
      <c r="AH349">
        <v>18</v>
      </c>
      <c r="AI349">
        <v>21</v>
      </c>
      <c r="AJ349">
        <v>1</v>
      </c>
      <c r="AK349">
        <v>21</v>
      </c>
      <c r="AL349" t="s">
        <v>374</v>
      </c>
      <c r="AM349" t="s">
        <v>93</v>
      </c>
      <c r="AN349" t="s">
        <v>375</v>
      </c>
      <c r="AO349" t="s">
        <v>1638</v>
      </c>
      <c r="AP349" t="s">
        <v>1639</v>
      </c>
      <c r="AQ349" t="s">
        <v>74</v>
      </c>
      <c r="AR349" t="s">
        <v>1640</v>
      </c>
      <c r="AS349" t="s">
        <v>1641</v>
      </c>
      <c r="AT349" t="s">
        <v>4623</v>
      </c>
      <c r="AU349">
        <v>2017</v>
      </c>
      <c r="AV349">
        <v>126</v>
      </c>
      <c r="AW349" t="s">
        <v>74</v>
      </c>
      <c r="AX349" t="s">
        <v>74</v>
      </c>
      <c r="AY349" t="s">
        <v>74</v>
      </c>
      <c r="AZ349" t="s">
        <v>74</v>
      </c>
      <c r="BA349" t="s">
        <v>74</v>
      </c>
      <c r="BB349">
        <v>81</v>
      </c>
      <c r="BC349">
        <v>94</v>
      </c>
      <c r="BD349" t="s">
        <v>74</v>
      </c>
      <c r="BE349" t="s">
        <v>6901</v>
      </c>
      <c r="BF349" t="str">
        <f>HYPERLINK("http://dx.doi.org/10.1016/j.marenvres.2017.02.005","http://dx.doi.org/10.1016/j.marenvres.2017.02.005")</f>
        <v>http://dx.doi.org/10.1016/j.marenvres.2017.02.005</v>
      </c>
      <c r="BG349" t="s">
        <v>74</v>
      </c>
      <c r="BH349" t="s">
        <v>74</v>
      </c>
      <c r="BI349">
        <v>14</v>
      </c>
      <c r="BJ349" t="s">
        <v>1643</v>
      </c>
      <c r="BK349" t="s">
        <v>103</v>
      </c>
      <c r="BL349" t="s">
        <v>1644</v>
      </c>
      <c r="BM349" t="s">
        <v>6902</v>
      </c>
      <c r="BN349">
        <v>28258012</v>
      </c>
      <c r="BO349" t="s">
        <v>1100</v>
      </c>
      <c r="BP349" t="s">
        <v>74</v>
      </c>
      <c r="BQ349" t="s">
        <v>74</v>
      </c>
      <c r="BR349" t="s">
        <v>106</v>
      </c>
      <c r="BS349" t="s">
        <v>6903</v>
      </c>
      <c r="BT349" t="str">
        <f>HYPERLINK("https%3A%2F%2Fwww.webofscience.com%2Fwos%2Fwoscc%2Ffull-record%2FWOS:000400226400007","View Full Record in Web of Science")</f>
        <v>View Full Record in Web of Science</v>
      </c>
    </row>
    <row r="350" spans="1:72" x14ac:dyDescent="0.15">
      <c r="A350" t="s">
        <v>72</v>
      </c>
      <c r="B350" t="s">
        <v>6904</v>
      </c>
      <c r="C350" t="s">
        <v>74</v>
      </c>
      <c r="D350" t="s">
        <v>74</v>
      </c>
      <c r="E350" t="s">
        <v>74</v>
      </c>
      <c r="F350" t="s">
        <v>6905</v>
      </c>
      <c r="G350" t="s">
        <v>74</v>
      </c>
      <c r="H350" t="s">
        <v>74</v>
      </c>
      <c r="I350" t="s">
        <v>6906</v>
      </c>
      <c r="J350" t="s">
        <v>4631</v>
      </c>
      <c r="K350" t="s">
        <v>74</v>
      </c>
      <c r="L350" t="s">
        <v>74</v>
      </c>
      <c r="M350" t="s">
        <v>78</v>
      </c>
      <c r="N350" t="s">
        <v>79</v>
      </c>
      <c r="O350" t="s">
        <v>74</v>
      </c>
      <c r="P350" t="s">
        <v>74</v>
      </c>
      <c r="Q350" t="s">
        <v>74</v>
      </c>
      <c r="R350" t="s">
        <v>74</v>
      </c>
      <c r="S350" t="s">
        <v>74</v>
      </c>
      <c r="T350" t="s">
        <v>6907</v>
      </c>
      <c r="U350" t="s">
        <v>6908</v>
      </c>
      <c r="V350" t="s">
        <v>6909</v>
      </c>
      <c r="W350" t="s">
        <v>6910</v>
      </c>
      <c r="X350" t="s">
        <v>6911</v>
      </c>
      <c r="Y350" t="s">
        <v>6912</v>
      </c>
      <c r="Z350" t="s">
        <v>6913</v>
      </c>
      <c r="AA350" t="s">
        <v>6914</v>
      </c>
      <c r="AB350" t="s">
        <v>6915</v>
      </c>
      <c r="AC350" t="s">
        <v>6916</v>
      </c>
      <c r="AD350" t="s">
        <v>6917</v>
      </c>
      <c r="AE350" t="s">
        <v>6918</v>
      </c>
      <c r="AF350" t="s">
        <v>74</v>
      </c>
      <c r="AG350">
        <v>78</v>
      </c>
      <c r="AH350">
        <v>8</v>
      </c>
      <c r="AI350">
        <v>8</v>
      </c>
      <c r="AJ350">
        <v>6</v>
      </c>
      <c r="AK350">
        <v>47</v>
      </c>
      <c r="AL350" t="s">
        <v>1141</v>
      </c>
      <c r="AM350" t="s">
        <v>318</v>
      </c>
      <c r="AN350" t="s">
        <v>1142</v>
      </c>
      <c r="AO350" t="s">
        <v>4640</v>
      </c>
      <c r="AP350" t="s">
        <v>4641</v>
      </c>
      <c r="AQ350" t="s">
        <v>74</v>
      </c>
      <c r="AR350" t="s">
        <v>4642</v>
      </c>
      <c r="AS350" t="s">
        <v>4643</v>
      </c>
      <c r="AT350" t="s">
        <v>4623</v>
      </c>
      <c r="AU350">
        <v>2017</v>
      </c>
      <c r="AV350">
        <v>133</v>
      </c>
      <c r="AW350" t="s">
        <v>74</v>
      </c>
      <c r="AX350" t="s">
        <v>74</v>
      </c>
      <c r="AY350" t="s">
        <v>74</v>
      </c>
      <c r="AZ350" t="s">
        <v>74</v>
      </c>
      <c r="BA350" t="s">
        <v>74</v>
      </c>
      <c r="BB350">
        <v>28</v>
      </c>
      <c r="BC350">
        <v>39</v>
      </c>
      <c r="BD350" t="s">
        <v>74</v>
      </c>
      <c r="BE350" t="s">
        <v>6919</v>
      </c>
      <c r="BF350" t="str">
        <f>HYPERLINK("http://dx.doi.org/10.1016/j.marmicro.2017.05.002","http://dx.doi.org/10.1016/j.marmicro.2017.05.002")</f>
        <v>http://dx.doi.org/10.1016/j.marmicro.2017.05.002</v>
      </c>
      <c r="BG350" t="s">
        <v>74</v>
      </c>
      <c r="BH350" t="s">
        <v>74</v>
      </c>
      <c r="BI350">
        <v>12</v>
      </c>
      <c r="BJ350" t="s">
        <v>2461</v>
      </c>
      <c r="BK350" t="s">
        <v>103</v>
      </c>
      <c r="BL350" t="s">
        <v>2461</v>
      </c>
      <c r="BM350" t="s">
        <v>4645</v>
      </c>
      <c r="BN350" t="s">
        <v>74</v>
      </c>
      <c r="BO350" t="s">
        <v>74</v>
      </c>
      <c r="BP350" t="s">
        <v>74</v>
      </c>
      <c r="BQ350" t="s">
        <v>74</v>
      </c>
      <c r="BR350" t="s">
        <v>106</v>
      </c>
      <c r="BS350" t="s">
        <v>6920</v>
      </c>
      <c r="BT350" t="str">
        <f>HYPERLINK("https%3A%2F%2Fwww.webofscience.com%2Fwos%2Fwoscc%2Ffull-record%2FWOS:000409152700003","View Full Record in Web of Science")</f>
        <v>View Full Record in Web of Science</v>
      </c>
    </row>
    <row r="351" spans="1:72" x14ac:dyDescent="0.15">
      <c r="A351" t="s">
        <v>72</v>
      </c>
      <c r="B351" t="s">
        <v>6921</v>
      </c>
      <c r="C351" t="s">
        <v>74</v>
      </c>
      <c r="D351" t="s">
        <v>74</v>
      </c>
      <c r="E351" t="s">
        <v>74</v>
      </c>
      <c r="F351" t="s">
        <v>6922</v>
      </c>
      <c r="G351" t="s">
        <v>74</v>
      </c>
      <c r="H351" t="s">
        <v>74</v>
      </c>
      <c r="I351" t="s">
        <v>6923</v>
      </c>
      <c r="J351" t="s">
        <v>6924</v>
      </c>
      <c r="K351" t="s">
        <v>74</v>
      </c>
      <c r="L351" t="s">
        <v>74</v>
      </c>
      <c r="M351" t="s">
        <v>78</v>
      </c>
      <c r="N351" t="s">
        <v>79</v>
      </c>
      <c r="O351" t="s">
        <v>74</v>
      </c>
      <c r="P351" t="s">
        <v>74</v>
      </c>
      <c r="Q351" t="s">
        <v>74</v>
      </c>
      <c r="R351" t="s">
        <v>74</v>
      </c>
      <c r="S351" t="s">
        <v>74</v>
      </c>
      <c r="T351" t="s">
        <v>6925</v>
      </c>
      <c r="U351" t="s">
        <v>6926</v>
      </c>
      <c r="V351" t="s">
        <v>6927</v>
      </c>
      <c r="W351" t="s">
        <v>6928</v>
      </c>
      <c r="X351" t="s">
        <v>6929</v>
      </c>
      <c r="Y351" t="s">
        <v>6930</v>
      </c>
      <c r="Z351" t="s">
        <v>6931</v>
      </c>
      <c r="AA351" t="s">
        <v>6932</v>
      </c>
      <c r="AB351" t="s">
        <v>6933</v>
      </c>
      <c r="AC351" t="s">
        <v>6934</v>
      </c>
      <c r="AD351" t="s">
        <v>287</v>
      </c>
      <c r="AE351" t="s">
        <v>6935</v>
      </c>
      <c r="AF351" t="s">
        <v>74</v>
      </c>
      <c r="AG351">
        <v>51</v>
      </c>
      <c r="AH351">
        <v>61</v>
      </c>
      <c r="AI351">
        <v>67</v>
      </c>
      <c r="AJ351">
        <v>4</v>
      </c>
      <c r="AK351">
        <v>168</v>
      </c>
      <c r="AL351" t="s">
        <v>681</v>
      </c>
      <c r="AM351" t="s">
        <v>682</v>
      </c>
      <c r="AN351" t="s">
        <v>683</v>
      </c>
      <c r="AO351" t="s">
        <v>6936</v>
      </c>
      <c r="AP351" t="s">
        <v>6937</v>
      </c>
      <c r="AQ351" t="s">
        <v>74</v>
      </c>
      <c r="AR351" t="s">
        <v>6938</v>
      </c>
      <c r="AS351" t="s">
        <v>6939</v>
      </c>
      <c r="AT351" t="s">
        <v>4623</v>
      </c>
      <c r="AU351">
        <v>2017</v>
      </c>
      <c r="AV351">
        <v>26</v>
      </c>
      <c r="AW351">
        <v>10</v>
      </c>
      <c r="AX351" t="s">
        <v>74</v>
      </c>
      <c r="AY351" t="s">
        <v>74</v>
      </c>
      <c r="AZ351" t="s">
        <v>74</v>
      </c>
      <c r="BA351" t="s">
        <v>74</v>
      </c>
      <c r="BB351">
        <v>2726</v>
      </c>
      <c r="BC351">
        <v>2737</v>
      </c>
      <c r="BD351" t="s">
        <v>74</v>
      </c>
      <c r="BE351" t="s">
        <v>6940</v>
      </c>
      <c r="BF351" t="str">
        <f>HYPERLINK("http://dx.doi.org/10.1111/mec.14067","http://dx.doi.org/10.1111/mec.14067")</f>
        <v>http://dx.doi.org/10.1111/mec.14067</v>
      </c>
      <c r="BG351" t="s">
        <v>74</v>
      </c>
      <c r="BH351" t="s">
        <v>74</v>
      </c>
      <c r="BI351">
        <v>12</v>
      </c>
      <c r="BJ351" t="s">
        <v>6941</v>
      </c>
      <c r="BK351" t="s">
        <v>103</v>
      </c>
      <c r="BL351" t="s">
        <v>6942</v>
      </c>
      <c r="BM351" t="s">
        <v>6943</v>
      </c>
      <c r="BN351">
        <v>28214356</v>
      </c>
      <c r="BO351" t="s">
        <v>74</v>
      </c>
      <c r="BP351" t="s">
        <v>74</v>
      </c>
      <c r="BQ351" t="s">
        <v>74</v>
      </c>
      <c r="BR351" t="s">
        <v>106</v>
      </c>
      <c r="BS351" t="s">
        <v>6944</v>
      </c>
      <c r="BT351" t="str">
        <f>HYPERLINK("https%3A%2F%2Fwww.webofscience.com%2Fwos%2Fwoscc%2Ffull-record%2FWOS:000400994400011","View Full Record in Web of Science")</f>
        <v>View Full Record in Web of Science</v>
      </c>
    </row>
    <row r="352" spans="1:72" x14ac:dyDescent="0.15">
      <c r="A352" t="s">
        <v>72</v>
      </c>
      <c r="B352" t="s">
        <v>6945</v>
      </c>
      <c r="C352" t="s">
        <v>74</v>
      </c>
      <c r="D352" t="s">
        <v>74</v>
      </c>
      <c r="E352" t="s">
        <v>74</v>
      </c>
      <c r="F352" t="s">
        <v>6946</v>
      </c>
      <c r="G352" t="s">
        <v>74</v>
      </c>
      <c r="H352" t="s">
        <v>74</v>
      </c>
      <c r="I352" t="s">
        <v>6947</v>
      </c>
      <c r="J352" t="s">
        <v>6948</v>
      </c>
      <c r="K352" t="s">
        <v>74</v>
      </c>
      <c r="L352" t="s">
        <v>74</v>
      </c>
      <c r="M352" t="s">
        <v>78</v>
      </c>
      <c r="N352" t="s">
        <v>79</v>
      </c>
      <c r="O352" t="s">
        <v>74</v>
      </c>
      <c r="P352" t="s">
        <v>74</v>
      </c>
      <c r="Q352" t="s">
        <v>74</v>
      </c>
      <c r="R352" t="s">
        <v>74</v>
      </c>
      <c r="S352" t="s">
        <v>74</v>
      </c>
      <c r="T352" t="s">
        <v>74</v>
      </c>
      <c r="U352" t="s">
        <v>6949</v>
      </c>
      <c r="V352" t="s">
        <v>6950</v>
      </c>
      <c r="W352" t="s">
        <v>6951</v>
      </c>
      <c r="X352" t="s">
        <v>6952</v>
      </c>
      <c r="Y352" t="s">
        <v>6953</v>
      </c>
      <c r="Z352" t="s">
        <v>6954</v>
      </c>
      <c r="AA352" t="s">
        <v>6955</v>
      </c>
      <c r="AB352" t="s">
        <v>6956</v>
      </c>
      <c r="AC352" t="s">
        <v>6957</v>
      </c>
      <c r="AD352" t="s">
        <v>6958</v>
      </c>
      <c r="AE352" t="s">
        <v>6959</v>
      </c>
      <c r="AF352" t="s">
        <v>74</v>
      </c>
      <c r="AG352">
        <v>43</v>
      </c>
      <c r="AH352">
        <v>64</v>
      </c>
      <c r="AI352">
        <v>72</v>
      </c>
      <c r="AJ352">
        <v>12</v>
      </c>
      <c r="AK352">
        <v>111</v>
      </c>
      <c r="AL352" t="s">
        <v>3671</v>
      </c>
      <c r="AM352" t="s">
        <v>3672</v>
      </c>
      <c r="AN352" t="s">
        <v>3673</v>
      </c>
      <c r="AO352" t="s">
        <v>6960</v>
      </c>
      <c r="AP352" t="s">
        <v>6961</v>
      </c>
      <c r="AQ352" t="s">
        <v>74</v>
      </c>
      <c r="AR352" t="s">
        <v>6962</v>
      </c>
      <c r="AS352" t="s">
        <v>6963</v>
      </c>
      <c r="AT352" t="s">
        <v>4623</v>
      </c>
      <c r="AU352">
        <v>2017</v>
      </c>
      <c r="AV352">
        <v>10</v>
      </c>
      <c r="AW352">
        <v>5</v>
      </c>
      <c r="AX352" t="s">
        <v>74</v>
      </c>
      <c r="AY352" t="s">
        <v>74</v>
      </c>
      <c r="AZ352" t="s">
        <v>74</v>
      </c>
      <c r="BA352" t="s">
        <v>74</v>
      </c>
      <c r="BB352">
        <v>356</v>
      </c>
      <c r="BC352" t="s">
        <v>1485</v>
      </c>
      <c r="BD352" t="s">
        <v>74</v>
      </c>
      <c r="BE352" t="s">
        <v>6964</v>
      </c>
      <c r="BF352" t="str">
        <f>HYPERLINK("http://dx.doi.org/10.1038/NGEO2925","http://dx.doi.org/10.1038/NGEO2925")</f>
        <v>http://dx.doi.org/10.1038/NGEO2925</v>
      </c>
      <c r="BG352" t="s">
        <v>74</v>
      </c>
      <c r="BH352" t="s">
        <v>74</v>
      </c>
      <c r="BI352">
        <v>6</v>
      </c>
      <c r="BJ352" t="s">
        <v>437</v>
      </c>
      <c r="BK352" t="s">
        <v>103</v>
      </c>
      <c r="BL352" t="s">
        <v>438</v>
      </c>
      <c r="BM352" t="s">
        <v>6965</v>
      </c>
      <c r="BN352" t="s">
        <v>74</v>
      </c>
      <c r="BO352" t="s">
        <v>1538</v>
      </c>
      <c r="BP352" t="s">
        <v>74</v>
      </c>
      <c r="BQ352" t="s">
        <v>74</v>
      </c>
      <c r="BR352" t="s">
        <v>106</v>
      </c>
      <c r="BS352" t="s">
        <v>6966</v>
      </c>
      <c r="BT352" t="str">
        <f>HYPERLINK("https%3A%2F%2Fwww.webofscience.com%2Fwos%2Fwoscc%2Ffull-record%2FWOS:000400407000012","View Full Record in Web of Science")</f>
        <v>View Full Record in Web of Science</v>
      </c>
    </row>
    <row r="353" spans="1:72" x14ac:dyDescent="0.15">
      <c r="A353" t="s">
        <v>72</v>
      </c>
      <c r="B353" t="s">
        <v>6967</v>
      </c>
      <c r="C353" t="s">
        <v>74</v>
      </c>
      <c r="D353" t="s">
        <v>74</v>
      </c>
      <c r="E353" t="s">
        <v>74</v>
      </c>
      <c r="F353" t="s">
        <v>6968</v>
      </c>
      <c r="G353" t="s">
        <v>74</v>
      </c>
      <c r="H353" t="s">
        <v>74</v>
      </c>
      <c r="I353" t="s">
        <v>6969</v>
      </c>
      <c r="J353" t="s">
        <v>5815</v>
      </c>
      <c r="K353" t="s">
        <v>74</v>
      </c>
      <c r="L353" t="s">
        <v>74</v>
      </c>
      <c r="M353" t="s">
        <v>78</v>
      </c>
      <c r="N353" t="s">
        <v>79</v>
      </c>
      <c r="O353" t="s">
        <v>74</v>
      </c>
      <c r="P353" t="s">
        <v>74</v>
      </c>
      <c r="Q353" t="s">
        <v>74</v>
      </c>
      <c r="R353" t="s">
        <v>74</v>
      </c>
      <c r="S353" t="s">
        <v>74</v>
      </c>
      <c r="T353" t="s">
        <v>6970</v>
      </c>
      <c r="U353" t="s">
        <v>6971</v>
      </c>
      <c r="V353" t="s">
        <v>6972</v>
      </c>
      <c r="W353" t="s">
        <v>6973</v>
      </c>
      <c r="X353" t="s">
        <v>6974</v>
      </c>
      <c r="Y353" t="s">
        <v>6975</v>
      </c>
      <c r="Z353" t="s">
        <v>6976</v>
      </c>
      <c r="AA353" t="s">
        <v>6977</v>
      </c>
      <c r="AB353" t="s">
        <v>6978</v>
      </c>
      <c r="AC353" t="s">
        <v>6979</v>
      </c>
      <c r="AD353" t="s">
        <v>2426</v>
      </c>
      <c r="AE353" t="s">
        <v>6980</v>
      </c>
      <c r="AF353" t="s">
        <v>74</v>
      </c>
      <c r="AG353">
        <v>69</v>
      </c>
      <c r="AH353">
        <v>5</v>
      </c>
      <c r="AI353">
        <v>5</v>
      </c>
      <c r="AJ353">
        <v>1</v>
      </c>
      <c r="AK353">
        <v>14</v>
      </c>
      <c r="AL353" t="s">
        <v>374</v>
      </c>
      <c r="AM353" t="s">
        <v>93</v>
      </c>
      <c r="AN353" t="s">
        <v>375</v>
      </c>
      <c r="AO353" t="s">
        <v>5828</v>
      </c>
      <c r="AP353" t="s">
        <v>5829</v>
      </c>
      <c r="AQ353" t="s">
        <v>74</v>
      </c>
      <c r="AR353" t="s">
        <v>5830</v>
      </c>
      <c r="AS353" t="s">
        <v>5831</v>
      </c>
      <c r="AT353" t="s">
        <v>4623</v>
      </c>
      <c r="AU353">
        <v>2017</v>
      </c>
      <c r="AV353">
        <v>113</v>
      </c>
      <c r="AW353" t="s">
        <v>74</v>
      </c>
      <c r="AX353" t="s">
        <v>74</v>
      </c>
      <c r="AY353" t="s">
        <v>74</v>
      </c>
      <c r="AZ353" t="s">
        <v>74</v>
      </c>
      <c r="BA353" t="s">
        <v>74</v>
      </c>
      <c r="BB353">
        <v>66</v>
      </c>
      <c r="BC353">
        <v>84</v>
      </c>
      <c r="BD353" t="s">
        <v>74</v>
      </c>
      <c r="BE353" t="s">
        <v>6981</v>
      </c>
      <c r="BF353" t="str">
        <f>HYPERLINK("http://dx.doi.org/10.1016/j.ocemod.2017.03.011","http://dx.doi.org/10.1016/j.ocemod.2017.03.011")</f>
        <v>http://dx.doi.org/10.1016/j.ocemod.2017.03.011</v>
      </c>
      <c r="BG353" t="s">
        <v>74</v>
      </c>
      <c r="BH353" t="s">
        <v>74</v>
      </c>
      <c r="BI353">
        <v>19</v>
      </c>
      <c r="BJ353" t="s">
        <v>5833</v>
      </c>
      <c r="BK353" t="s">
        <v>103</v>
      </c>
      <c r="BL353" t="s">
        <v>5833</v>
      </c>
      <c r="BM353" t="s">
        <v>5834</v>
      </c>
      <c r="BN353" t="s">
        <v>74</v>
      </c>
      <c r="BO353" t="s">
        <v>384</v>
      </c>
      <c r="BP353" t="s">
        <v>74</v>
      </c>
      <c r="BQ353" t="s">
        <v>74</v>
      </c>
      <c r="BR353" t="s">
        <v>106</v>
      </c>
      <c r="BS353" t="s">
        <v>6982</v>
      </c>
      <c r="BT353" t="str">
        <f>HYPERLINK("https%3A%2F%2Fwww.webofscience.com%2Fwos%2Fwoscc%2Ffull-record%2FWOS:000401138400006","View Full Record in Web of Science")</f>
        <v>View Full Record in Web of Science</v>
      </c>
    </row>
    <row r="354" spans="1:72" x14ac:dyDescent="0.15">
      <c r="A354" t="s">
        <v>72</v>
      </c>
      <c r="B354" t="s">
        <v>6983</v>
      </c>
      <c r="C354" t="s">
        <v>74</v>
      </c>
      <c r="D354" t="s">
        <v>74</v>
      </c>
      <c r="E354" t="s">
        <v>74</v>
      </c>
      <c r="F354" t="s">
        <v>6984</v>
      </c>
      <c r="G354" t="s">
        <v>74</v>
      </c>
      <c r="H354" t="s">
        <v>74</v>
      </c>
      <c r="I354" t="s">
        <v>6985</v>
      </c>
      <c r="J354" t="s">
        <v>1000</v>
      </c>
      <c r="K354" t="s">
        <v>74</v>
      </c>
      <c r="L354" t="s">
        <v>74</v>
      </c>
      <c r="M354" t="s">
        <v>78</v>
      </c>
      <c r="N354" t="s">
        <v>79</v>
      </c>
      <c r="O354" t="s">
        <v>74</v>
      </c>
      <c r="P354" t="s">
        <v>74</v>
      </c>
      <c r="Q354" t="s">
        <v>74</v>
      </c>
      <c r="R354" t="s">
        <v>74</v>
      </c>
      <c r="S354" t="s">
        <v>74</v>
      </c>
      <c r="T354" t="s">
        <v>6986</v>
      </c>
      <c r="U354" t="s">
        <v>6987</v>
      </c>
      <c r="V354" t="s">
        <v>6988</v>
      </c>
      <c r="W354" t="s">
        <v>6989</v>
      </c>
      <c r="X354" t="s">
        <v>6990</v>
      </c>
      <c r="Y354" t="s">
        <v>6991</v>
      </c>
      <c r="Z354" t="s">
        <v>6992</v>
      </c>
      <c r="AA354" t="s">
        <v>6993</v>
      </c>
      <c r="AB354" t="s">
        <v>6994</v>
      </c>
      <c r="AC354" t="s">
        <v>6995</v>
      </c>
      <c r="AD354" t="s">
        <v>6996</v>
      </c>
      <c r="AE354" t="s">
        <v>6997</v>
      </c>
      <c r="AF354" t="s">
        <v>74</v>
      </c>
      <c r="AG354">
        <v>53</v>
      </c>
      <c r="AH354">
        <v>51</v>
      </c>
      <c r="AI354">
        <v>60</v>
      </c>
      <c r="AJ354">
        <v>2</v>
      </c>
      <c r="AK354">
        <v>41</v>
      </c>
      <c r="AL354" t="s">
        <v>986</v>
      </c>
      <c r="AM354" t="s">
        <v>430</v>
      </c>
      <c r="AN354" t="s">
        <v>987</v>
      </c>
      <c r="AO354" t="s">
        <v>1013</v>
      </c>
      <c r="AP354" t="s">
        <v>1014</v>
      </c>
      <c r="AQ354" t="s">
        <v>74</v>
      </c>
      <c r="AR354" t="s">
        <v>1015</v>
      </c>
      <c r="AS354" t="s">
        <v>1016</v>
      </c>
      <c r="AT354" t="s">
        <v>4623</v>
      </c>
      <c r="AU354">
        <v>2017</v>
      </c>
      <c r="AV354">
        <v>40</v>
      </c>
      <c r="AW354">
        <v>5</v>
      </c>
      <c r="AX354" t="s">
        <v>74</v>
      </c>
      <c r="AY354" t="s">
        <v>74</v>
      </c>
      <c r="AZ354" t="s">
        <v>74</v>
      </c>
      <c r="BA354" t="s">
        <v>74</v>
      </c>
      <c r="BB354">
        <v>997</v>
      </c>
      <c r="BC354">
        <v>1006</v>
      </c>
      <c r="BD354" t="s">
        <v>74</v>
      </c>
      <c r="BE354" t="s">
        <v>6998</v>
      </c>
      <c r="BF354" t="str">
        <f>HYPERLINK("http://dx.doi.org/10.1007/s00300-016-2024-9","http://dx.doi.org/10.1007/s00300-016-2024-9")</f>
        <v>http://dx.doi.org/10.1007/s00300-016-2024-9</v>
      </c>
      <c r="BG354" t="s">
        <v>74</v>
      </c>
      <c r="BH354" t="s">
        <v>74</v>
      </c>
      <c r="BI354">
        <v>10</v>
      </c>
      <c r="BJ354" t="s">
        <v>1018</v>
      </c>
      <c r="BK354" t="s">
        <v>103</v>
      </c>
      <c r="BL354" t="s">
        <v>326</v>
      </c>
      <c r="BM354" t="s">
        <v>5437</v>
      </c>
      <c r="BN354" t="s">
        <v>74</v>
      </c>
      <c r="BO354" t="s">
        <v>74</v>
      </c>
      <c r="BP354" t="s">
        <v>74</v>
      </c>
      <c r="BQ354" t="s">
        <v>74</v>
      </c>
      <c r="BR354" t="s">
        <v>106</v>
      </c>
      <c r="BS354" t="s">
        <v>6999</v>
      </c>
      <c r="BT354" t="str">
        <f>HYPERLINK("https%3A%2F%2Fwww.webofscience.com%2Fwos%2Fwoscc%2Ffull-record%2FWOS:000402123800004","View Full Record in Web of Science")</f>
        <v>View Full Record in Web of Science</v>
      </c>
    </row>
    <row r="355" spans="1:72" x14ac:dyDescent="0.15">
      <c r="A355" t="s">
        <v>72</v>
      </c>
      <c r="B355" t="s">
        <v>7000</v>
      </c>
      <c r="C355" t="s">
        <v>74</v>
      </c>
      <c r="D355" t="s">
        <v>74</v>
      </c>
      <c r="E355" t="s">
        <v>74</v>
      </c>
      <c r="F355" t="s">
        <v>7001</v>
      </c>
      <c r="G355" t="s">
        <v>74</v>
      </c>
      <c r="H355" t="s">
        <v>74</v>
      </c>
      <c r="I355" t="s">
        <v>7002</v>
      </c>
      <c r="J355" t="s">
        <v>1000</v>
      </c>
      <c r="K355" t="s">
        <v>74</v>
      </c>
      <c r="L355" t="s">
        <v>74</v>
      </c>
      <c r="M355" t="s">
        <v>78</v>
      </c>
      <c r="N355" t="s">
        <v>79</v>
      </c>
      <c r="O355" t="s">
        <v>74</v>
      </c>
      <c r="P355" t="s">
        <v>74</v>
      </c>
      <c r="Q355" t="s">
        <v>74</v>
      </c>
      <c r="R355" t="s">
        <v>74</v>
      </c>
      <c r="S355" t="s">
        <v>74</v>
      </c>
      <c r="T355" t="s">
        <v>7003</v>
      </c>
      <c r="U355" t="s">
        <v>7004</v>
      </c>
      <c r="V355" t="s">
        <v>7005</v>
      </c>
      <c r="W355" t="s">
        <v>7006</v>
      </c>
      <c r="X355" t="s">
        <v>7007</v>
      </c>
      <c r="Y355" t="s">
        <v>7008</v>
      </c>
      <c r="Z355" t="s">
        <v>7009</v>
      </c>
      <c r="AA355" t="s">
        <v>7010</v>
      </c>
      <c r="AB355" t="s">
        <v>7011</v>
      </c>
      <c r="AC355" t="s">
        <v>7012</v>
      </c>
      <c r="AD355" t="s">
        <v>7013</v>
      </c>
      <c r="AE355" t="s">
        <v>7014</v>
      </c>
      <c r="AF355" t="s">
        <v>74</v>
      </c>
      <c r="AG355">
        <v>54</v>
      </c>
      <c r="AH355">
        <v>12</v>
      </c>
      <c r="AI355">
        <v>14</v>
      </c>
      <c r="AJ355">
        <v>1</v>
      </c>
      <c r="AK355">
        <v>27</v>
      </c>
      <c r="AL355" t="s">
        <v>986</v>
      </c>
      <c r="AM355" t="s">
        <v>430</v>
      </c>
      <c r="AN355" t="s">
        <v>987</v>
      </c>
      <c r="AO355" t="s">
        <v>1013</v>
      </c>
      <c r="AP355" t="s">
        <v>1014</v>
      </c>
      <c r="AQ355" t="s">
        <v>74</v>
      </c>
      <c r="AR355" t="s">
        <v>1015</v>
      </c>
      <c r="AS355" t="s">
        <v>1016</v>
      </c>
      <c r="AT355" t="s">
        <v>4623</v>
      </c>
      <c r="AU355">
        <v>2017</v>
      </c>
      <c r="AV355">
        <v>40</v>
      </c>
      <c r="AW355">
        <v>5</v>
      </c>
      <c r="AX355" t="s">
        <v>74</v>
      </c>
      <c r="AY355" t="s">
        <v>74</v>
      </c>
      <c r="AZ355" t="s">
        <v>74</v>
      </c>
      <c r="BA355" t="s">
        <v>74</v>
      </c>
      <c r="BB355">
        <v>1115</v>
      </c>
      <c r="BC355">
        <v>1126</v>
      </c>
      <c r="BD355" t="s">
        <v>74</v>
      </c>
      <c r="BE355" t="s">
        <v>7015</v>
      </c>
      <c r="BF355" t="str">
        <f>HYPERLINK("http://dx.doi.org/10.1007/s00300-016-2039-2","http://dx.doi.org/10.1007/s00300-016-2039-2")</f>
        <v>http://dx.doi.org/10.1007/s00300-016-2039-2</v>
      </c>
      <c r="BG355" t="s">
        <v>74</v>
      </c>
      <c r="BH355" t="s">
        <v>74</v>
      </c>
      <c r="BI355">
        <v>12</v>
      </c>
      <c r="BJ355" t="s">
        <v>1018</v>
      </c>
      <c r="BK355" t="s">
        <v>103</v>
      </c>
      <c r="BL355" t="s">
        <v>326</v>
      </c>
      <c r="BM355" t="s">
        <v>5437</v>
      </c>
      <c r="BN355" t="s">
        <v>74</v>
      </c>
      <c r="BO355" t="s">
        <v>74</v>
      </c>
      <c r="BP355" t="s">
        <v>74</v>
      </c>
      <c r="BQ355" t="s">
        <v>74</v>
      </c>
      <c r="BR355" t="s">
        <v>106</v>
      </c>
      <c r="BS355" t="s">
        <v>7016</v>
      </c>
      <c r="BT355" t="str">
        <f>HYPERLINK("https%3A%2F%2Fwww.webofscience.com%2Fwos%2Fwoscc%2Ffull-record%2FWOS:000402123800015","View Full Record in Web of Science")</f>
        <v>View Full Record in Web of Science</v>
      </c>
    </row>
    <row r="356" spans="1:72" x14ac:dyDescent="0.15">
      <c r="A356" t="s">
        <v>72</v>
      </c>
      <c r="B356" t="s">
        <v>5512</v>
      </c>
      <c r="C356" t="s">
        <v>74</v>
      </c>
      <c r="D356" t="s">
        <v>74</v>
      </c>
      <c r="E356" t="s">
        <v>74</v>
      </c>
      <c r="F356" t="s">
        <v>5513</v>
      </c>
      <c r="G356" t="s">
        <v>74</v>
      </c>
      <c r="H356" t="s">
        <v>74</v>
      </c>
      <c r="I356" t="s">
        <v>7017</v>
      </c>
      <c r="J356" t="s">
        <v>1000</v>
      </c>
      <c r="K356" t="s">
        <v>74</v>
      </c>
      <c r="L356" t="s">
        <v>74</v>
      </c>
      <c r="M356" t="s">
        <v>78</v>
      </c>
      <c r="N356" t="s">
        <v>79</v>
      </c>
      <c r="O356" t="s">
        <v>74</v>
      </c>
      <c r="P356" t="s">
        <v>74</v>
      </c>
      <c r="Q356" t="s">
        <v>74</v>
      </c>
      <c r="R356" t="s">
        <v>74</v>
      </c>
      <c r="S356" t="s">
        <v>74</v>
      </c>
      <c r="T356" t="s">
        <v>7018</v>
      </c>
      <c r="U356" t="s">
        <v>7019</v>
      </c>
      <c r="V356" t="s">
        <v>7020</v>
      </c>
      <c r="W356" t="s">
        <v>7021</v>
      </c>
      <c r="X356" t="s">
        <v>5516</v>
      </c>
      <c r="Y356" t="s">
        <v>7022</v>
      </c>
      <c r="Z356" t="s">
        <v>5518</v>
      </c>
      <c r="AA356" t="s">
        <v>7023</v>
      </c>
      <c r="AB356" t="s">
        <v>5520</v>
      </c>
      <c r="AC356" t="s">
        <v>7024</v>
      </c>
      <c r="AD356" t="s">
        <v>7025</v>
      </c>
      <c r="AE356" t="s">
        <v>7026</v>
      </c>
      <c r="AF356" t="s">
        <v>74</v>
      </c>
      <c r="AG356">
        <v>37</v>
      </c>
      <c r="AH356">
        <v>17</v>
      </c>
      <c r="AI356">
        <v>19</v>
      </c>
      <c r="AJ356">
        <v>1</v>
      </c>
      <c r="AK356">
        <v>63</v>
      </c>
      <c r="AL356" t="s">
        <v>986</v>
      </c>
      <c r="AM356" t="s">
        <v>430</v>
      </c>
      <c r="AN356" t="s">
        <v>1663</v>
      </c>
      <c r="AO356" t="s">
        <v>1013</v>
      </c>
      <c r="AP356" t="s">
        <v>1014</v>
      </c>
      <c r="AQ356" t="s">
        <v>74</v>
      </c>
      <c r="AR356" t="s">
        <v>1015</v>
      </c>
      <c r="AS356" t="s">
        <v>1016</v>
      </c>
      <c r="AT356" t="s">
        <v>4623</v>
      </c>
      <c r="AU356">
        <v>2017</v>
      </c>
      <c r="AV356">
        <v>40</v>
      </c>
      <c r="AW356">
        <v>5</v>
      </c>
      <c r="AX356" t="s">
        <v>74</v>
      </c>
      <c r="AY356" t="s">
        <v>74</v>
      </c>
      <c r="AZ356" t="s">
        <v>74</v>
      </c>
      <c r="BA356" t="s">
        <v>74</v>
      </c>
      <c r="BB356">
        <v>1149</v>
      </c>
      <c r="BC356">
        <v>1165</v>
      </c>
      <c r="BD356" t="s">
        <v>74</v>
      </c>
      <c r="BE356" t="s">
        <v>7027</v>
      </c>
      <c r="BF356" t="str">
        <f>HYPERLINK("http://dx.doi.org/10.1007/s00300-016-2029-4","http://dx.doi.org/10.1007/s00300-016-2029-4")</f>
        <v>http://dx.doi.org/10.1007/s00300-016-2029-4</v>
      </c>
      <c r="BG356" t="s">
        <v>74</v>
      </c>
      <c r="BH356" t="s">
        <v>74</v>
      </c>
      <c r="BI356">
        <v>17</v>
      </c>
      <c r="BJ356" t="s">
        <v>1018</v>
      </c>
      <c r="BK356" t="s">
        <v>103</v>
      </c>
      <c r="BL356" t="s">
        <v>326</v>
      </c>
      <c r="BM356" t="s">
        <v>5437</v>
      </c>
      <c r="BN356" t="s">
        <v>74</v>
      </c>
      <c r="BO356" t="s">
        <v>105</v>
      </c>
      <c r="BP356" t="s">
        <v>74</v>
      </c>
      <c r="BQ356" t="s">
        <v>74</v>
      </c>
      <c r="BR356" t="s">
        <v>106</v>
      </c>
      <c r="BS356" t="s">
        <v>7028</v>
      </c>
      <c r="BT356" t="str">
        <f>HYPERLINK("https%3A%2F%2Fwww.webofscience.com%2Fwos%2Fwoscc%2Ffull-record%2FWOS:000402123800018","View Full Record in Web of Science")</f>
        <v>View Full Record in Web of Science</v>
      </c>
    </row>
    <row r="357" spans="1:72" x14ac:dyDescent="0.15">
      <c r="A357" t="s">
        <v>72</v>
      </c>
      <c r="B357" t="s">
        <v>7029</v>
      </c>
      <c r="C357" t="s">
        <v>74</v>
      </c>
      <c r="D357" t="s">
        <v>74</v>
      </c>
      <c r="E357" t="s">
        <v>74</v>
      </c>
      <c r="F357" t="s">
        <v>7030</v>
      </c>
      <c r="G357" t="s">
        <v>74</v>
      </c>
      <c r="H357" t="s">
        <v>74</v>
      </c>
      <c r="I357" t="s">
        <v>7031</v>
      </c>
      <c r="J357" t="s">
        <v>5255</v>
      </c>
      <c r="K357" t="s">
        <v>74</v>
      </c>
      <c r="L357" t="s">
        <v>74</v>
      </c>
      <c r="M357" t="s">
        <v>78</v>
      </c>
      <c r="N357" t="s">
        <v>79</v>
      </c>
      <c r="O357" t="s">
        <v>74</v>
      </c>
      <c r="P357" t="s">
        <v>74</v>
      </c>
      <c r="Q357" t="s">
        <v>74</v>
      </c>
      <c r="R357" t="s">
        <v>74</v>
      </c>
      <c r="S357" t="s">
        <v>74</v>
      </c>
      <c r="T357" t="s">
        <v>74</v>
      </c>
      <c r="U357" t="s">
        <v>7032</v>
      </c>
      <c r="V357" t="s">
        <v>7033</v>
      </c>
      <c r="W357" t="s">
        <v>7034</v>
      </c>
      <c r="X357" t="s">
        <v>7035</v>
      </c>
      <c r="Y357" t="s">
        <v>7036</v>
      </c>
      <c r="Z357" t="s">
        <v>7037</v>
      </c>
      <c r="AA357" t="s">
        <v>7038</v>
      </c>
      <c r="AB357" t="s">
        <v>7039</v>
      </c>
      <c r="AC357" t="s">
        <v>7040</v>
      </c>
      <c r="AD357" t="s">
        <v>7040</v>
      </c>
      <c r="AE357" t="s">
        <v>7041</v>
      </c>
      <c r="AF357" t="s">
        <v>74</v>
      </c>
      <c r="AG357">
        <v>15</v>
      </c>
      <c r="AH357">
        <v>2</v>
      </c>
      <c r="AI357">
        <v>2</v>
      </c>
      <c r="AJ357">
        <v>0</v>
      </c>
      <c r="AK357">
        <v>7</v>
      </c>
      <c r="AL357" t="s">
        <v>803</v>
      </c>
      <c r="AM357" t="s">
        <v>430</v>
      </c>
      <c r="AN357" t="s">
        <v>804</v>
      </c>
      <c r="AO357" t="s">
        <v>5261</v>
      </c>
      <c r="AP357" t="s">
        <v>5262</v>
      </c>
      <c r="AQ357" t="s">
        <v>74</v>
      </c>
      <c r="AR357" t="s">
        <v>5263</v>
      </c>
      <c r="AS357" t="s">
        <v>5264</v>
      </c>
      <c r="AT357" t="s">
        <v>4623</v>
      </c>
      <c r="AU357">
        <v>2017</v>
      </c>
      <c r="AV357">
        <v>53</v>
      </c>
      <c r="AW357">
        <v>3</v>
      </c>
      <c r="AX357" t="s">
        <v>74</v>
      </c>
      <c r="AY357" t="s">
        <v>74</v>
      </c>
      <c r="AZ357" t="s">
        <v>74</v>
      </c>
      <c r="BA357" t="s">
        <v>74</v>
      </c>
      <c r="BB357">
        <v>280</v>
      </c>
      <c r="BC357">
        <v>288</v>
      </c>
      <c r="BD357" t="s">
        <v>74</v>
      </c>
      <c r="BE357" t="s">
        <v>7042</v>
      </c>
      <c r="BF357" t="str">
        <f>HYPERLINK("http://dx.doi.org/10.1017/S0032247417000122","http://dx.doi.org/10.1017/S0032247417000122")</f>
        <v>http://dx.doi.org/10.1017/S0032247417000122</v>
      </c>
      <c r="BG357" t="s">
        <v>74</v>
      </c>
      <c r="BH357" t="s">
        <v>74</v>
      </c>
      <c r="BI357">
        <v>9</v>
      </c>
      <c r="BJ357" t="s">
        <v>2339</v>
      </c>
      <c r="BK357" t="s">
        <v>103</v>
      </c>
      <c r="BL357" t="s">
        <v>993</v>
      </c>
      <c r="BM357" t="s">
        <v>5267</v>
      </c>
      <c r="BN357" t="s">
        <v>74</v>
      </c>
      <c r="BO357" t="s">
        <v>412</v>
      </c>
      <c r="BP357" t="s">
        <v>74</v>
      </c>
      <c r="BQ357" t="s">
        <v>74</v>
      </c>
      <c r="BR357" t="s">
        <v>106</v>
      </c>
      <c r="BS357" t="s">
        <v>7043</v>
      </c>
      <c r="BT357" t="str">
        <f>HYPERLINK("https%3A%2F%2Fwww.webofscience.com%2Fwos%2Fwoscc%2Ffull-record%2FWOS:000402812400006","View Full Record in Web of Science")</f>
        <v>View Full Record in Web of Science</v>
      </c>
    </row>
    <row r="358" spans="1:72" x14ac:dyDescent="0.15">
      <c r="A358" t="s">
        <v>72</v>
      </c>
      <c r="B358" t="s">
        <v>7044</v>
      </c>
      <c r="C358" t="s">
        <v>74</v>
      </c>
      <c r="D358" t="s">
        <v>74</v>
      </c>
      <c r="E358" t="s">
        <v>74</v>
      </c>
      <c r="F358" t="s">
        <v>7045</v>
      </c>
      <c r="G358" t="s">
        <v>74</v>
      </c>
      <c r="H358" t="s">
        <v>74</v>
      </c>
      <c r="I358" t="s">
        <v>7046</v>
      </c>
      <c r="J358" t="s">
        <v>7047</v>
      </c>
      <c r="K358" t="s">
        <v>74</v>
      </c>
      <c r="L358" t="s">
        <v>74</v>
      </c>
      <c r="M358" t="s">
        <v>78</v>
      </c>
      <c r="N358" t="s">
        <v>79</v>
      </c>
      <c r="O358" t="s">
        <v>74</v>
      </c>
      <c r="P358" t="s">
        <v>74</v>
      </c>
      <c r="Q358" t="s">
        <v>74</v>
      </c>
      <c r="R358" t="s">
        <v>74</v>
      </c>
      <c r="S358" t="s">
        <v>74</v>
      </c>
      <c r="T358" t="s">
        <v>7048</v>
      </c>
      <c r="U358" t="s">
        <v>7049</v>
      </c>
      <c r="V358" t="s">
        <v>7050</v>
      </c>
      <c r="W358" t="s">
        <v>7051</v>
      </c>
      <c r="X358" t="s">
        <v>7052</v>
      </c>
      <c r="Y358" t="s">
        <v>7053</v>
      </c>
      <c r="Z358" t="s">
        <v>7054</v>
      </c>
      <c r="AA358" t="s">
        <v>7055</v>
      </c>
      <c r="AB358" t="s">
        <v>7056</v>
      </c>
      <c r="AC358" t="s">
        <v>7057</v>
      </c>
      <c r="AD358" t="s">
        <v>7058</v>
      </c>
      <c r="AE358" t="s">
        <v>7059</v>
      </c>
      <c r="AF358" t="s">
        <v>74</v>
      </c>
      <c r="AG358">
        <v>34</v>
      </c>
      <c r="AH358">
        <v>24</v>
      </c>
      <c r="AI358">
        <v>27</v>
      </c>
      <c r="AJ358">
        <v>0</v>
      </c>
      <c r="AK358">
        <v>12</v>
      </c>
      <c r="AL358" t="s">
        <v>374</v>
      </c>
      <c r="AM358" t="s">
        <v>93</v>
      </c>
      <c r="AN358" t="s">
        <v>375</v>
      </c>
      <c r="AO358" t="s">
        <v>7060</v>
      </c>
      <c r="AP358" t="s">
        <v>7061</v>
      </c>
      <c r="AQ358" t="s">
        <v>74</v>
      </c>
      <c r="AR358" t="s">
        <v>7062</v>
      </c>
      <c r="AS358" t="s">
        <v>7063</v>
      </c>
      <c r="AT358" t="s">
        <v>4623</v>
      </c>
      <c r="AU358">
        <v>2017</v>
      </c>
      <c r="AV358">
        <v>40</v>
      </c>
      <c r="AW358" t="s">
        <v>74</v>
      </c>
      <c r="AX358" t="s">
        <v>74</v>
      </c>
      <c r="AY358" t="s">
        <v>74</v>
      </c>
      <c r="AZ358" t="s">
        <v>100</v>
      </c>
      <c r="BA358" t="s">
        <v>74</v>
      </c>
      <c r="BB358">
        <v>45</v>
      </c>
      <c r="BC358">
        <v>55</v>
      </c>
      <c r="BD358" t="s">
        <v>74</v>
      </c>
      <c r="BE358" t="s">
        <v>7064</v>
      </c>
      <c r="BF358" t="str">
        <f>HYPERLINK("http://dx.doi.org/10.1016/j.quageo.2016.09.008","http://dx.doi.org/10.1016/j.quageo.2016.09.008")</f>
        <v>http://dx.doi.org/10.1016/j.quageo.2016.09.008</v>
      </c>
      <c r="BG358" t="s">
        <v>74</v>
      </c>
      <c r="BH358" t="s">
        <v>74</v>
      </c>
      <c r="BI358">
        <v>11</v>
      </c>
      <c r="BJ358" t="s">
        <v>1338</v>
      </c>
      <c r="BK358" t="s">
        <v>103</v>
      </c>
      <c r="BL358" t="s">
        <v>1339</v>
      </c>
      <c r="BM358" t="s">
        <v>7065</v>
      </c>
      <c r="BN358" t="s">
        <v>74</v>
      </c>
      <c r="BO358" t="s">
        <v>384</v>
      </c>
      <c r="BP358" t="s">
        <v>74</v>
      </c>
      <c r="BQ358" t="s">
        <v>74</v>
      </c>
      <c r="BR358" t="s">
        <v>106</v>
      </c>
      <c r="BS358" t="s">
        <v>7066</v>
      </c>
      <c r="BT358" t="str">
        <f>HYPERLINK("https%3A%2F%2Fwww.webofscience.com%2Fwos%2Fwoscc%2Ffull-record%2FWOS:000404702300006","View Full Record in Web of Science")</f>
        <v>View Full Record in Web of Science</v>
      </c>
    </row>
    <row r="359" spans="1:72" x14ac:dyDescent="0.15">
      <c r="A359" t="s">
        <v>72</v>
      </c>
      <c r="B359" t="s">
        <v>7067</v>
      </c>
      <c r="C359" t="s">
        <v>74</v>
      </c>
      <c r="D359" t="s">
        <v>74</v>
      </c>
      <c r="E359" t="s">
        <v>74</v>
      </c>
      <c r="F359" t="s">
        <v>7068</v>
      </c>
      <c r="G359" t="s">
        <v>74</v>
      </c>
      <c r="H359" t="s">
        <v>74</v>
      </c>
      <c r="I359" t="s">
        <v>7069</v>
      </c>
      <c r="J359" t="s">
        <v>1322</v>
      </c>
      <c r="K359" t="s">
        <v>74</v>
      </c>
      <c r="L359" t="s">
        <v>74</v>
      </c>
      <c r="M359" t="s">
        <v>78</v>
      </c>
      <c r="N359" t="s">
        <v>79</v>
      </c>
      <c r="O359" t="s">
        <v>74</v>
      </c>
      <c r="P359" t="s">
        <v>74</v>
      </c>
      <c r="Q359" t="s">
        <v>74</v>
      </c>
      <c r="R359" t="s">
        <v>74</v>
      </c>
      <c r="S359" t="s">
        <v>74</v>
      </c>
      <c r="T359" t="s">
        <v>7070</v>
      </c>
      <c r="U359" t="s">
        <v>7071</v>
      </c>
      <c r="V359" t="s">
        <v>7072</v>
      </c>
      <c r="W359" t="s">
        <v>7073</v>
      </c>
      <c r="X359" t="s">
        <v>7074</v>
      </c>
      <c r="Y359" t="s">
        <v>7075</v>
      </c>
      <c r="Z359" t="s">
        <v>7076</v>
      </c>
      <c r="AA359" t="s">
        <v>7077</v>
      </c>
      <c r="AB359" t="s">
        <v>7078</v>
      </c>
      <c r="AC359" t="s">
        <v>7079</v>
      </c>
      <c r="AD359" t="s">
        <v>2801</v>
      </c>
      <c r="AE359" t="s">
        <v>74</v>
      </c>
      <c r="AF359" t="s">
        <v>74</v>
      </c>
      <c r="AG359">
        <v>76</v>
      </c>
      <c r="AH359">
        <v>26</v>
      </c>
      <c r="AI359">
        <v>26</v>
      </c>
      <c r="AJ359">
        <v>0</v>
      </c>
      <c r="AK359">
        <v>5</v>
      </c>
      <c r="AL359" t="s">
        <v>656</v>
      </c>
      <c r="AM359" t="s">
        <v>93</v>
      </c>
      <c r="AN359" t="s">
        <v>657</v>
      </c>
      <c r="AO359" t="s">
        <v>1334</v>
      </c>
      <c r="AP359" t="s">
        <v>74</v>
      </c>
      <c r="AQ359" t="s">
        <v>74</v>
      </c>
      <c r="AR359" t="s">
        <v>1335</v>
      </c>
      <c r="AS359" t="s">
        <v>1336</v>
      </c>
      <c r="AT359" t="s">
        <v>5138</v>
      </c>
      <c r="AU359">
        <v>2017</v>
      </c>
      <c r="AV359">
        <v>163</v>
      </c>
      <c r="AW359" t="s">
        <v>74</v>
      </c>
      <c r="AX359" t="s">
        <v>74</v>
      </c>
      <c r="AY359" t="s">
        <v>74</v>
      </c>
      <c r="AZ359" t="s">
        <v>74</v>
      </c>
      <c r="BA359" t="s">
        <v>74</v>
      </c>
      <c r="BB359">
        <v>162</v>
      </c>
      <c r="BC359">
        <v>179</v>
      </c>
      <c r="BD359" t="s">
        <v>74</v>
      </c>
      <c r="BE359" t="s">
        <v>7080</v>
      </c>
      <c r="BF359" t="str">
        <f>HYPERLINK("http://dx.doi.org/10.1016/j.quascirev.2017.03.021","http://dx.doi.org/10.1016/j.quascirev.2017.03.021")</f>
        <v>http://dx.doi.org/10.1016/j.quascirev.2017.03.021</v>
      </c>
      <c r="BG359" t="s">
        <v>74</v>
      </c>
      <c r="BH359" t="s">
        <v>74</v>
      </c>
      <c r="BI359">
        <v>18</v>
      </c>
      <c r="BJ359" t="s">
        <v>1338</v>
      </c>
      <c r="BK359" t="s">
        <v>103</v>
      </c>
      <c r="BL359" t="s">
        <v>1339</v>
      </c>
      <c r="BM359" t="s">
        <v>7081</v>
      </c>
      <c r="BN359" t="s">
        <v>74</v>
      </c>
      <c r="BO359" t="s">
        <v>74</v>
      </c>
      <c r="BP359" t="s">
        <v>74</v>
      </c>
      <c r="BQ359" t="s">
        <v>74</v>
      </c>
      <c r="BR359" t="s">
        <v>106</v>
      </c>
      <c r="BS359" t="s">
        <v>7082</v>
      </c>
      <c r="BT359" t="str">
        <f>HYPERLINK("https%3A%2F%2Fwww.webofscience.com%2Fwos%2Fwoscc%2Ffull-record%2FWOS:000401204200010","View Full Record in Web of Science")</f>
        <v>View Full Record in Web of Science</v>
      </c>
    </row>
    <row r="360" spans="1:72" x14ac:dyDescent="0.15">
      <c r="A360" t="s">
        <v>72</v>
      </c>
      <c r="B360" t="s">
        <v>7083</v>
      </c>
      <c r="C360" t="s">
        <v>74</v>
      </c>
      <c r="D360" t="s">
        <v>74</v>
      </c>
      <c r="E360" t="s">
        <v>74</v>
      </c>
      <c r="F360" t="s">
        <v>7084</v>
      </c>
      <c r="G360" t="s">
        <v>74</v>
      </c>
      <c r="H360" t="s">
        <v>7085</v>
      </c>
      <c r="I360" t="s">
        <v>7086</v>
      </c>
      <c r="J360" t="s">
        <v>3145</v>
      </c>
      <c r="K360" t="s">
        <v>74</v>
      </c>
      <c r="L360" t="s">
        <v>74</v>
      </c>
      <c r="M360" t="s">
        <v>78</v>
      </c>
      <c r="N360" t="s">
        <v>79</v>
      </c>
      <c r="O360" t="s">
        <v>74</v>
      </c>
      <c r="P360" t="s">
        <v>74</v>
      </c>
      <c r="Q360" t="s">
        <v>74</v>
      </c>
      <c r="R360" t="s">
        <v>74</v>
      </c>
      <c r="S360" t="s">
        <v>74</v>
      </c>
      <c r="T360" t="s">
        <v>74</v>
      </c>
      <c r="U360" t="s">
        <v>7087</v>
      </c>
      <c r="V360" t="s">
        <v>7088</v>
      </c>
      <c r="W360" t="s">
        <v>7089</v>
      </c>
      <c r="X360" t="s">
        <v>7090</v>
      </c>
      <c r="Y360" t="s">
        <v>7091</v>
      </c>
      <c r="Z360" t="s">
        <v>7092</v>
      </c>
      <c r="AA360" t="s">
        <v>7093</v>
      </c>
      <c r="AB360" t="s">
        <v>7094</v>
      </c>
      <c r="AC360" t="s">
        <v>7095</v>
      </c>
      <c r="AD360" t="s">
        <v>7096</v>
      </c>
      <c r="AE360" t="s">
        <v>7097</v>
      </c>
      <c r="AF360" t="s">
        <v>74</v>
      </c>
      <c r="AG360">
        <v>48</v>
      </c>
      <c r="AH360">
        <v>68</v>
      </c>
      <c r="AI360">
        <v>78</v>
      </c>
      <c r="AJ360">
        <v>2</v>
      </c>
      <c r="AK360">
        <v>24</v>
      </c>
      <c r="AL360" t="s">
        <v>3156</v>
      </c>
      <c r="AM360" t="s">
        <v>223</v>
      </c>
      <c r="AN360" t="s">
        <v>3157</v>
      </c>
      <c r="AO360" t="s">
        <v>3158</v>
      </c>
      <c r="AP360" t="s">
        <v>74</v>
      </c>
      <c r="AQ360" t="s">
        <v>74</v>
      </c>
      <c r="AR360" t="s">
        <v>3159</v>
      </c>
      <c r="AS360" t="s">
        <v>3160</v>
      </c>
      <c r="AT360" t="s">
        <v>4623</v>
      </c>
      <c r="AU360">
        <v>2017</v>
      </c>
      <c r="AV360">
        <v>3</v>
      </c>
      <c r="AW360">
        <v>5</v>
      </c>
      <c r="AX360" t="s">
        <v>74</v>
      </c>
      <c r="AY360" t="s">
        <v>74</v>
      </c>
      <c r="AZ360" t="s">
        <v>74</v>
      </c>
      <c r="BA360" t="s">
        <v>74</v>
      </c>
      <c r="BB360" t="s">
        <v>74</v>
      </c>
      <c r="BC360" t="s">
        <v>74</v>
      </c>
      <c r="BD360" t="s">
        <v>7098</v>
      </c>
      <c r="BE360" t="s">
        <v>7099</v>
      </c>
      <c r="BF360" t="str">
        <f>HYPERLINK("http://dx.doi.org/10.1126/sciadv.1602567","http://dx.doi.org/10.1126/sciadv.1602567")</f>
        <v>http://dx.doi.org/10.1126/sciadv.1602567</v>
      </c>
      <c r="BG360" t="s">
        <v>74</v>
      </c>
      <c r="BH360" t="s">
        <v>74</v>
      </c>
      <c r="BI360">
        <v>8</v>
      </c>
      <c r="BJ360" t="s">
        <v>1617</v>
      </c>
      <c r="BK360" t="s">
        <v>103</v>
      </c>
      <c r="BL360" t="s">
        <v>1618</v>
      </c>
      <c r="BM360" t="s">
        <v>7100</v>
      </c>
      <c r="BN360">
        <v>28508066</v>
      </c>
      <c r="BO360" t="s">
        <v>7101</v>
      </c>
      <c r="BP360" t="s">
        <v>74</v>
      </c>
      <c r="BQ360" t="s">
        <v>74</v>
      </c>
      <c r="BR360" t="s">
        <v>106</v>
      </c>
      <c r="BS360" t="s">
        <v>7102</v>
      </c>
      <c r="BT360" t="str">
        <f>HYPERLINK("https%3A%2F%2Fwww.webofscience.com%2Fwos%2Fwoscc%2Ffull-record%2FWOS:000401955300027","View Full Record in Web of Science")</f>
        <v>View Full Record in Web of Science</v>
      </c>
    </row>
    <row r="361" spans="1:72" x14ac:dyDescent="0.15">
      <c r="A361" t="s">
        <v>72</v>
      </c>
      <c r="B361" t="s">
        <v>7103</v>
      </c>
      <c r="C361" t="s">
        <v>74</v>
      </c>
      <c r="D361" t="s">
        <v>74</v>
      </c>
      <c r="E361" t="s">
        <v>74</v>
      </c>
      <c r="F361" t="s">
        <v>7104</v>
      </c>
      <c r="G361" t="s">
        <v>74</v>
      </c>
      <c r="H361" t="s">
        <v>74</v>
      </c>
      <c r="I361" t="s">
        <v>7105</v>
      </c>
      <c r="J361" t="s">
        <v>7106</v>
      </c>
      <c r="K361" t="s">
        <v>74</v>
      </c>
      <c r="L361" t="s">
        <v>74</v>
      </c>
      <c r="M361" t="s">
        <v>78</v>
      </c>
      <c r="N361" t="s">
        <v>79</v>
      </c>
      <c r="O361" t="s">
        <v>74</v>
      </c>
      <c r="P361" t="s">
        <v>74</v>
      </c>
      <c r="Q361" t="s">
        <v>74</v>
      </c>
      <c r="R361" t="s">
        <v>74</v>
      </c>
      <c r="S361" t="s">
        <v>74</v>
      </c>
      <c r="T361" t="s">
        <v>7107</v>
      </c>
      <c r="U361" t="s">
        <v>7108</v>
      </c>
      <c r="V361" t="s">
        <v>7109</v>
      </c>
      <c r="W361" t="s">
        <v>7110</v>
      </c>
      <c r="X361" t="s">
        <v>7111</v>
      </c>
      <c r="Y361" t="s">
        <v>7112</v>
      </c>
      <c r="Z361" t="s">
        <v>7113</v>
      </c>
      <c r="AA361" t="s">
        <v>74</v>
      </c>
      <c r="AB361" t="s">
        <v>74</v>
      </c>
      <c r="AC361" t="s">
        <v>7114</v>
      </c>
      <c r="AD361" t="s">
        <v>7115</v>
      </c>
      <c r="AE361" t="s">
        <v>7116</v>
      </c>
      <c r="AF361" t="s">
        <v>74</v>
      </c>
      <c r="AG361">
        <v>31</v>
      </c>
      <c r="AH361">
        <v>0</v>
      </c>
      <c r="AI361">
        <v>0</v>
      </c>
      <c r="AJ361">
        <v>0</v>
      </c>
      <c r="AK361">
        <v>21</v>
      </c>
      <c r="AL361" t="s">
        <v>5777</v>
      </c>
      <c r="AM361" t="s">
        <v>5778</v>
      </c>
      <c r="AN361" t="s">
        <v>5779</v>
      </c>
      <c r="AO361" t="s">
        <v>7117</v>
      </c>
      <c r="AP361" t="s">
        <v>7118</v>
      </c>
      <c r="AQ361" t="s">
        <v>74</v>
      </c>
      <c r="AR361" t="s">
        <v>7119</v>
      </c>
      <c r="AS361" t="s">
        <v>7120</v>
      </c>
      <c r="AT361" t="s">
        <v>4623</v>
      </c>
      <c r="AU361">
        <v>2017</v>
      </c>
      <c r="AV361">
        <v>60</v>
      </c>
      <c r="AW361">
        <v>5</v>
      </c>
      <c r="AX361" t="s">
        <v>74</v>
      </c>
      <c r="AY361" t="s">
        <v>74</v>
      </c>
      <c r="AZ361" t="s">
        <v>74</v>
      </c>
      <c r="BA361" t="s">
        <v>74</v>
      </c>
      <c r="BB361">
        <v>899</v>
      </c>
      <c r="BC361">
        <v>909</v>
      </c>
      <c r="BD361" t="s">
        <v>74</v>
      </c>
      <c r="BE361" t="s">
        <v>7121</v>
      </c>
      <c r="BF361" t="str">
        <f>HYPERLINK("http://dx.doi.org/10.1007/s11430-015-0235-1","http://dx.doi.org/10.1007/s11430-015-0235-1")</f>
        <v>http://dx.doi.org/10.1007/s11430-015-0235-1</v>
      </c>
      <c r="BG361" t="s">
        <v>74</v>
      </c>
      <c r="BH361" t="s">
        <v>74</v>
      </c>
      <c r="BI361">
        <v>11</v>
      </c>
      <c r="BJ361" t="s">
        <v>437</v>
      </c>
      <c r="BK361" t="s">
        <v>103</v>
      </c>
      <c r="BL361" t="s">
        <v>438</v>
      </c>
      <c r="BM361" t="s">
        <v>7122</v>
      </c>
      <c r="BN361" t="s">
        <v>74</v>
      </c>
      <c r="BO361" t="s">
        <v>74</v>
      </c>
      <c r="BP361" t="s">
        <v>74</v>
      </c>
      <c r="BQ361" t="s">
        <v>74</v>
      </c>
      <c r="BR361" t="s">
        <v>106</v>
      </c>
      <c r="BS361" t="s">
        <v>7123</v>
      </c>
      <c r="BT361" t="str">
        <f>HYPERLINK("https%3A%2F%2Fwww.webofscience.com%2Fwos%2Fwoscc%2Ffull-record%2FWOS:000400551600006","View Full Record in Web of Science")</f>
        <v>View Full Record in Web of Science</v>
      </c>
    </row>
    <row r="362" spans="1:72" x14ac:dyDescent="0.15">
      <c r="A362" t="s">
        <v>72</v>
      </c>
      <c r="B362" t="s">
        <v>7124</v>
      </c>
      <c r="C362" t="s">
        <v>74</v>
      </c>
      <c r="D362" t="s">
        <v>74</v>
      </c>
      <c r="E362" t="s">
        <v>74</v>
      </c>
      <c r="F362" t="s">
        <v>7125</v>
      </c>
      <c r="G362" t="s">
        <v>74</v>
      </c>
      <c r="H362" t="s">
        <v>74</v>
      </c>
      <c r="I362" t="s">
        <v>7126</v>
      </c>
      <c r="J362" t="s">
        <v>7127</v>
      </c>
      <c r="K362" t="s">
        <v>74</v>
      </c>
      <c r="L362" t="s">
        <v>74</v>
      </c>
      <c r="M362" t="s">
        <v>78</v>
      </c>
      <c r="N362" t="s">
        <v>2082</v>
      </c>
      <c r="O362" t="s">
        <v>74</v>
      </c>
      <c r="P362" t="s">
        <v>74</v>
      </c>
      <c r="Q362" t="s">
        <v>74</v>
      </c>
      <c r="R362" t="s">
        <v>74</v>
      </c>
      <c r="S362" t="s">
        <v>74</v>
      </c>
      <c r="T362" t="s">
        <v>7128</v>
      </c>
      <c r="U362" t="s">
        <v>7129</v>
      </c>
      <c r="V362" t="s">
        <v>74</v>
      </c>
      <c r="W362" t="s">
        <v>7130</v>
      </c>
      <c r="X362" t="s">
        <v>7131</v>
      </c>
      <c r="Y362" t="s">
        <v>7132</v>
      </c>
      <c r="Z362" t="s">
        <v>7133</v>
      </c>
      <c r="AA362" t="s">
        <v>7134</v>
      </c>
      <c r="AB362" t="s">
        <v>7135</v>
      </c>
      <c r="AC362" t="s">
        <v>74</v>
      </c>
      <c r="AD362" t="s">
        <v>74</v>
      </c>
      <c r="AE362" t="s">
        <v>74</v>
      </c>
      <c r="AF362" t="s">
        <v>74</v>
      </c>
      <c r="AG362">
        <v>41</v>
      </c>
      <c r="AH362">
        <v>7</v>
      </c>
      <c r="AI362">
        <v>7</v>
      </c>
      <c r="AJ362">
        <v>0</v>
      </c>
      <c r="AK362">
        <v>11</v>
      </c>
      <c r="AL362" t="s">
        <v>7136</v>
      </c>
      <c r="AM362" t="s">
        <v>7137</v>
      </c>
      <c r="AN362" t="s">
        <v>7138</v>
      </c>
      <c r="AO362" t="s">
        <v>7139</v>
      </c>
      <c r="AP362" t="s">
        <v>7140</v>
      </c>
      <c r="AQ362" t="s">
        <v>74</v>
      </c>
      <c r="AR362" t="s">
        <v>7141</v>
      </c>
      <c r="AS362" t="s">
        <v>7142</v>
      </c>
      <c r="AT362" t="s">
        <v>4943</v>
      </c>
      <c r="AU362">
        <v>2017</v>
      </c>
      <c r="AV362">
        <v>113</v>
      </c>
      <c r="AW362" t="s">
        <v>7143</v>
      </c>
      <c r="AX362" t="s">
        <v>74</v>
      </c>
      <c r="AY362" t="s">
        <v>74</v>
      </c>
      <c r="AZ362" t="s">
        <v>74</v>
      </c>
      <c r="BA362" t="s">
        <v>74</v>
      </c>
      <c r="BB362">
        <v>11</v>
      </c>
      <c r="BC362">
        <v>17</v>
      </c>
      <c r="BD362" t="s">
        <v>7144</v>
      </c>
      <c r="BE362" t="s">
        <v>7145</v>
      </c>
      <c r="BF362" t="str">
        <f>HYPERLINK("http://dx.doi.org/10.17159/sajs.2017/a0205","http://dx.doi.org/10.17159/sajs.2017/a0205")</f>
        <v>http://dx.doi.org/10.17159/sajs.2017/a0205</v>
      </c>
      <c r="BG362" t="s">
        <v>74</v>
      </c>
      <c r="BH362" t="s">
        <v>74</v>
      </c>
      <c r="BI362">
        <v>7</v>
      </c>
      <c r="BJ362" t="s">
        <v>1617</v>
      </c>
      <c r="BK362" t="s">
        <v>103</v>
      </c>
      <c r="BL362" t="s">
        <v>1618</v>
      </c>
      <c r="BM362" t="s">
        <v>7146</v>
      </c>
      <c r="BN362" t="s">
        <v>74</v>
      </c>
      <c r="BO362" t="s">
        <v>4540</v>
      </c>
      <c r="BP362" t="s">
        <v>74</v>
      </c>
      <c r="BQ362" t="s">
        <v>74</v>
      </c>
      <c r="BR362" t="s">
        <v>106</v>
      </c>
      <c r="BS362" t="s">
        <v>7147</v>
      </c>
      <c r="BT362" t="str">
        <f>HYPERLINK("https%3A%2F%2Fwww.webofscience.com%2Fwos%2Fwoscc%2Ffull-record%2FWOS:000402327600004","View Full Record in Web of Science")</f>
        <v>View Full Record in Web of Science</v>
      </c>
    </row>
    <row r="363" spans="1:72" x14ac:dyDescent="0.15">
      <c r="A363" t="s">
        <v>72</v>
      </c>
      <c r="B363" t="s">
        <v>7148</v>
      </c>
      <c r="C363" t="s">
        <v>74</v>
      </c>
      <c r="D363" t="s">
        <v>74</v>
      </c>
      <c r="E363" t="s">
        <v>74</v>
      </c>
      <c r="F363" t="s">
        <v>7149</v>
      </c>
      <c r="G363" t="s">
        <v>74</v>
      </c>
      <c r="H363" t="s">
        <v>74</v>
      </c>
      <c r="I363" t="s">
        <v>7150</v>
      </c>
      <c r="J363" t="s">
        <v>2173</v>
      </c>
      <c r="K363" t="s">
        <v>74</v>
      </c>
      <c r="L363" t="s">
        <v>74</v>
      </c>
      <c r="M363" t="s">
        <v>78</v>
      </c>
      <c r="N363" t="s">
        <v>79</v>
      </c>
      <c r="O363" t="s">
        <v>74</v>
      </c>
      <c r="P363" t="s">
        <v>74</v>
      </c>
      <c r="Q363" t="s">
        <v>74</v>
      </c>
      <c r="R363" t="s">
        <v>74</v>
      </c>
      <c r="S363" t="s">
        <v>74</v>
      </c>
      <c r="T363" t="s">
        <v>7151</v>
      </c>
      <c r="U363" t="s">
        <v>7152</v>
      </c>
      <c r="V363" t="s">
        <v>7153</v>
      </c>
      <c r="W363" t="s">
        <v>7154</v>
      </c>
      <c r="X363" t="s">
        <v>7155</v>
      </c>
      <c r="Y363" t="s">
        <v>3381</v>
      </c>
      <c r="Z363" t="s">
        <v>3382</v>
      </c>
      <c r="AA363" t="s">
        <v>3383</v>
      </c>
      <c r="AB363" t="s">
        <v>3384</v>
      </c>
      <c r="AC363" t="s">
        <v>7156</v>
      </c>
      <c r="AD363" t="s">
        <v>7157</v>
      </c>
      <c r="AE363" t="s">
        <v>7158</v>
      </c>
      <c r="AF363" t="s">
        <v>74</v>
      </c>
      <c r="AG363">
        <v>55</v>
      </c>
      <c r="AH363">
        <v>15</v>
      </c>
      <c r="AI363">
        <v>15</v>
      </c>
      <c r="AJ363">
        <v>0</v>
      </c>
      <c r="AK363">
        <v>28</v>
      </c>
      <c r="AL363" t="s">
        <v>656</v>
      </c>
      <c r="AM363" t="s">
        <v>93</v>
      </c>
      <c r="AN363" t="s">
        <v>657</v>
      </c>
      <c r="AO363" t="s">
        <v>2185</v>
      </c>
      <c r="AP363" t="s">
        <v>2186</v>
      </c>
      <c r="AQ363" t="s">
        <v>74</v>
      </c>
      <c r="AR363" t="s">
        <v>2173</v>
      </c>
      <c r="AS363" t="s">
        <v>2187</v>
      </c>
      <c r="AT363" t="s">
        <v>4623</v>
      </c>
      <c r="AU363">
        <v>2017</v>
      </c>
      <c r="AV363">
        <v>174</v>
      </c>
      <c r="AW363" t="s">
        <v>74</v>
      </c>
      <c r="AX363" t="s">
        <v>74</v>
      </c>
      <c r="AY363" t="s">
        <v>74</v>
      </c>
      <c r="AZ363" t="s">
        <v>74</v>
      </c>
      <c r="BA363" t="s">
        <v>74</v>
      </c>
      <c r="BB363">
        <v>747</v>
      </c>
      <c r="BC363">
        <v>753</v>
      </c>
      <c r="BD363" t="s">
        <v>74</v>
      </c>
      <c r="BE363" t="s">
        <v>7159</v>
      </c>
      <c r="BF363" t="str">
        <f>HYPERLINK("http://dx.doi.org/10.1016/j.chemosphere.2017.02.031","http://dx.doi.org/10.1016/j.chemosphere.2017.02.031")</f>
        <v>http://dx.doi.org/10.1016/j.chemosphere.2017.02.031</v>
      </c>
      <c r="BG363" t="s">
        <v>74</v>
      </c>
      <c r="BH363" t="s">
        <v>74</v>
      </c>
      <c r="BI363">
        <v>7</v>
      </c>
      <c r="BJ363" t="s">
        <v>2189</v>
      </c>
      <c r="BK363" t="s">
        <v>103</v>
      </c>
      <c r="BL363" t="s">
        <v>993</v>
      </c>
      <c r="BM363" t="s">
        <v>6264</v>
      </c>
      <c r="BN363">
        <v>28237525</v>
      </c>
      <c r="BO363" t="s">
        <v>74</v>
      </c>
      <c r="BP363" t="s">
        <v>74</v>
      </c>
      <c r="BQ363" t="s">
        <v>74</v>
      </c>
      <c r="BR363" t="s">
        <v>106</v>
      </c>
      <c r="BS363" t="s">
        <v>7160</v>
      </c>
      <c r="BT363" t="str">
        <f>HYPERLINK("https%3A%2F%2Fwww.webofscience.com%2Fwos%2Fwoscc%2Ffull-record%2FWOS:000397076000081","View Full Record in Web of Science")</f>
        <v>View Full Record in Web of Science</v>
      </c>
    </row>
    <row r="364" spans="1:72" x14ac:dyDescent="0.15">
      <c r="A364" t="s">
        <v>72</v>
      </c>
      <c r="B364" t="s">
        <v>7161</v>
      </c>
      <c r="C364" t="s">
        <v>74</v>
      </c>
      <c r="D364" t="s">
        <v>74</v>
      </c>
      <c r="E364" t="s">
        <v>74</v>
      </c>
      <c r="F364" t="s">
        <v>7162</v>
      </c>
      <c r="G364" t="s">
        <v>74</v>
      </c>
      <c r="H364" t="s">
        <v>74</v>
      </c>
      <c r="I364" t="s">
        <v>7163</v>
      </c>
      <c r="J364" t="s">
        <v>7164</v>
      </c>
      <c r="K364" t="s">
        <v>74</v>
      </c>
      <c r="L364" t="s">
        <v>74</v>
      </c>
      <c r="M364" t="s">
        <v>78</v>
      </c>
      <c r="N364" t="s">
        <v>79</v>
      </c>
      <c r="O364" t="s">
        <v>74</v>
      </c>
      <c r="P364" t="s">
        <v>74</v>
      </c>
      <c r="Q364" t="s">
        <v>74</v>
      </c>
      <c r="R364" t="s">
        <v>74</v>
      </c>
      <c r="S364" t="s">
        <v>74</v>
      </c>
      <c r="T364" t="s">
        <v>7165</v>
      </c>
      <c r="U364" t="s">
        <v>7166</v>
      </c>
      <c r="V364" t="s">
        <v>7167</v>
      </c>
      <c r="W364" t="s">
        <v>7168</v>
      </c>
      <c r="X364" t="s">
        <v>1525</v>
      </c>
      <c r="Y364" t="s">
        <v>7169</v>
      </c>
      <c r="Z364" t="s">
        <v>7170</v>
      </c>
      <c r="AA364" t="s">
        <v>7171</v>
      </c>
      <c r="AB364" t="s">
        <v>7172</v>
      </c>
      <c r="AC364" t="s">
        <v>7173</v>
      </c>
      <c r="AD364" t="s">
        <v>7174</v>
      </c>
      <c r="AE364" t="s">
        <v>7175</v>
      </c>
      <c r="AF364" t="s">
        <v>74</v>
      </c>
      <c r="AG364">
        <v>55</v>
      </c>
      <c r="AH364">
        <v>7</v>
      </c>
      <c r="AI364">
        <v>7</v>
      </c>
      <c r="AJ364">
        <v>1</v>
      </c>
      <c r="AK364">
        <v>14</v>
      </c>
      <c r="AL364" t="s">
        <v>5879</v>
      </c>
      <c r="AM364" t="s">
        <v>430</v>
      </c>
      <c r="AN364" t="s">
        <v>7176</v>
      </c>
      <c r="AO364" t="s">
        <v>7177</v>
      </c>
      <c r="AP364" t="s">
        <v>7178</v>
      </c>
      <c r="AQ364" t="s">
        <v>74</v>
      </c>
      <c r="AR364" t="s">
        <v>7179</v>
      </c>
      <c r="AS364" t="s">
        <v>7180</v>
      </c>
      <c r="AT364" t="s">
        <v>4623</v>
      </c>
      <c r="AU364">
        <v>2017</v>
      </c>
      <c r="AV364">
        <v>38</v>
      </c>
      <c r="AW364" t="s">
        <v>74</v>
      </c>
      <c r="AX364" t="s">
        <v>74</v>
      </c>
      <c r="AY364" t="s">
        <v>74</v>
      </c>
      <c r="AZ364" t="s">
        <v>74</v>
      </c>
      <c r="BA364" t="s">
        <v>74</v>
      </c>
      <c r="BB364">
        <v>39</v>
      </c>
      <c r="BC364">
        <v>46</v>
      </c>
      <c r="BD364" t="s">
        <v>74</v>
      </c>
      <c r="BE364" t="s">
        <v>7181</v>
      </c>
      <c r="BF364" t="str">
        <f>HYPERLINK("http://dx.doi.org/10.1016/j.mri.2016.12.017","http://dx.doi.org/10.1016/j.mri.2016.12.017")</f>
        <v>http://dx.doi.org/10.1016/j.mri.2016.12.017</v>
      </c>
      <c r="BG364" t="s">
        <v>74</v>
      </c>
      <c r="BH364" t="s">
        <v>74</v>
      </c>
      <c r="BI364">
        <v>8</v>
      </c>
      <c r="BJ364" t="s">
        <v>7182</v>
      </c>
      <c r="BK364" t="s">
        <v>103</v>
      </c>
      <c r="BL364" t="s">
        <v>7182</v>
      </c>
      <c r="BM364" t="s">
        <v>7183</v>
      </c>
      <c r="BN364">
        <v>27998746</v>
      </c>
      <c r="BO364" t="s">
        <v>1538</v>
      </c>
      <c r="BP364" t="s">
        <v>74</v>
      </c>
      <c r="BQ364" t="s">
        <v>74</v>
      </c>
      <c r="BR364" t="s">
        <v>106</v>
      </c>
      <c r="BS364" t="s">
        <v>7184</v>
      </c>
      <c r="BT364" t="str">
        <f>HYPERLINK("https%3A%2F%2Fwww.webofscience.com%2Fwos%2Fwoscc%2Ffull-record%2FWOS:000398008700007","View Full Record in Web of Science")</f>
        <v>View Full Record in Web of Science</v>
      </c>
    </row>
    <row r="365" spans="1:72" x14ac:dyDescent="0.15">
      <c r="A365" t="s">
        <v>72</v>
      </c>
      <c r="B365" t="s">
        <v>7185</v>
      </c>
      <c r="C365" t="s">
        <v>74</v>
      </c>
      <c r="D365" t="s">
        <v>74</v>
      </c>
      <c r="E365" t="s">
        <v>74</v>
      </c>
      <c r="F365" t="s">
        <v>7186</v>
      </c>
      <c r="G365" t="s">
        <v>74</v>
      </c>
      <c r="H365" t="s">
        <v>74</v>
      </c>
      <c r="I365" t="s">
        <v>7187</v>
      </c>
      <c r="J365" t="s">
        <v>6178</v>
      </c>
      <c r="K365" t="s">
        <v>74</v>
      </c>
      <c r="L365" t="s">
        <v>74</v>
      </c>
      <c r="M365" t="s">
        <v>78</v>
      </c>
      <c r="N365" t="s">
        <v>518</v>
      </c>
      <c r="O365" t="s">
        <v>74</v>
      </c>
      <c r="P365" t="s">
        <v>74</v>
      </c>
      <c r="Q365" t="s">
        <v>74</v>
      </c>
      <c r="R365" t="s">
        <v>74</v>
      </c>
      <c r="S365" t="s">
        <v>74</v>
      </c>
      <c r="T365" t="s">
        <v>7188</v>
      </c>
      <c r="U365" t="s">
        <v>7189</v>
      </c>
      <c r="V365" t="s">
        <v>7190</v>
      </c>
      <c r="W365" t="s">
        <v>7191</v>
      </c>
      <c r="X365" t="s">
        <v>7192</v>
      </c>
      <c r="Y365" t="s">
        <v>7193</v>
      </c>
      <c r="Z365" t="s">
        <v>7194</v>
      </c>
      <c r="AA365" t="s">
        <v>7195</v>
      </c>
      <c r="AB365" t="s">
        <v>7196</v>
      </c>
      <c r="AC365" t="s">
        <v>7197</v>
      </c>
      <c r="AD365" t="s">
        <v>7198</v>
      </c>
      <c r="AE365" t="s">
        <v>7199</v>
      </c>
      <c r="AF365" t="s">
        <v>74</v>
      </c>
      <c r="AG365">
        <v>185</v>
      </c>
      <c r="AH365">
        <v>27</v>
      </c>
      <c r="AI365">
        <v>28</v>
      </c>
      <c r="AJ365">
        <v>2</v>
      </c>
      <c r="AK365">
        <v>146</v>
      </c>
      <c r="AL365" t="s">
        <v>681</v>
      </c>
      <c r="AM365" t="s">
        <v>682</v>
      </c>
      <c r="AN365" t="s">
        <v>683</v>
      </c>
      <c r="AO365" t="s">
        <v>6191</v>
      </c>
      <c r="AP365" t="s">
        <v>6192</v>
      </c>
      <c r="AQ365" t="s">
        <v>74</v>
      </c>
      <c r="AR365" t="s">
        <v>6193</v>
      </c>
      <c r="AS365" t="s">
        <v>6194</v>
      </c>
      <c r="AT365" t="s">
        <v>4623</v>
      </c>
      <c r="AU365">
        <v>2017</v>
      </c>
      <c r="AV365">
        <v>92</v>
      </c>
      <c r="AW365">
        <v>2</v>
      </c>
      <c r="AX365" t="s">
        <v>74</v>
      </c>
      <c r="AY365" t="s">
        <v>74</v>
      </c>
      <c r="AZ365" t="s">
        <v>74</v>
      </c>
      <c r="BA365" t="s">
        <v>74</v>
      </c>
      <c r="BB365">
        <v>627</v>
      </c>
      <c r="BC365">
        <v>646</v>
      </c>
      <c r="BD365" t="s">
        <v>74</v>
      </c>
      <c r="BE365" t="s">
        <v>7200</v>
      </c>
      <c r="BF365" t="str">
        <f>HYPERLINK("http://dx.doi.org/10.1111/brv.12246","http://dx.doi.org/10.1111/brv.12246")</f>
        <v>http://dx.doi.org/10.1111/brv.12246</v>
      </c>
      <c r="BG365" t="s">
        <v>74</v>
      </c>
      <c r="BH365" t="s">
        <v>74</v>
      </c>
      <c r="BI365">
        <v>20</v>
      </c>
      <c r="BJ365" t="s">
        <v>2828</v>
      </c>
      <c r="BK365" t="s">
        <v>5266</v>
      </c>
      <c r="BL365" t="s">
        <v>2829</v>
      </c>
      <c r="BM365" t="s">
        <v>6196</v>
      </c>
      <c r="BN365">
        <v>26680116</v>
      </c>
      <c r="BO365" t="s">
        <v>1538</v>
      </c>
      <c r="BP365" t="s">
        <v>74</v>
      </c>
      <c r="BQ365" t="s">
        <v>74</v>
      </c>
      <c r="BR365" t="s">
        <v>106</v>
      </c>
      <c r="BS365" t="s">
        <v>7201</v>
      </c>
      <c r="BT365" t="str">
        <f>HYPERLINK("https%3A%2F%2Fwww.webofscience.com%2Fwos%2Fwoscc%2Ffull-record%2FWOS:000398567200001","View Full Record in Web of Science")</f>
        <v>View Full Record in Web of Science</v>
      </c>
    </row>
    <row r="366" spans="1:72" x14ac:dyDescent="0.15">
      <c r="A366" t="s">
        <v>72</v>
      </c>
      <c r="B366" t="s">
        <v>7202</v>
      </c>
      <c r="C366" t="s">
        <v>74</v>
      </c>
      <c r="D366" t="s">
        <v>74</v>
      </c>
      <c r="E366" t="s">
        <v>74</v>
      </c>
      <c r="F366" t="s">
        <v>7203</v>
      </c>
      <c r="G366" t="s">
        <v>74</v>
      </c>
      <c r="H366" t="s">
        <v>74</v>
      </c>
      <c r="I366" t="s">
        <v>7204</v>
      </c>
      <c r="J366" t="s">
        <v>7205</v>
      </c>
      <c r="K366" t="s">
        <v>74</v>
      </c>
      <c r="L366" t="s">
        <v>74</v>
      </c>
      <c r="M366" t="s">
        <v>78</v>
      </c>
      <c r="N366" t="s">
        <v>79</v>
      </c>
      <c r="O366" t="s">
        <v>74</v>
      </c>
      <c r="P366" t="s">
        <v>74</v>
      </c>
      <c r="Q366" t="s">
        <v>74</v>
      </c>
      <c r="R366" t="s">
        <v>74</v>
      </c>
      <c r="S366" t="s">
        <v>74</v>
      </c>
      <c r="T366" t="s">
        <v>7206</v>
      </c>
      <c r="U366" t="s">
        <v>7207</v>
      </c>
      <c r="V366" t="s">
        <v>7208</v>
      </c>
      <c r="W366" t="s">
        <v>7209</v>
      </c>
      <c r="X366" t="s">
        <v>7210</v>
      </c>
      <c r="Y366" t="s">
        <v>7211</v>
      </c>
      <c r="Z366" t="s">
        <v>7212</v>
      </c>
      <c r="AA366" t="s">
        <v>7213</v>
      </c>
      <c r="AB366" t="s">
        <v>7214</v>
      </c>
      <c r="AC366" t="s">
        <v>7215</v>
      </c>
      <c r="AD366" t="s">
        <v>7216</v>
      </c>
      <c r="AE366" t="s">
        <v>7217</v>
      </c>
      <c r="AF366" t="s">
        <v>74</v>
      </c>
      <c r="AG366">
        <v>100</v>
      </c>
      <c r="AH366">
        <v>8</v>
      </c>
      <c r="AI366">
        <v>9</v>
      </c>
      <c r="AJ366">
        <v>1</v>
      </c>
      <c r="AK366">
        <v>28</v>
      </c>
      <c r="AL366" t="s">
        <v>317</v>
      </c>
      <c r="AM366" t="s">
        <v>318</v>
      </c>
      <c r="AN366" t="s">
        <v>319</v>
      </c>
      <c r="AO366" t="s">
        <v>7218</v>
      </c>
      <c r="AP366" t="s">
        <v>7219</v>
      </c>
      <c r="AQ366" t="s">
        <v>74</v>
      </c>
      <c r="AR366" t="s">
        <v>7205</v>
      </c>
      <c r="AS366" t="s">
        <v>7220</v>
      </c>
      <c r="AT366" t="s">
        <v>4623</v>
      </c>
      <c r="AU366">
        <v>2017</v>
      </c>
      <c r="AV366">
        <v>152</v>
      </c>
      <c r="AW366" t="s">
        <v>74</v>
      </c>
      <c r="AX366" t="s">
        <v>74</v>
      </c>
      <c r="AY366" t="s">
        <v>74</v>
      </c>
      <c r="AZ366" t="s">
        <v>74</v>
      </c>
      <c r="BA366" t="s">
        <v>74</v>
      </c>
      <c r="BB366">
        <v>69</v>
      </c>
      <c r="BC366">
        <v>81</v>
      </c>
      <c r="BD366" t="s">
        <v>74</v>
      </c>
      <c r="BE366" t="s">
        <v>7221</v>
      </c>
      <c r="BF366" t="str">
        <f>HYPERLINK("http://dx.doi.org/10.1016/j.catena.2017.01.004","http://dx.doi.org/10.1016/j.catena.2017.01.004")</f>
        <v>http://dx.doi.org/10.1016/j.catena.2017.01.004</v>
      </c>
      <c r="BG366" t="s">
        <v>74</v>
      </c>
      <c r="BH366" t="s">
        <v>74</v>
      </c>
      <c r="BI366">
        <v>13</v>
      </c>
      <c r="BJ366" t="s">
        <v>7222</v>
      </c>
      <c r="BK366" t="s">
        <v>103</v>
      </c>
      <c r="BL366" t="s">
        <v>7223</v>
      </c>
      <c r="BM366" t="s">
        <v>7224</v>
      </c>
      <c r="BN366" t="s">
        <v>74</v>
      </c>
      <c r="BO366" t="s">
        <v>74</v>
      </c>
      <c r="BP366" t="s">
        <v>74</v>
      </c>
      <c r="BQ366" t="s">
        <v>74</v>
      </c>
      <c r="BR366" t="s">
        <v>106</v>
      </c>
      <c r="BS366" t="s">
        <v>7225</v>
      </c>
      <c r="BT366" t="str">
        <f>HYPERLINK("https%3A%2F%2Fwww.webofscience.com%2Fwos%2Fwoscc%2Ffull-record%2FWOS:000395218600008","View Full Record in Web of Science")</f>
        <v>View Full Record in Web of Science</v>
      </c>
    </row>
    <row r="367" spans="1:72" x14ac:dyDescent="0.15">
      <c r="A367" t="s">
        <v>72</v>
      </c>
      <c r="B367" t="s">
        <v>7226</v>
      </c>
      <c r="C367" t="s">
        <v>74</v>
      </c>
      <c r="D367" t="s">
        <v>74</v>
      </c>
      <c r="E367" t="s">
        <v>74</v>
      </c>
      <c r="F367" t="s">
        <v>7227</v>
      </c>
      <c r="G367" t="s">
        <v>74</v>
      </c>
      <c r="H367" t="s">
        <v>74</v>
      </c>
      <c r="I367" t="s">
        <v>7228</v>
      </c>
      <c r="J367" t="s">
        <v>7229</v>
      </c>
      <c r="K367" t="s">
        <v>74</v>
      </c>
      <c r="L367" t="s">
        <v>74</v>
      </c>
      <c r="M367" t="s">
        <v>78</v>
      </c>
      <c r="N367" t="s">
        <v>79</v>
      </c>
      <c r="O367" t="s">
        <v>74</v>
      </c>
      <c r="P367" t="s">
        <v>74</v>
      </c>
      <c r="Q367" t="s">
        <v>74</v>
      </c>
      <c r="R367" t="s">
        <v>74</v>
      </c>
      <c r="S367" t="s">
        <v>74</v>
      </c>
      <c r="T367" t="s">
        <v>7230</v>
      </c>
      <c r="U367" t="s">
        <v>7231</v>
      </c>
      <c r="V367" t="s">
        <v>7232</v>
      </c>
      <c r="W367" t="s">
        <v>7233</v>
      </c>
      <c r="X367" t="s">
        <v>7234</v>
      </c>
      <c r="Y367" t="s">
        <v>7235</v>
      </c>
      <c r="Z367" t="s">
        <v>7236</v>
      </c>
      <c r="AA367" t="s">
        <v>7237</v>
      </c>
      <c r="AB367" t="s">
        <v>7238</v>
      </c>
      <c r="AC367" t="s">
        <v>7239</v>
      </c>
      <c r="AD367" t="s">
        <v>7240</v>
      </c>
      <c r="AE367" t="s">
        <v>7241</v>
      </c>
      <c r="AF367" t="s">
        <v>74</v>
      </c>
      <c r="AG367">
        <v>79</v>
      </c>
      <c r="AH367">
        <v>3</v>
      </c>
      <c r="AI367">
        <v>4</v>
      </c>
      <c r="AJ367">
        <v>1</v>
      </c>
      <c r="AK367">
        <v>19</v>
      </c>
      <c r="AL367" t="s">
        <v>656</v>
      </c>
      <c r="AM367" t="s">
        <v>93</v>
      </c>
      <c r="AN367" t="s">
        <v>657</v>
      </c>
      <c r="AO367" t="s">
        <v>7242</v>
      </c>
      <c r="AP367" t="s">
        <v>7243</v>
      </c>
      <c r="AQ367" t="s">
        <v>74</v>
      </c>
      <c r="AR367" t="s">
        <v>7244</v>
      </c>
      <c r="AS367" t="s">
        <v>7245</v>
      </c>
      <c r="AT367" t="s">
        <v>7246</v>
      </c>
      <c r="AU367">
        <v>2017</v>
      </c>
      <c r="AV367">
        <v>436</v>
      </c>
      <c r="AW367" t="s">
        <v>74</v>
      </c>
      <c r="AX367" t="s">
        <v>380</v>
      </c>
      <c r="AY367" t="s">
        <v>74</v>
      </c>
      <c r="AZ367" t="s">
        <v>74</v>
      </c>
      <c r="BA367" t="s">
        <v>74</v>
      </c>
      <c r="BB367">
        <v>45</v>
      </c>
      <c r="BC367">
        <v>56</v>
      </c>
      <c r="BD367" t="s">
        <v>74</v>
      </c>
      <c r="BE367" t="s">
        <v>7247</v>
      </c>
      <c r="BF367" t="str">
        <f>HYPERLINK("http://dx.doi.org/10.1016/j.quaint.2016.12.021","http://dx.doi.org/10.1016/j.quaint.2016.12.021")</f>
        <v>http://dx.doi.org/10.1016/j.quaint.2016.12.021</v>
      </c>
      <c r="BG367" t="s">
        <v>74</v>
      </c>
      <c r="BH367" t="s">
        <v>74</v>
      </c>
      <c r="BI367">
        <v>12</v>
      </c>
      <c r="BJ367" t="s">
        <v>1338</v>
      </c>
      <c r="BK367" t="s">
        <v>103</v>
      </c>
      <c r="BL367" t="s">
        <v>1339</v>
      </c>
      <c r="BM367" t="s">
        <v>7248</v>
      </c>
      <c r="BN367" t="s">
        <v>74</v>
      </c>
      <c r="BO367" t="s">
        <v>74</v>
      </c>
      <c r="BP367" t="s">
        <v>74</v>
      </c>
      <c r="BQ367" t="s">
        <v>74</v>
      </c>
      <c r="BR367" t="s">
        <v>106</v>
      </c>
      <c r="BS367" t="s">
        <v>7249</v>
      </c>
      <c r="BT367" t="str">
        <f>HYPERLINK("https%3A%2F%2Fwww.webofscience.com%2Fwos%2Fwoscc%2Ffull-record%2FWOS:000399257200006","View Full Record in Web of Science")</f>
        <v>View Full Record in Web of Science</v>
      </c>
    </row>
    <row r="368" spans="1:72" x14ac:dyDescent="0.15">
      <c r="A368" t="s">
        <v>72</v>
      </c>
      <c r="B368" t="s">
        <v>7250</v>
      </c>
      <c r="C368" t="s">
        <v>74</v>
      </c>
      <c r="D368" t="s">
        <v>74</v>
      </c>
      <c r="E368" t="s">
        <v>74</v>
      </c>
      <c r="F368" t="s">
        <v>7251</v>
      </c>
      <c r="G368" t="s">
        <v>74</v>
      </c>
      <c r="H368" t="s">
        <v>74</v>
      </c>
      <c r="I368" t="s">
        <v>7252</v>
      </c>
      <c r="J368" t="s">
        <v>3684</v>
      </c>
      <c r="K368" t="s">
        <v>74</v>
      </c>
      <c r="L368" t="s">
        <v>74</v>
      </c>
      <c r="M368" t="s">
        <v>78</v>
      </c>
      <c r="N368" t="s">
        <v>79</v>
      </c>
      <c r="O368" t="s">
        <v>74</v>
      </c>
      <c r="P368" t="s">
        <v>74</v>
      </c>
      <c r="Q368" t="s">
        <v>74</v>
      </c>
      <c r="R368" t="s">
        <v>74</v>
      </c>
      <c r="S368" t="s">
        <v>74</v>
      </c>
      <c r="T368" t="s">
        <v>74</v>
      </c>
      <c r="U368" t="s">
        <v>7253</v>
      </c>
      <c r="V368" t="s">
        <v>7254</v>
      </c>
      <c r="W368" t="s">
        <v>7255</v>
      </c>
      <c r="X368" t="s">
        <v>796</v>
      </c>
      <c r="Y368" t="s">
        <v>7256</v>
      </c>
      <c r="Z368" t="s">
        <v>7257</v>
      </c>
      <c r="AA368" t="s">
        <v>7258</v>
      </c>
      <c r="AB368" t="s">
        <v>7259</v>
      </c>
      <c r="AC368" t="s">
        <v>7260</v>
      </c>
      <c r="AD368" t="s">
        <v>7261</v>
      </c>
      <c r="AE368" t="s">
        <v>7262</v>
      </c>
      <c r="AF368" t="s">
        <v>74</v>
      </c>
      <c r="AG368">
        <v>34</v>
      </c>
      <c r="AH368">
        <v>5</v>
      </c>
      <c r="AI368">
        <v>5</v>
      </c>
      <c r="AJ368">
        <v>0</v>
      </c>
      <c r="AK368">
        <v>10</v>
      </c>
      <c r="AL368" t="s">
        <v>222</v>
      </c>
      <c r="AM368" t="s">
        <v>223</v>
      </c>
      <c r="AN368" t="s">
        <v>224</v>
      </c>
      <c r="AO368" t="s">
        <v>3696</v>
      </c>
      <c r="AP368" t="s">
        <v>3697</v>
      </c>
      <c r="AQ368" t="s">
        <v>74</v>
      </c>
      <c r="AR368" t="s">
        <v>3698</v>
      </c>
      <c r="AS368" t="s">
        <v>3699</v>
      </c>
      <c r="AT368" t="s">
        <v>7263</v>
      </c>
      <c r="AU368">
        <v>2017</v>
      </c>
      <c r="AV368">
        <v>44</v>
      </c>
      <c r="AW368">
        <v>8</v>
      </c>
      <c r="AX368" t="s">
        <v>74</v>
      </c>
      <c r="AY368" t="s">
        <v>74</v>
      </c>
      <c r="AZ368" t="s">
        <v>74</v>
      </c>
      <c r="BA368" t="s">
        <v>74</v>
      </c>
      <c r="BB368">
        <v>3691</v>
      </c>
      <c r="BC368">
        <v>3699</v>
      </c>
      <c r="BD368" t="s">
        <v>74</v>
      </c>
      <c r="BE368" t="s">
        <v>7264</v>
      </c>
      <c r="BF368" t="str">
        <f>HYPERLINK("http://dx.doi.org/10.1002/2016GL071645","http://dx.doi.org/10.1002/2016GL071645")</f>
        <v>http://dx.doi.org/10.1002/2016GL071645</v>
      </c>
      <c r="BG368" t="s">
        <v>74</v>
      </c>
      <c r="BH368" t="s">
        <v>74</v>
      </c>
      <c r="BI368">
        <v>9</v>
      </c>
      <c r="BJ368" t="s">
        <v>437</v>
      </c>
      <c r="BK368" t="s">
        <v>103</v>
      </c>
      <c r="BL368" t="s">
        <v>438</v>
      </c>
      <c r="BM368" t="s">
        <v>7265</v>
      </c>
      <c r="BN368" t="s">
        <v>74</v>
      </c>
      <c r="BO368" t="s">
        <v>2510</v>
      </c>
      <c r="BP368" t="s">
        <v>74</v>
      </c>
      <c r="BQ368" t="s">
        <v>74</v>
      </c>
      <c r="BR368" t="s">
        <v>106</v>
      </c>
      <c r="BS368" t="s">
        <v>7266</v>
      </c>
      <c r="BT368" t="str">
        <f>HYPERLINK("https%3A%2F%2Fwww.webofscience.com%2Fwos%2Fwoscc%2Ffull-record%2FWOS:000401847500030","View Full Record in Web of Science")</f>
        <v>View Full Record in Web of Science</v>
      </c>
    </row>
    <row r="369" spans="1:72" x14ac:dyDescent="0.15">
      <c r="A369" t="s">
        <v>72</v>
      </c>
      <c r="B369" t="s">
        <v>7267</v>
      </c>
      <c r="C369" t="s">
        <v>74</v>
      </c>
      <c r="D369" t="s">
        <v>74</v>
      </c>
      <c r="E369" t="s">
        <v>74</v>
      </c>
      <c r="F369" t="s">
        <v>7268</v>
      </c>
      <c r="G369" t="s">
        <v>74</v>
      </c>
      <c r="H369" t="s">
        <v>74</v>
      </c>
      <c r="I369" t="s">
        <v>7269</v>
      </c>
      <c r="J369" t="s">
        <v>3684</v>
      </c>
      <c r="K369" t="s">
        <v>74</v>
      </c>
      <c r="L369" t="s">
        <v>74</v>
      </c>
      <c r="M369" t="s">
        <v>78</v>
      </c>
      <c r="N369" t="s">
        <v>79</v>
      </c>
      <c r="O369" t="s">
        <v>74</v>
      </c>
      <c r="P369" t="s">
        <v>74</v>
      </c>
      <c r="Q369" t="s">
        <v>74</v>
      </c>
      <c r="R369" t="s">
        <v>74</v>
      </c>
      <c r="S369" t="s">
        <v>74</v>
      </c>
      <c r="T369" t="s">
        <v>74</v>
      </c>
      <c r="U369" t="s">
        <v>7270</v>
      </c>
      <c r="V369" t="s">
        <v>7271</v>
      </c>
      <c r="W369" t="s">
        <v>7272</v>
      </c>
      <c r="X369" t="s">
        <v>7273</v>
      </c>
      <c r="Y369" t="s">
        <v>7274</v>
      </c>
      <c r="Z369" t="s">
        <v>7275</v>
      </c>
      <c r="AA369" t="s">
        <v>7276</v>
      </c>
      <c r="AB369" t="s">
        <v>7277</v>
      </c>
      <c r="AC369" t="s">
        <v>7278</v>
      </c>
      <c r="AD369" t="s">
        <v>7279</v>
      </c>
      <c r="AE369" t="s">
        <v>7280</v>
      </c>
      <c r="AF369" t="s">
        <v>74</v>
      </c>
      <c r="AG369">
        <v>34</v>
      </c>
      <c r="AH369">
        <v>43</v>
      </c>
      <c r="AI369">
        <v>44</v>
      </c>
      <c r="AJ369">
        <v>0</v>
      </c>
      <c r="AK369">
        <v>9</v>
      </c>
      <c r="AL369" t="s">
        <v>222</v>
      </c>
      <c r="AM369" t="s">
        <v>223</v>
      </c>
      <c r="AN369" t="s">
        <v>224</v>
      </c>
      <c r="AO369" t="s">
        <v>3696</v>
      </c>
      <c r="AP369" t="s">
        <v>3697</v>
      </c>
      <c r="AQ369" t="s">
        <v>74</v>
      </c>
      <c r="AR369" t="s">
        <v>3698</v>
      </c>
      <c r="AS369" t="s">
        <v>3699</v>
      </c>
      <c r="AT369" t="s">
        <v>7263</v>
      </c>
      <c r="AU369">
        <v>2017</v>
      </c>
      <c r="AV369">
        <v>44</v>
      </c>
      <c r="AW369">
        <v>8</v>
      </c>
      <c r="AX369" t="s">
        <v>74</v>
      </c>
      <c r="AY369" t="s">
        <v>74</v>
      </c>
      <c r="AZ369" t="s">
        <v>74</v>
      </c>
      <c r="BA369" t="s">
        <v>74</v>
      </c>
      <c r="BB369">
        <v>3710</v>
      </c>
      <c r="BC369">
        <v>3718</v>
      </c>
      <c r="BD369" t="s">
        <v>74</v>
      </c>
      <c r="BE369" t="s">
        <v>7281</v>
      </c>
      <c r="BF369" t="str">
        <f>HYPERLINK("http://dx.doi.org/10.1002/2016GL072093","http://dx.doi.org/10.1002/2016GL072093")</f>
        <v>http://dx.doi.org/10.1002/2016GL072093</v>
      </c>
      <c r="BG369" t="s">
        <v>74</v>
      </c>
      <c r="BH369" t="s">
        <v>74</v>
      </c>
      <c r="BI369">
        <v>9</v>
      </c>
      <c r="BJ369" t="s">
        <v>437</v>
      </c>
      <c r="BK369" t="s">
        <v>103</v>
      </c>
      <c r="BL369" t="s">
        <v>438</v>
      </c>
      <c r="BM369" t="s">
        <v>7265</v>
      </c>
      <c r="BN369" t="s">
        <v>74</v>
      </c>
      <c r="BO369" t="s">
        <v>7282</v>
      </c>
      <c r="BP369" t="s">
        <v>74</v>
      </c>
      <c r="BQ369" t="s">
        <v>74</v>
      </c>
      <c r="BR369" t="s">
        <v>106</v>
      </c>
      <c r="BS369" t="s">
        <v>7283</v>
      </c>
      <c r="BT369" t="str">
        <f>HYPERLINK("https%3A%2F%2Fwww.webofscience.com%2Fwos%2Fwoscc%2Ffull-record%2FWOS:000401847500032","View Full Record in Web of Science")</f>
        <v>View Full Record in Web of Science</v>
      </c>
    </row>
    <row r="370" spans="1:72" x14ac:dyDescent="0.15">
      <c r="A370" t="s">
        <v>72</v>
      </c>
      <c r="B370" t="s">
        <v>7284</v>
      </c>
      <c r="C370" t="s">
        <v>74</v>
      </c>
      <c r="D370" t="s">
        <v>74</v>
      </c>
      <c r="E370" t="s">
        <v>74</v>
      </c>
      <c r="F370" t="s">
        <v>7285</v>
      </c>
      <c r="G370" t="s">
        <v>74</v>
      </c>
      <c r="H370" t="s">
        <v>74</v>
      </c>
      <c r="I370" t="s">
        <v>7286</v>
      </c>
      <c r="J370" t="s">
        <v>3849</v>
      </c>
      <c r="K370" t="s">
        <v>74</v>
      </c>
      <c r="L370" t="s">
        <v>74</v>
      </c>
      <c r="M370" t="s">
        <v>78</v>
      </c>
      <c r="N370" t="s">
        <v>79</v>
      </c>
      <c r="O370" t="s">
        <v>74</v>
      </c>
      <c r="P370" t="s">
        <v>74</v>
      </c>
      <c r="Q370" t="s">
        <v>74</v>
      </c>
      <c r="R370" t="s">
        <v>74</v>
      </c>
      <c r="S370" t="s">
        <v>74</v>
      </c>
      <c r="T370" t="s">
        <v>74</v>
      </c>
      <c r="U370" t="s">
        <v>7287</v>
      </c>
      <c r="V370" t="s">
        <v>7288</v>
      </c>
      <c r="W370" t="s">
        <v>7289</v>
      </c>
      <c r="X370" t="s">
        <v>7290</v>
      </c>
      <c r="Y370" t="s">
        <v>7291</v>
      </c>
      <c r="Z370" t="s">
        <v>6455</v>
      </c>
      <c r="AA370" t="s">
        <v>7292</v>
      </c>
      <c r="AB370" t="s">
        <v>6457</v>
      </c>
      <c r="AC370" t="s">
        <v>7293</v>
      </c>
      <c r="AD370" t="s">
        <v>7294</v>
      </c>
      <c r="AE370" t="s">
        <v>7295</v>
      </c>
      <c r="AF370" t="s">
        <v>74</v>
      </c>
      <c r="AG370">
        <v>77</v>
      </c>
      <c r="AH370">
        <v>30</v>
      </c>
      <c r="AI370">
        <v>35</v>
      </c>
      <c r="AJ370">
        <v>1</v>
      </c>
      <c r="AK370">
        <v>24</v>
      </c>
      <c r="AL370" t="s">
        <v>3861</v>
      </c>
      <c r="AM370" t="s">
        <v>3862</v>
      </c>
      <c r="AN370" t="s">
        <v>3863</v>
      </c>
      <c r="AO370" t="s">
        <v>3864</v>
      </c>
      <c r="AP370" t="s">
        <v>74</v>
      </c>
      <c r="AQ370" t="s">
        <v>74</v>
      </c>
      <c r="AR370" t="s">
        <v>3849</v>
      </c>
      <c r="AS370" t="s">
        <v>3865</v>
      </c>
      <c r="AT370" t="s">
        <v>7263</v>
      </c>
      <c r="AU370">
        <v>2017</v>
      </c>
      <c r="AV370">
        <v>12</v>
      </c>
      <c r="AW370">
        <v>4</v>
      </c>
      <c r="AX370" t="s">
        <v>74</v>
      </c>
      <c r="AY370" t="s">
        <v>74</v>
      </c>
      <c r="AZ370" t="s">
        <v>74</v>
      </c>
      <c r="BA370" t="s">
        <v>74</v>
      </c>
      <c r="BB370" t="s">
        <v>74</v>
      </c>
      <c r="BC370" t="s">
        <v>74</v>
      </c>
      <c r="BD370" t="s">
        <v>7296</v>
      </c>
      <c r="BE370" t="s">
        <v>7297</v>
      </c>
      <c r="BF370" t="str">
        <f>HYPERLINK("http://dx.doi.org/10.1371/journal.pone.0174001","http://dx.doi.org/10.1371/journal.pone.0174001")</f>
        <v>http://dx.doi.org/10.1371/journal.pone.0174001</v>
      </c>
      <c r="BG370" t="s">
        <v>74</v>
      </c>
      <c r="BH370" t="s">
        <v>74</v>
      </c>
      <c r="BI370">
        <v>19</v>
      </c>
      <c r="BJ370" t="s">
        <v>1617</v>
      </c>
      <c r="BK370" t="s">
        <v>103</v>
      </c>
      <c r="BL370" t="s">
        <v>1618</v>
      </c>
      <c r="BM370" t="s">
        <v>7298</v>
      </c>
      <c r="BN370">
        <v>28453563</v>
      </c>
      <c r="BO370" t="s">
        <v>7299</v>
      </c>
      <c r="BP370" t="s">
        <v>74</v>
      </c>
      <c r="BQ370" t="s">
        <v>74</v>
      </c>
      <c r="BR370" t="s">
        <v>106</v>
      </c>
      <c r="BS370" t="s">
        <v>7300</v>
      </c>
      <c r="BT370" t="str">
        <f>HYPERLINK("https%3A%2F%2Fwww.webofscience.com%2Fwos%2Fwoscc%2Ffull-record%2FWOS:000400383900002","View Full Record in Web of Science")</f>
        <v>View Full Record in Web of Science</v>
      </c>
    </row>
    <row r="371" spans="1:72" x14ac:dyDescent="0.15">
      <c r="A371" t="s">
        <v>72</v>
      </c>
      <c r="B371" t="s">
        <v>7301</v>
      </c>
      <c r="C371" t="s">
        <v>74</v>
      </c>
      <c r="D371" t="s">
        <v>74</v>
      </c>
      <c r="E371" t="s">
        <v>74</v>
      </c>
      <c r="F371" t="s">
        <v>7302</v>
      </c>
      <c r="G371" t="s">
        <v>74</v>
      </c>
      <c r="H371" t="s">
        <v>74</v>
      </c>
      <c r="I371" t="s">
        <v>7303</v>
      </c>
      <c r="J371" t="s">
        <v>3661</v>
      </c>
      <c r="K371" t="s">
        <v>74</v>
      </c>
      <c r="L371" t="s">
        <v>74</v>
      </c>
      <c r="M371" t="s">
        <v>78</v>
      </c>
      <c r="N371" t="s">
        <v>79</v>
      </c>
      <c r="O371" t="s">
        <v>74</v>
      </c>
      <c r="P371" t="s">
        <v>74</v>
      </c>
      <c r="Q371" t="s">
        <v>74</v>
      </c>
      <c r="R371" t="s">
        <v>74</v>
      </c>
      <c r="S371" t="s">
        <v>74</v>
      </c>
      <c r="T371" t="s">
        <v>74</v>
      </c>
      <c r="U371" t="s">
        <v>7304</v>
      </c>
      <c r="V371" t="s">
        <v>7305</v>
      </c>
      <c r="W371" t="s">
        <v>7306</v>
      </c>
      <c r="X371" t="s">
        <v>7307</v>
      </c>
      <c r="Y371" t="s">
        <v>7308</v>
      </c>
      <c r="Z371" t="s">
        <v>7309</v>
      </c>
      <c r="AA371" t="s">
        <v>7310</v>
      </c>
      <c r="AB371" t="s">
        <v>7311</v>
      </c>
      <c r="AC371" t="s">
        <v>7312</v>
      </c>
      <c r="AD371" t="s">
        <v>7313</v>
      </c>
      <c r="AE371" t="s">
        <v>7314</v>
      </c>
      <c r="AF371" t="s">
        <v>74</v>
      </c>
      <c r="AG371">
        <v>46</v>
      </c>
      <c r="AH371">
        <v>32</v>
      </c>
      <c r="AI371">
        <v>37</v>
      </c>
      <c r="AJ371">
        <v>0</v>
      </c>
      <c r="AK371">
        <v>11</v>
      </c>
      <c r="AL371" t="s">
        <v>3671</v>
      </c>
      <c r="AM371" t="s">
        <v>3672</v>
      </c>
      <c r="AN371" t="s">
        <v>3673</v>
      </c>
      <c r="AO371" t="s">
        <v>3674</v>
      </c>
      <c r="AP371" t="s">
        <v>74</v>
      </c>
      <c r="AQ371" t="s">
        <v>74</v>
      </c>
      <c r="AR371" t="s">
        <v>3675</v>
      </c>
      <c r="AS371" t="s">
        <v>3676</v>
      </c>
      <c r="AT371" t="s">
        <v>7263</v>
      </c>
      <c r="AU371">
        <v>2017</v>
      </c>
      <c r="AV371">
        <v>7</v>
      </c>
      <c r="AW371" t="s">
        <v>74</v>
      </c>
      <c r="AX371" t="s">
        <v>74</v>
      </c>
      <c r="AY371" t="s">
        <v>74</v>
      </c>
      <c r="AZ371" t="s">
        <v>74</v>
      </c>
      <c r="BA371" t="s">
        <v>74</v>
      </c>
      <c r="BB371" t="s">
        <v>74</v>
      </c>
      <c r="BC371" t="s">
        <v>74</v>
      </c>
      <c r="BD371">
        <v>1262</v>
      </c>
      <c r="BE371" t="s">
        <v>7315</v>
      </c>
      <c r="BF371" t="str">
        <f>HYPERLINK("http://dx.doi.org/10.1038/s41598-017-01329-8","http://dx.doi.org/10.1038/s41598-017-01329-8")</f>
        <v>http://dx.doi.org/10.1038/s41598-017-01329-8</v>
      </c>
      <c r="BG371" t="s">
        <v>74</v>
      </c>
      <c r="BH371" t="s">
        <v>74</v>
      </c>
      <c r="BI371">
        <v>8</v>
      </c>
      <c r="BJ371" t="s">
        <v>1617</v>
      </c>
      <c r="BK371" t="s">
        <v>103</v>
      </c>
      <c r="BL371" t="s">
        <v>1618</v>
      </c>
      <c r="BM371" t="s">
        <v>7316</v>
      </c>
      <c r="BN371">
        <v>28455508</v>
      </c>
      <c r="BO371" t="s">
        <v>2009</v>
      </c>
      <c r="BP371" t="s">
        <v>74</v>
      </c>
      <c r="BQ371" t="s">
        <v>74</v>
      </c>
      <c r="BR371" t="s">
        <v>106</v>
      </c>
      <c r="BS371" t="s">
        <v>7317</v>
      </c>
      <c r="BT371" t="str">
        <f>HYPERLINK("https%3A%2F%2Fwww.webofscience.com%2Fwos%2Fwoscc%2Ffull-record%2FWOS:000400247600021","View Full Record in Web of Science")</f>
        <v>View Full Record in Web of Science</v>
      </c>
    </row>
    <row r="372" spans="1:72" x14ac:dyDescent="0.15">
      <c r="A372" t="s">
        <v>72</v>
      </c>
      <c r="B372" t="s">
        <v>7318</v>
      </c>
      <c r="C372" t="s">
        <v>74</v>
      </c>
      <c r="D372" t="s">
        <v>74</v>
      </c>
      <c r="E372" t="s">
        <v>74</v>
      </c>
      <c r="F372" t="s">
        <v>7319</v>
      </c>
      <c r="G372" t="s">
        <v>74</v>
      </c>
      <c r="H372" t="s">
        <v>74</v>
      </c>
      <c r="I372" t="s">
        <v>7320</v>
      </c>
      <c r="J372" t="s">
        <v>7321</v>
      </c>
      <c r="K372" t="s">
        <v>74</v>
      </c>
      <c r="L372" t="s">
        <v>74</v>
      </c>
      <c r="M372" t="s">
        <v>78</v>
      </c>
      <c r="N372" t="s">
        <v>79</v>
      </c>
      <c r="O372" t="s">
        <v>74</v>
      </c>
      <c r="P372" t="s">
        <v>74</v>
      </c>
      <c r="Q372" t="s">
        <v>74</v>
      </c>
      <c r="R372" t="s">
        <v>74</v>
      </c>
      <c r="S372" t="s">
        <v>74</v>
      </c>
      <c r="T372" t="s">
        <v>74</v>
      </c>
      <c r="U372" t="s">
        <v>7322</v>
      </c>
      <c r="V372" t="s">
        <v>7323</v>
      </c>
      <c r="W372" t="s">
        <v>7324</v>
      </c>
      <c r="X372" t="s">
        <v>7325</v>
      </c>
      <c r="Y372" t="s">
        <v>7326</v>
      </c>
      <c r="Z372" t="s">
        <v>7327</v>
      </c>
      <c r="AA372" t="s">
        <v>7328</v>
      </c>
      <c r="AB372" t="s">
        <v>7329</v>
      </c>
      <c r="AC372" t="s">
        <v>7330</v>
      </c>
      <c r="AD372" t="s">
        <v>7331</v>
      </c>
      <c r="AE372" t="s">
        <v>7332</v>
      </c>
      <c r="AF372" t="s">
        <v>74</v>
      </c>
      <c r="AG372">
        <v>39</v>
      </c>
      <c r="AH372">
        <v>30</v>
      </c>
      <c r="AI372">
        <v>31</v>
      </c>
      <c r="AJ372">
        <v>3</v>
      </c>
      <c r="AK372">
        <v>14</v>
      </c>
      <c r="AL372" t="s">
        <v>3534</v>
      </c>
      <c r="AM372" t="s">
        <v>3535</v>
      </c>
      <c r="AN372" t="s">
        <v>3536</v>
      </c>
      <c r="AO372" t="s">
        <v>7333</v>
      </c>
      <c r="AP372" t="s">
        <v>7334</v>
      </c>
      <c r="AQ372" t="s">
        <v>74</v>
      </c>
      <c r="AR372" t="s">
        <v>7335</v>
      </c>
      <c r="AS372" t="s">
        <v>7336</v>
      </c>
      <c r="AT372" t="s">
        <v>7337</v>
      </c>
      <c r="AU372">
        <v>2017</v>
      </c>
      <c r="AV372">
        <v>13</v>
      </c>
      <c r="AW372">
        <v>2</v>
      </c>
      <c r="AX372" t="s">
        <v>74</v>
      </c>
      <c r="AY372" t="s">
        <v>74</v>
      </c>
      <c r="AZ372" t="s">
        <v>74</v>
      </c>
      <c r="BA372" t="s">
        <v>74</v>
      </c>
      <c r="BB372">
        <v>349</v>
      </c>
      <c r="BC372">
        <v>363</v>
      </c>
      <c r="BD372" t="s">
        <v>74</v>
      </c>
      <c r="BE372" t="s">
        <v>7338</v>
      </c>
      <c r="BF372" t="str">
        <f>HYPERLINK("http://dx.doi.org/10.5194/os-13-349-2017","http://dx.doi.org/10.5194/os-13-349-2017")</f>
        <v>http://dx.doi.org/10.5194/os-13-349-2017</v>
      </c>
      <c r="BG372" t="s">
        <v>74</v>
      </c>
      <c r="BH372" t="s">
        <v>74</v>
      </c>
      <c r="BI372">
        <v>15</v>
      </c>
      <c r="BJ372" t="s">
        <v>5833</v>
      </c>
      <c r="BK372" t="s">
        <v>103</v>
      </c>
      <c r="BL372" t="s">
        <v>5833</v>
      </c>
      <c r="BM372" t="s">
        <v>7339</v>
      </c>
      <c r="BN372" t="s">
        <v>74</v>
      </c>
      <c r="BO372" t="s">
        <v>7340</v>
      </c>
      <c r="BP372" t="s">
        <v>74</v>
      </c>
      <c r="BQ372" t="s">
        <v>74</v>
      </c>
      <c r="BR372" t="s">
        <v>106</v>
      </c>
      <c r="BS372" t="s">
        <v>7341</v>
      </c>
      <c r="BT372" t="str">
        <f>HYPERLINK("https%3A%2F%2Fwww.webofscience.com%2Fwos%2Fwoscc%2Ffull-record%2FWOS:000400167800001","View Full Record in Web of Science")</f>
        <v>View Full Record in Web of Science</v>
      </c>
    </row>
    <row r="373" spans="1:72" x14ac:dyDescent="0.15">
      <c r="A373" t="s">
        <v>72</v>
      </c>
      <c r="B373" t="s">
        <v>7342</v>
      </c>
      <c r="C373" t="s">
        <v>74</v>
      </c>
      <c r="D373" t="s">
        <v>74</v>
      </c>
      <c r="E373" t="s">
        <v>74</v>
      </c>
      <c r="F373" t="s">
        <v>7343</v>
      </c>
      <c r="G373" t="s">
        <v>74</v>
      </c>
      <c r="H373" t="s">
        <v>74</v>
      </c>
      <c r="I373" t="s">
        <v>7344</v>
      </c>
      <c r="J373" t="s">
        <v>3849</v>
      </c>
      <c r="K373" t="s">
        <v>74</v>
      </c>
      <c r="L373" t="s">
        <v>74</v>
      </c>
      <c r="M373" t="s">
        <v>78</v>
      </c>
      <c r="N373" t="s">
        <v>79</v>
      </c>
      <c r="O373" t="s">
        <v>74</v>
      </c>
      <c r="P373" t="s">
        <v>74</v>
      </c>
      <c r="Q373" t="s">
        <v>74</v>
      </c>
      <c r="R373" t="s">
        <v>74</v>
      </c>
      <c r="S373" t="s">
        <v>74</v>
      </c>
      <c r="T373" t="s">
        <v>74</v>
      </c>
      <c r="U373" t="s">
        <v>7345</v>
      </c>
      <c r="V373" t="s">
        <v>7346</v>
      </c>
      <c r="W373" t="s">
        <v>7347</v>
      </c>
      <c r="X373" t="s">
        <v>7348</v>
      </c>
      <c r="Y373" t="s">
        <v>7349</v>
      </c>
      <c r="Z373" t="s">
        <v>7350</v>
      </c>
      <c r="AA373" t="s">
        <v>7351</v>
      </c>
      <c r="AB373" t="s">
        <v>7352</v>
      </c>
      <c r="AC373" t="s">
        <v>7353</v>
      </c>
      <c r="AD373" t="s">
        <v>7354</v>
      </c>
      <c r="AE373" t="s">
        <v>7355</v>
      </c>
      <c r="AF373" t="s">
        <v>74</v>
      </c>
      <c r="AG373">
        <v>78</v>
      </c>
      <c r="AH373">
        <v>73</v>
      </c>
      <c r="AI373">
        <v>80</v>
      </c>
      <c r="AJ373">
        <v>0</v>
      </c>
      <c r="AK373">
        <v>40</v>
      </c>
      <c r="AL373" t="s">
        <v>3861</v>
      </c>
      <c r="AM373" t="s">
        <v>3862</v>
      </c>
      <c r="AN373" t="s">
        <v>3863</v>
      </c>
      <c r="AO373" t="s">
        <v>3864</v>
      </c>
      <c r="AP373" t="s">
        <v>74</v>
      </c>
      <c r="AQ373" t="s">
        <v>74</v>
      </c>
      <c r="AR373" t="s">
        <v>3849</v>
      </c>
      <c r="AS373" t="s">
        <v>3865</v>
      </c>
      <c r="AT373" t="s">
        <v>7356</v>
      </c>
      <c r="AU373">
        <v>2017</v>
      </c>
      <c r="AV373">
        <v>12</v>
      </c>
      <c r="AW373">
        <v>4</v>
      </c>
      <c r="AX373" t="s">
        <v>74</v>
      </c>
      <c r="AY373" t="s">
        <v>74</v>
      </c>
      <c r="AZ373" t="s">
        <v>74</v>
      </c>
      <c r="BA373" t="s">
        <v>74</v>
      </c>
      <c r="BB373" t="s">
        <v>74</v>
      </c>
      <c r="BC373" t="s">
        <v>74</v>
      </c>
      <c r="BD373" t="s">
        <v>7357</v>
      </c>
      <c r="BE373" t="s">
        <v>7358</v>
      </c>
      <c r="BF373" t="str">
        <f>HYPERLINK("http://dx.doi.org/10.1371/journal.pone.0174855","http://dx.doi.org/10.1371/journal.pone.0174855")</f>
        <v>http://dx.doi.org/10.1371/journal.pone.0174855</v>
      </c>
      <c r="BG373" t="s">
        <v>74</v>
      </c>
      <c r="BH373" t="s">
        <v>74</v>
      </c>
      <c r="BI373">
        <v>17</v>
      </c>
      <c r="BJ373" t="s">
        <v>1617</v>
      </c>
      <c r="BK373" t="s">
        <v>103</v>
      </c>
      <c r="BL373" t="s">
        <v>1618</v>
      </c>
      <c r="BM373" t="s">
        <v>7359</v>
      </c>
      <c r="BN373">
        <v>28445546</v>
      </c>
      <c r="BO373" t="s">
        <v>7360</v>
      </c>
      <c r="BP373" t="s">
        <v>74</v>
      </c>
      <c r="BQ373" t="s">
        <v>74</v>
      </c>
      <c r="BR373" t="s">
        <v>106</v>
      </c>
      <c r="BS373" t="s">
        <v>7361</v>
      </c>
      <c r="BT373" t="str">
        <f>HYPERLINK("https%3A%2F%2Fwww.webofscience.com%2Fwos%2Fwoscc%2Ffull-record%2FWOS:000400309200012","View Full Record in Web of Science")</f>
        <v>View Full Record in Web of Science</v>
      </c>
    </row>
    <row r="374" spans="1:72" x14ac:dyDescent="0.15">
      <c r="A374" t="s">
        <v>72</v>
      </c>
      <c r="B374" t="s">
        <v>7362</v>
      </c>
      <c r="C374" t="s">
        <v>74</v>
      </c>
      <c r="D374" t="s">
        <v>74</v>
      </c>
      <c r="E374" t="s">
        <v>74</v>
      </c>
      <c r="F374" t="s">
        <v>7363</v>
      </c>
      <c r="G374" t="s">
        <v>74</v>
      </c>
      <c r="H374" t="s">
        <v>74</v>
      </c>
      <c r="I374" t="s">
        <v>7364</v>
      </c>
      <c r="J374" t="s">
        <v>7365</v>
      </c>
      <c r="K374" t="s">
        <v>74</v>
      </c>
      <c r="L374" t="s">
        <v>74</v>
      </c>
      <c r="M374" t="s">
        <v>78</v>
      </c>
      <c r="N374" t="s">
        <v>79</v>
      </c>
      <c r="O374" t="s">
        <v>74</v>
      </c>
      <c r="P374" t="s">
        <v>74</v>
      </c>
      <c r="Q374" t="s">
        <v>74</v>
      </c>
      <c r="R374" t="s">
        <v>74</v>
      </c>
      <c r="S374" t="s">
        <v>74</v>
      </c>
      <c r="T374" t="s">
        <v>74</v>
      </c>
      <c r="U374" t="s">
        <v>7366</v>
      </c>
      <c r="V374" t="s">
        <v>7367</v>
      </c>
      <c r="W374" t="s">
        <v>7368</v>
      </c>
      <c r="X374" t="s">
        <v>7369</v>
      </c>
      <c r="Y374" t="s">
        <v>7370</v>
      </c>
      <c r="Z374" t="s">
        <v>7371</v>
      </c>
      <c r="AA374" t="s">
        <v>7372</v>
      </c>
      <c r="AB374" t="s">
        <v>7373</v>
      </c>
      <c r="AC374" t="s">
        <v>7374</v>
      </c>
      <c r="AD374" t="s">
        <v>7375</v>
      </c>
      <c r="AE374" t="s">
        <v>7376</v>
      </c>
      <c r="AF374" t="s">
        <v>74</v>
      </c>
      <c r="AG374">
        <v>40</v>
      </c>
      <c r="AH374">
        <v>11</v>
      </c>
      <c r="AI374">
        <v>12</v>
      </c>
      <c r="AJ374">
        <v>1</v>
      </c>
      <c r="AK374">
        <v>9</v>
      </c>
      <c r="AL374" t="s">
        <v>3534</v>
      </c>
      <c r="AM374" t="s">
        <v>3535</v>
      </c>
      <c r="AN374" t="s">
        <v>3536</v>
      </c>
      <c r="AO374" t="s">
        <v>7377</v>
      </c>
      <c r="AP374" t="s">
        <v>7378</v>
      </c>
      <c r="AQ374" t="s">
        <v>74</v>
      </c>
      <c r="AR374" t="s">
        <v>7365</v>
      </c>
      <c r="AS374" t="s">
        <v>7379</v>
      </c>
      <c r="AT374" t="s">
        <v>7380</v>
      </c>
      <c r="AU374">
        <v>2017</v>
      </c>
      <c r="AV374">
        <v>14</v>
      </c>
      <c r="AW374">
        <v>8</v>
      </c>
      <c r="AX374" t="s">
        <v>74</v>
      </c>
      <c r="AY374" t="s">
        <v>74</v>
      </c>
      <c r="AZ374" t="s">
        <v>74</v>
      </c>
      <c r="BA374" t="s">
        <v>74</v>
      </c>
      <c r="BB374">
        <v>2089</v>
      </c>
      <c r="BC374">
        <v>2100</v>
      </c>
      <c r="BD374" t="s">
        <v>74</v>
      </c>
      <c r="BE374" t="s">
        <v>7381</v>
      </c>
      <c r="BF374" t="str">
        <f>HYPERLINK("http://dx.doi.org/10.5194/bg-14-2089-2017","http://dx.doi.org/10.5194/bg-14-2089-2017")</f>
        <v>http://dx.doi.org/10.5194/bg-14-2089-2017</v>
      </c>
      <c r="BG374" t="s">
        <v>74</v>
      </c>
      <c r="BH374" t="s">
        <v>74</v>
      </c>
      <c r="BI374">
        <v>12</v>
      </c>
      <c r="BJ374" t="s">
        <v>1693</v>
      </c>
      <c r="BK374" t="s">
        <v>103</v>
      </c>
      <c r="BL374" t="s">
        <v>270</v>
      </c>
      <c r="BM374" t="s">
        <v>7382</v>
      </c>
      <c r="BN374" t="s">
        <v>74</v>
      </c>
      <c r="BO374" t="s">
        <v>3887</v>
      </c>
      <c r="BP374" t="s">
        <v>74</v>
      </c>
      <c r="BQ374" t="s">
        <v>74</v>
      </c>
      <c r="BR374" t="s">
        <v>106</v>
      </c>
      <c r="BS374" t="s">
        <v>7383</v>
      </c>
      <c r="BT374" t="str">
        <f>HYPERLINK("https%3A%2F%2Fwww.webofscience.com%2Fwos%2Fwoscc%2Ffull-record%2FWOS:000399880700002","View Full Record in Web of Science")</f>
        <v>View Full Record in Web of Science</v>
      </c>
    </row>
    <row r="375" spans="1:72" x14ac:dyDescent="0.15">
      <c r="A375" t="s">
        <v>72</v>
      </c>
      <c r="B375" t="s">
        <v>7384</v>
      </c>
      <c r="C375" t="s">
        <v>74</v>
      </c>
      <c r="D375" t="s">
        <v>74</v>
      </c>
      <c r="E375" t="s">
        <v>74</v>
      </c>
      <c r="F375" t="s">
        <v>7385</v>
      </c>
      <c r="G375" t="s">
        <v>74</v>
      </c>
      <c r="H375" t="s">
        <v>74</v>
      </c>
      <c r="I375" t="s">
        <v>7386</v>
      </c>
      <c r="J375" t="s">
        <v>3522</v>
      </c>
      <c r="K375" t="s">
        <v>74</v>
      </c>
      <c r="L375" t="s">
        <v>74</v>
      </c>
      <c r="M375" t="s">
        <v>78</v>
      </c>
      <c r="N375" t="s">
        <v>79</v>
      </c>
      <c r="O375" t="s">
        <v>74</v>
      </c>
      <c r="P375" t="s">
        <v>74</v>
      </c>
      <c r="Q375" t="s">
        <v>74</v>
      </c>
      <c r="R375" t="s">
        <v>74</v>
      </c>
      <c r="S375" t="s">
        <v>74</v>
      </c>
      <c r="T375" t="s">
        <v>74</v>
      </c>
      <c r="U375" t="s">
        <v>7387</v>
      </c>
      <c r="V375" t="s">
        <v>7388</v>
      </c>
      <c r="W375" t="s">
        <v>7389</v>
      </c>
      <c r="X375" t="s">
        <v>7390</v>
      </c>
      <c r="Y375" t="s">
        <v>7391</v>
      </c>
      <c r="Z375" t="s">
        <v>7392</v>
      </c>
      <c r="AA375" t="s">
        <v>7393</v>
      </c>
      <c r="AB375" t="s">
        <v>7394</v>
      </c>
      <c r="AC375" t="s">
        <v>7395</v>
      </c>
      <c r="AD375" t="s">
        <v>7396</v>
      </c>
      <c r="AE375" t="s">
        <v>7397</v>
      </c>
      <c r="AF375" t="s">
        <v>74</v>
      </c>
      <c r="AG375">
        <v>25</v>
      </c>
      <c r="AH375">
        <v>38</v>
      </c>
      <c r="AI375">
        <v>39</v>
      </c>
      <c r="AJ375">
        <v>0</v>
      </c>
      <c r="AK375">
        <v>3</v>
      </c>
      <c r="AL375" t="s">
        <v>3534</v>
      </c>
      <c r="AM375" t="s">
        <v>3535</v>
      </c>
      <c r="AN375" t="s">
        <v>3536</v>
      </c>
      <c r="AO375" t="s">
        <v>3537</v>
      </c>
      <c r="AP375" t="s">
        <v>3538</v>
      </c>
      <c r="AQ375" t="s">
        <v>74</v>
      </c>
      <c r="AR375" t="s">
        <v>3539</v>
      </c>
      <c r="AS375" t="s">
        <v>3540</v>
      </c>
      <c r="AT375" t="s">
        <v>7380</v>
      </c>
      <c r="AU375">
        <v>2017</v>
      </c>
      <c r="AV375">
        <v>10</v>
      </c>
      <c r="AW375">
        <v>4</v>
      </c>
      <c r="AX375" t="s">
        <v>74</v>
      </c>
      <c r="AY375" t="s">
        <v>74</v>
      </c>
      <c r="AZ375" t="s">
        <v>74</v>
      </c>
      <c r="BA375" t="s">
        <v>74</v>
      </c>
      <c r="BB375">
        <v>1733</v>
      </c>
      <c r="BC375">
        <v>1749</v>
      </c>
      <c r="BD375" t="s">
        <v>74</v>
      </c>
      <c r="BE375" t="s">
        <v>7398</v>
      </c>
      <c r="BF375" t="str">
        <f>HYPERLINK("http://dx.doi.org/10.5194/gmd-10-1733-2017","http://dx.doi.org/10.5194/gmd-10-1733-2017")</f>
        <v>http://dx.doi.org/10.5194/gmd-10-1733-2017</v>
      </c>
      <c r="BG375" t="s">
        <v>74</v>
      </c>
      <c r="BH375" t="s">
        <v>74</v>
      </c>
      <c r="BI375">
        <v>17</v>
      </c>
      <c r="BJ375" t="s">
        <v>437</v>
      </c>
      <c r="BK375" t="s">
        <v>103</v>
      </c>
      <c r="BL375" t="s">
        <v>438</v>
      </c>
      <c r="BM375" t="s">
        <v>7399</v>
      </c>
      <c r="BN375" t="s">
        <v>74</v>
      </c>
      <c r="BO375" t="s">
        <v>205</v>
      </c>
      <c r="BP375" t="s">
        <v>74</v>
      </c>
      <c r="BQ375" t="s">
        <v>74</v>
      </c>
      <c r="BR375" t="s">
        <v>106</v>
      </c>
      <c r="BS375" t="s">
        <v>7400</v>
      </c>
      <c r="BT375" t="str">
        <f>HYPERLINK("https%3A%2F%2Fwww.webofscience.com%2Fwos%2Fwoscc%2Ffull-record%2FWOS:000399918900001","View Full Record in Web of Science")</f>
        <v>View Full Record in Web of Science</v>
      </c>
    </row>
    <row r="376" spans="1:72" x14ac:dyDescent="0.15">
      <c r="A376" t="s">
        <v>72</v>
      </c>
      <c r="B376" t="s">
        <v>7401</v>
      </c>
      <c r="C376" t="s">
        <v>74</v>
      </c>
      <c r="D376" t="s">
        <v>74</v>
      </c>
      <c r="E376" t="s">
        <v>74</v>
      </c>
      <c r="F376" t="s">
        <v>7402</v>
      </c>
      <c r="G376" t="s">
        <v>74</v>
      </c>
      <c r="H376" t="s">
        <v>74</v>
      </c>
      <c r="I376" t="s">
        <v>7403</v>
      </c>
      <c r="J376" t="s">
        <v>3597</v>
      </c>
      <c r="K376" t="s">
        <v>74</v>
      </c>
      <c r="L376" t="s">
        <v>74</v>
      </c>
      <c r="M376" t="s">
        <v>78</v>
      </c>
      <c r="N376" t="s">
        <v>79</v>
      </c>
      <c r="O376" t="s">
        <v>74</v>
      </c>
      <c r="P376" t="s">
        <v>74</v>
      </c>
      <c r="Q376" t="s">
        <v>74</v>
      </c>
      <c r="R376" t="s">
        <v>74</v>
      </c>
      <c r="S376" t="s">
        <v>74</v>
      </c>
      <c r="T376" t="s">
        <v>74</v>
      </c>
      <c r="U376" t="s">
        <v>7404</v>
      </c>
      <c r="V376" t="s">
        <v>7405</v>
      </c>
      <c r="W376" t="s">
        <v>7406</v>
      </c>
      <c r="X376" t="s">
        <v>7407</v>
      </c>
      <c r="Y376" t="s">
        <v>7408</v>
      </c>
      <c r="Z376" t="s">
        <v>7409</v>
      </c>
      <c r="AA376" t="s">
        <v>7410</v>
      </c>
      <c r="AB376" t="s">
        <v>7411</v>
      </c>
      <c r="AC376" t="s">
        <v>7412</v>
      </c>
      <c r="AD376" t="s">
        <v>7413</v>
      </c>
      <c r="AE376" t="s">
        <v>7414</v>
      </c>
      <c r="AF376" t="s">
        <v>74</v>
      </c>
      <c r="AG376">
        <v>121</v>
      </c>
      <c r="AH376">
        <v>65</v>
      </c>
      <c r="AI376">
        <v>75</v>
      </c>
      <c r="AJ376">
        <v>5</v>
      </c>
      <c r="AK376">
        <v>73</v>
      </c>
      <c r="AL376" t="s">
        <v>3534</v>
      </c>
      <c r="AM376" t="s">
        <v>3535</v>
      </c>
      <c r="AN376" t="s">
        <v>3536</v>
      </c>
      <c r="AO376" t="s">
        <v>3609</v>
      </c>
      <c r="AP376" t="s">
        <v>3610</v>
      </c>
      <c r="AQ376" t="s">
        <v>74</v>
      </c>
      <c r="AR376" t="s">
        <v>3611</v>
      </c>
      <c r="AS376" t="s">
        <v>3612</v>
      </c>
      <c r="AT376" t="s">
        <v>7380</v>
      </c>
      <c r="AU376">
        <v>2017</v>
      </c>
      <c r="AV376">
        <v>17</v>
      </c>
      <c r="AW376">
        <v>8</v>
      </c>
      <c r="AX376" t="s">
        <v>74</v>
      </c>
      <c r="AY376" t="s">
        <v>74</v>
      </c>
      <c r="AZ376" t="s">
        <v>74</v>
      </c>
      <c r="BA376" t="s">
        <v>74</v>
      </c>
      <c r="BB376">
        <v>5271</v>
      </c>
      <c r="BC376">
        <v>5295</v>
      </c>
      <c r="BD376" t="s">
        <v>74</v>
      </c>
      <c r="BE376" t="s">
        <v>7415</v>
      </c>
      <c r="BF376" t="str">
        <f>HYPERLINK("http://dx.doi.org/10.5194/acp-17-5271-2017","http://dx.doi.org/10.5194/acp-17-5271-2017")</f>
        <v>http://dx.doi.org/10.5194/acp-17-5271-2017</v>
      </c>
      <c r="BG376" t="s">
        <v>74</v>
      </c>
      <c r="BH376" t="s">
        <v>74</v>
      </c>
      <c r="BI376">
        <v>25</v>
      </c>
      <c r="BJ376" t="s">
        <v>3614</v>
      </c>
      <c r="BK376" t="s">
        <v>103</v>
      </c>
      <c r="BL376" t="s">
        <v>3615</v>
      </c>
      <c r="BM376" t="s">
        <v>7416</v>
      </c>
      <c r="BN376" t="s">
        <v>74</v>
      </c>
      <c r="BO376" t="s">
        <v>7417</v>
      </c>
      <c r="BP376" t="s">
        <v>74</v>
      </c>
      <c r="BQ376" t="s">
        <v>74</v>
      </c>
      <c r="BR376" t="s">
        <v>106</v>
      </c>
      <c r="BS376" t="s">
        <v>7418</v>
      </c>
      <c r="BT376" t="str">
        <f>HYPERLINK("https%3A%2F%2Fwww.webofscience.com%2Fwos%2Fwoscc%2Ffull-record%2FWOS:000399916400003","View Full Record in Web of Science")</f>
        <v>View Full Record in Web of Science</v>
      </c>
    </row>
    <row r="377" spans="1:72" x14ac:dyDescent="0.15">
      <c r="A377" t="s">
        <v>72</v>
      </c>
      <c r="B377" t="s">
        <v>7419</v>
      </c>
      <c r="C377" t="s">
        <v>74</v>
      </c>
      <c r="D377" t="s">
        <v>74</v>
      </c>
      <c r="E377" t="s">
        <v>74</v>
      </c>
      <c r="F377" t="s">
        <v>7420</v>
      </c>
      <c r="G377" t="s">
        <v>74</v>
      </c>
      <c r="H377" t="s">
        <v>74</v>
      </c>
      <c r="I377" t="s">
        <v>7421</v>
      </c>
      <c r="J377" t="s">
        <v>7422</v>
      </c>
      <c r="K377" t="s">
        <v>74</v>
      </c>
      <c r="L377" t="s">
        <v>74</v>
      </c>
      <c r="M377" t="s">
        <v>78</v>
      </c>
      <c r="N377" t="s">
        <v>79</v>
      </c>
      <c r="O377" t="s">
        <v>74</v>
      </c>
      <c r="P377" t="s">
        <v>74</v>
      </c>
      <c r="Q377" t="s">
        <v>74</v>
      </c>
      <c r="R377" t="s">
        <v>74</v>
      </c>
      <c r="S377" t="s">
        <v>74</v>
      </c>
      <c r="T377" t="s">
        <v>7423</v>
      </c>
      <c r="U377" t="s">
        <v>7424</v>
      </c>
      <c r="V377" t="s">
        <v>7425</v>
      </c>
      <c r="W377" t="s">
        <v>7426</v>
      </c>
      <c r="X377" t="s">
        <v>7427</v>
      </c>
      <c r="Y377" t="s">
        <v>7428</v>
      </c>
      <c r="Z377" t="s">
        <v>7429</v>
      </c>
      <c r="AA377" t="s">
        <v>7430</v>
      </c>
      <c r="AB377" t="s">
        <v>7431</v>
      </c>
      <c r="AC377" t="s">
        <v>7432</v>
      </c>
      <c r="AD377" t="s">
        <v>7433</v>
      </c>
      <c r="AE377" t="s">
        <v>7434</v>
      </c>
      <c r="AF377" t="s">
        <v>74</v>
      </c>
      <c r="AG377">
        <v>94</v>
      </c>
      <c r="AH377">
        <v>14</v>
      </c>
      <c r="AI377">
        <v>15</v>
      </c>
      <c r="AJ377">
        <v>0</v>
      </c>
      <c r="AK377">
        <v>8</v>
      </c>
      <c r="AL377" t="s">
        <v>317</v>
      </c>
      <c r="AM377" t="s">
        <v>318</v>
      </c>
      <c r="AN377" t="s">
        <v>319</v>
      </c>
      <c r="AO377" t="s">
        <v>7435</v>
      </c>
      <c r="AP377" t="s">
        <v>7436</v>
      </c>
      <c r="AQ377" t="s">
        <v>74</v>
      </c>
      <c r="AR377" t="s">
        <v>7422</v>
      </c>
      <c r="AS377" t="s">
        <v>7437</v>
      </c>
      <c r="AT377" t="s">
        <v>7438</v>
      </c>
      <c r="AU377">
        <v>2017</v>
      </c>
      <c r="AV377">
        <v>703</v>
      </c>
      <c r="AW377" t="s">
        <v>74</v>
      </c>
      <c r="AX377" t="s">
        <v>74</v>
      </c>
      <c r="AY377" t="s">
        <v>74</v>
      </c>
      <c r="AZ377" t="s">
        <v>74</v>
      </c>
      <c r="BA377" t="s">
        <v>74</v>
      </c>
      <c r="BB377">
        <v>135</v>
      </c>
      <c r="BC377">
        <v>143</v>
      </c>
      <c r="BD377" t="s">
        <v>74</v>
      </c>
      <c r="BE377" t="s">
        <v>7439</v>
      </c>
      <c r="BF377" t="str">
        <f>HYPERLINK("http://dx.doi.org/10.1016/j.tecto.2017.02.019","http://dx.doi.org/10.1016/j.tecto.2017.02.019")</f>
        <v>http://dx.doi.org/10.1016/j.tecto.2017.02.019</v>
      </c>
      <c r="BG377" t="s">
        <v>74</v>
      </c>
      <c r="BH377" t="s">
        <v>74</v>
      </c>
      <c r="BI377">
        <v>9</v>
      </c>
      <c r="BJ377" t="s">
        <v>176</v>
      </c>
      <c r="BK377" t="s">
        <v>103</v>
      </c>
      <c r="BL377" t="s">
        <v>176</v>
      </c>
      <c r="BM377" t="s">
        <v>7440</v>
      </c>
      <c r="BN377" t="s">
        <v>74</v>
      </c>
      <c r="BO377" t="s">
        <v>74</v>
      </c>
      <c r="BP377" t="s">
        <v>74</v>
      </c>
      <c r="BQ377" t="s">
        <v>74</v>
      </c>
      <c r="BR377" t="s">
        <v>106</v>
      </c>
      <c r="BS377" t="s">
        <v>7441</v>
      </c>
      <c r="BT377" t="str">
        <f>HYPERLINK("https%3A%2F%2Fwww.webofscience.com%2Fwos%2Fwoscc%2Ffull-record%2FWOS:000400218400010","View Full Record in Web of Science")</f>
        <v>View Full Record in Web of Science</v>
      </c>
    </row>
    <row r="378" spans="1:72" x14ac:dyDescent="0.15">
      <c r="A378" t="s">
        <v>72</v>
      </c>
      <c r="B378" t="s">
        <v>7442</v>
      </c>
      <c r="C378" t="s">
        <v>74</v>
      </c>
      <c r="D378" t="s">
        <v>74</v>
      </c>
      <c r="E378" t="s">
        <v>74</v>
      </c>
      <c r="F378" t="s">
        <v>7443</v>
      </c>
      <c r="G378" t="s">
        <v>74</v>
      </c>
      <c r="H378" t="s">
        <v>74</v>
      </c>
      <c r="I378" t="s">
        <v>7444</v>
      </c>
      <c r="J378" t="s">
        <v>3849</v>
      </c>
      <c r="K378" t="s">
        <v>74</v>
      </c>
      <c r="L378" t="s">
        <v>74</v>
      </c>
      <c r="M378" t="s">
        <v>78</v>
      </c>
      <c r="N378" t="s">
        <v>79</v>
      </c>
      <c r="O378" t="s">
        <v>74</v>
      </c>
      <c r="P378" t="s">
        <v>74</v>
      </c>
      <c r="Q378" t="s">
        <v>74</v>
      </c>
      <c r="R378" t="s">
        <v>74</v>
      </c>
      <c r="S378" t="s">
        <v>74</v>
      </c>
      <c r="T378" t="s">
        <v>74</v>
      </c>
      <c r="U378" t="s">
        <v>7445</v>
      </c>
      <c r="V378" t="s">
        <v>7446</v>
      </c>
      <c r="W378" t="s">
        <v>7447</v>
      </c>
      <c r="X378" t="s">
        <v>7448</v>
      </c>
      <c r="Y378" t="s">
        <v>7449</v>
      </c>
      <c r="Z378" t="s">
        <v>7450</v>
      </c>
      <c r="AA378" t="s">
        <v>7451</v>
      </c>
      <c r="AB378" t="s">
        <v>7452</v>
      </c>
      <c r="AC378" t="s">
        <v>7453</v>
      </c>
      <c r="AD378" t="s">
        <v>7454</v>
      </c>
      <c r="AE378" t="s">
        <v>7455</v>
      </c>
      <c r="AF378" t="s">
        <v>74</v>
      </c>
      <c r="AG378">
        <v>97</v>
      </c>
      <c r="AH378">
        <v>60</v>
      </c>
      <c r="AI378">
        <v>63</v>
      </c>
      <c r="AJ378">
        <v>1</v>
      </c>
      <c r="AK378">
        <v>40</v>
      </c>
      <c r="AL378" t="s">
        <v>3861</v>
      </c>
      <c r="AM378" t="s">
        <v>3862</v>
      </c>
      <c r="AN378" t="s">
        <v>3863</v>
      </c>
      <c r="AO378" t="s">
        <v>3864</v>
      </c>
      <c r="AP378" t="s">
        <v>74</v>
      </c>
      <c r="AQ378" t="s">
        <v>74</v>
      </c>
      <c r="AR378" t="s">
        <v>3849</v>
      </c>
      <c r="AS378" t="s">
        <v>3865</v>
      </c>
      <c r="AT378" t="s">
        <v>7456</v>
      </c>
      <c r="AU378">
        <v>2017</v>
      </c>
      <c r="AV378">
        <v>12</v>
      </c>
      <c r="AW378">
        <v>4</v>
      </c>
      <c r="AX378" t="s">
        <v>74</v>
      </c>
      <c r="AY378" t="s">
        <v>74</v>
      </c>
      <c r="AZ378" t="s">
        <v>74</v>
      </c>
      <c r="BA378" t="s">
        <v>74</v>
      </c>
      <c r="BB378" t="s">
        <v>74</v>
      </c>
      <c r="BC378" t="s">
        <v>74</v>
      </c>
      <c r="BD378" t="s">
        <v>7457</v>
      </c>
      <c r="BE378" t="s">
        <v>7458</v>
      </c>
      <c r="BF378" t="str">
        <f>HYPERLINK("http://dx.doi.org/10.1371/journal.pone.0176033","http://dx.doi.org/10.1371/journal.pone.0176033")</f>
        <v>http://dx.doi.org/10.1371/journal.pone.0176033</v>
      </c>
      <c r="BG378" t="s">
        <v>74</v>
      </c>
      <c r="BH378" t="s">
        <v>74</v>
      </c>
      <c r="BI378">
        <v>23</v>
      </c>
      <c r="BJ378" t="s">
        <v>1617</v>
      </c>
      <c r="BK378" t="s">
        <v>103</v>
      </c>
      <c r="BL378" t="s">
        <v>1618</v>
      </c>
      <c r="BM378" t="s">
        <v>7459</v>
      </c>
      <c r="BN378">
        <v>28430813</v>
      </c>
      <c r="BO378" t="s">
        <v>4360</v>
      </c>
      <c r="BP378" t="s">
        <v>74</v>
      </c>
      <c r="BQ378" t="s">
        <v>74</v>
      </c>
      <c r="BR378" t="s">
        <v>106</v>
      </c>
      <c r="BS378" t="s">
        <v>7460</v>
      </c>
      <c r="BT378" t="str">
        <f>HYPERLINK("https%3A%2F%2Fwww.webofscience.com%2Fwos%2Fwoscc%2Ffull-record%2FWOS:000399876100026","View Full Record in Web of Science")</f>
        <v>View Full Record in Web of Science</v>
      </c>
    </row>
    <row r="379" spans="1:72" x14ac:dyDescent="0.15">
      <c r="A379" t="s">
        <v>72</v>
      </c>
      <c r="B379" t="s">
        <v>7461</v>
      </c>
      <c r="C379" t="s">
        <v>74</v>
      </c>
      <c r="D379" t="s">
        <v>74</v>
      </c>
      <c r="E379" t="s">
        <v>74</v>
      </c>
      <c r="F379" t="s">
        <v>7462</v>
      </c>
      <c r="G379" t="s">
        <v>74</v>
      </c>
      <c r="H379" t="s">
        <v>74</v>
      </c>
      <c r="I379" t="s">
        <v>7463</v>
      </c>
      <c r="J379" t="s">
        <v>3746</v>
      </c>
      <c r="K379" t="s">
        <v>74</v>
      </c>
      <c r="L379" t="s">
        <v>74</v>
      </c>
      <c r="M379" t="s">
        <v>78</v>
      </c>
      <c r="N379" t="s">
        <v>79</v>
      </c>
      <c r="O379" t="s">
        <v>74</v>
      </c>
      <c r="P379" t="s">
        <v>74</v>
      </c>
      <c r="Q379" t="s">
        <v>74</v>
      </c>
      <c r="R379" t="s">
        <v>74</v>
      </c>
      <c r="S379" t="s">
        <v>74</v>
      </c>
      <c r="T379" t="s">
        <v>74</v>
      </c>
      <c r="U379" t="s">
        <v>7464</v>
      </c>
      <c r="V379" t="s">
        <v>7465</v>
      </c>
      <c r="W379" t="s">
        <v>7466</v>
      </c>
      <c r="X379" t="s">
        <v>7467</v>
      </c>
      <c r="Y379" t="s">
        <v>7468</v>
      </c>
      <c r="Z379" t="s">
        <v>7469</v>
      </c>
      <c r="AA379" t="s">
        <v>7470</v>
      </c>
      <c r="AB379" t="s">
        <v>7471</v>
      </c>
      <c r="AC379" t="s">
        <v>7472</v>
      </c>
      <c r="AD379" t="s">
        <v>7473</v>
      </c>
      <c r="AE379" t="s">
        <v>7474</v>
      </c>
      <c r="AF379" t="s">
        <v>74</v>
      </c>
      <c r="AG379">
        <v>50</v>
      </c>
      <c r="AH379">
        <v>482</v>
      </c>
      <c r="AI379">
        <v>514</v>
      </c>
      <c r="AJ379">
        <v>14</v>
      </c>
      <c r="AK379">
        <v>159</v>
      </c>
      <c r="AL379" t="s">
        <v>3156</v>
      </c>
      <c r="AM379" t="s">
        <v>223</v>
      </c>
      <c r="AN379" t="s">
        <v>3157</v>
      </c>
      <c r="AO379" t="s">
        <v>3756</v>
      </c>
      <c r="AP379" t="s">
        <v>3757</v>
      </c>
      <c r="AQ379" t="s">
        <v>74</v>
      </c>
      <c r="AR379" t="s">
        <v>3746</v>
      </c>
      <c r="AS379" t="s">
        <v>3758</v>
      </c>
      <c r="AT379" t="s">
        <v>7456</v>
      </c>
      <c r="AU379">
        <v>2017</v>
      </c>
      <c r="AV379">
        <v>356</v>
      </c>
      <c r="AW379">
        <v>6335</v>
      </c>
      <c r="AX379" t="s">
        <v>74</v>
      </c>
      <c r="AY379" t="s">
        <v>74</v>
      </c>
      <c r="AZ379" t="s">
        <v>74</v>
      </c>
      <c r="BA379" t="s">
        <v>74</v>
      </c>
      <c r="BB379">
        <v>285</v>
      </c>
      <c r="BC379" t="s">
        <v>1485</v>
      </c>
      <c r="BD379" t="s">
        <v>74</v>
      </c>
      <c r="BE379" t="s">
        <v>7475</v>
      </c>
      <c r="BF379" t="str">
        <f>HYPERLINK("http://dx.doi.org/10.1126/science.aai8204","http://dx.doi.org/10.1126/science.aai8204")</f>
        <v>http://dx.doi.org/10.1126/science.aai8204</v>
      </c>
      <c r="BG379" t="s">
        <v>74</v>
      </c>
      <c r="BH379" t="s">
        <v>74</v>
      </c>
      <c r="BI379">
        <v>7</v>
      </c>
      <c r="BJ379" t="s">
        <v>1617</v>
      </c>
      <c r="BK379" t="s">
        <v>103</v>
      </c>
      <c r="BL379" t="s">
        <v>1618</v>
      </c>
      <c r="BM379" t="s">
        <v>7476</v>
      </c>
      <c r="BN379">
        <v>28386025</v>
      </c>
      <c r="BO379" t="s">
        <v>5713</v>
      </c>
      <c r="BP379" t="s">
        <v>2243</v>
      </c>
      <c r="BQ379" t="s">
        <v>2244</v>
      </c>
      <c r="BR379" t="s">
        <v>106</v>
      </c>
      <c r="BS379" t="s">
        <v>7477</v>
      </c>
      <c r="BT379" t="str">
        <f>HYPERLINK("https%3A%2F%2Fwww.webofscience.com%2Fwos%2Fwoscc%2Ffull-record%2FWOS:000399540100054","View Full Record in Web of Science")</f>
        <v>View Full Record in Web of Science</v>
      </c>
    </row>
    <row r="380" spans="1:72" x14ac:dyDescent="0.15">
      <c r="A380" t="s">
        <v>72</v>
      </c>
      <c r="B380" t="s">
        <v>7478</v>
      </c>
      <c r="C380" t="s">
        <v>74</v>
      </c>
      <c r="D380" t="s">
        <v>74</v>
      </c>
      <c r="E380" t="s">
        <v>74</v>
      </c>
      <c r="F380" t="s">
        <v>7479</v>
      </c>
      <c r="G380" t="s">
        <v>74</v>
      </c>
      <c r="H380" t="s">
        <v>74</v>
      </c>
      <c r="I380" t="s">
        <v>7480</v>
      </c>
      <c r="J380" t="s">
        <v>3803</v>
      </c>
      <c r="K380" t="s">
        <v>74</v>
      </c>
      <c r="L380" t="s">
        <v>74</v>
      </c>
      <c r="M380" t="s">
        <v>78</v>
      </c>
      <c r="N380" t="s">
        <v>79</v>
      </c>
      <c r="O380" t="s">
        <v>74</v>
      </c>
      <c r="P380" t="s">
        <v>74</v>
      </c>
      <c r="Q380" t="s">
        <v>74</v>
      </c>
      <c r="R380" t="s">
        <v>74</v>
      </c>
      <c r="S380" t="s">
        <v>74</v>
      </c>
      <c r="T380" t="s">
        <v>74</v>
      </c>
      <c r="U380" t="s">
        <v>7481</v>
      </c>
      <c r="V380" t="s">
        <v>7482</v>
      </c>
      <c r="W380" t="s">
        <v>7483</v>
      </c>
      <c r="X380" t="s">
        <v>7484</v>
      </c>
      <c r="Y380" t="s">
        <v>7485</v>
      </c>
      <c r="Z380" t="s">
        <v>7486</v>
      </c>
      <c r="AA380" t="s">
        <v>7487</v>
      </c>
      <c r="AB380" t="s">
        <v>7488</v>
      </c>
      <c r="AC380" t="s">
        <v>7489</v>
      </c>
      <c r="AD380" t="s">
        <v>7490</v>
      </c>
      <c r="AE380" t="s">
        <v>7491</v>
      </c>
      <c r="AF380" t="s">
        <v>74</v>
      </c>
      <c r="AG380">
        <v>115</v>
      </c>
      <c r="AH380">
        <v>21</v>
      </c>
      <c r="AI380">
        <v>23</v>
      </c>
      <c r="AJ380">
        <v>1</v>
      </c>
      <c r="AK380">
        <v>40</v>
      </c>
      <c r="AL380" t="s">
        <v>3534</v>
      </c>
      <c r="AM380" t="s">
        <v>3535</v>
      </c>
      <c r="AN380" t="s">
        <v>3536</v>
      </c>
      <c r="AO380" t="s">
        <v>3814</v>
      </c>
      <c r="AP380" t="s">
        <v>3815</v>
      </c>
      <c r="AQ380" t="s">
        <v>74</v>
      </c>
      <c r="AR380" t="s">
        <v>3816</v>
      </c>
      <c r="AS380" t="s">
        <v>3817</v>
      </c>
      <c r="AT380" t="s">
        <v>7492</v>
      </c>
      <c r="AU380">
        <v>2017</v>
      </c>
      <c r="AV380">
        <v>13</v>
      </c>
      <c r="AW380">
        <v>4</v>
      </c>
      <c r="AX380" t="s">
        <v>74</v>
      </c>
      <c r="AY380" t="s">
        <v>74</v>
      </c>
      <c r="AZ380" t="s">
        <v>74</v>
      </c>
      <c r="BA380" t="s">
        <v>74</v>
      </c>
      <c r="BB380">
        <v>395</v>
      </c>
      <c r="BC380">
        <v>410</v>
      </c>
      <c r="BD380" t="s">
        <v>74</v>
      </c>
      <c r="BE380" t="s">
        <v>7493</v>
      </c>
      <c r="BF380" t="str">
        <f>HYPERLINK("http://dx.doi.org/10.5194/cp-13-395-2017","http://dx.doi.org/10.5194/cp-13-395-2017")</f>
        <v>http://dx.doi.org/10.5194/cp-13-395-2017</v>
      </c>
      <c r="BG380" t="s">
        <v>74</v>
      </c>
      <c r="BH380" t="s">
        <v>74</v>
      </c>
      <c r="BI380">
        <v>16</v>
      </c>
      <c r="BJ380" t="s">
        <v>3820</v>
      </c>
      <c r="BK380" t="s">
        <v>103</v>
      </c>
      <c r="BL380" t="s">
        <v>3821</v>
      </c>
      <c r="BM380" t="s">
        <v>7494</v>
      </c>
      <c r="BN380" t="s">
        <v>74</v>
      </c>
      <c r="BO380" t="s">
        <v>3887</v>
      </c>
      <c r="BP380" t="s">
        <v>74</v>
      </c>
      <c r="BQ380" t="s">
        <v>74</v>
      </c>
      <c r="BR380" t="s">
        <v>106</v>
      </c>
      <c r="BS380" t="s">
        <v>7495</v>
      </c>
      <c r="BT380" t="str">
        <f>HYPERLINK("https%3A%2F%2Fwww.webofscience.com%2Fwos%2Fwoscc%2Ffull-record%2FWOS:000399801300002","View Full Record in Web of Science")</f>
        <v>View Full Record in Web of Science</v>
      </c>
    </row>
    <row r="381" spans="1:72" x14ac:dyDescent="0.15">
      <c r="A381" t="s">
        <v>72</v>
      </c>
      <c r="B381" t="s">
        <v>7496</v>
      </c>
      <c r="C381" t="s">
        <v>74</v>
      </c>
      <c r="D381" t="s">
        <v>74</v>
      </c>
      <c r="E381" t="s">
        <v>74</v>
      </c>
      <c r="F381" t="s">
        <v>7497</v>
      </c>
      <c r="G381" t="s">
        <v>74</v>
      </c>
      <c r="H381" t="s">
        <v>74</v>
      </c>
      <c r="I381" t="s">
        <v>7498</v>
      </c>
      <c r="J381" t="s">
        <v>4328</v>
      </c>
      <c r="K381" t="s">
        <v>74</v>
      </c>
      <c r="L381" t="s">
        <v>74</v>
      </c>
      <c r="M381" t="s">
        <v>78</v>
      </c>
      <c r="N381" t="s">
        <v>79</v>
      </c>
      <c r="O381" t="s">
        <v>74</v>
      </c>
      <c r="P381" t="s">
        <v>74</v>
      </c>
      <c r="Q381" t="s">
        <v>74</v>
      </c>
      <c r="R381" t="s">
        <v>74</v>
      </c>
      <c r="S381" t="s">
        <v>74</v>
      </c>
      <c r="T381" t="s">
        <v>74</v>
      </c>
      <c r="U381" t="s">
        <v>7499</v>
      </c>
      <c r="V381" t="s">
        <v>7500</v>
      </c>
      <c r="W381" t="s">
        <v>7501</v>
      </c>
      <c r="X381" t="s">
        <v>7502</v>
      </c>
      <c r="Y381" t="s">
        <v>7503</v>
      </c>
      <c r="Z381" t="s">
        <v>7504</v>
      </c>
      <c r="AA381" t="s">
        <v>7505</v>
      </c>
      <c r="AB381" t="s">
        <v>7506</v>
      </c>
      <c r="AC381" t="s">
        <v>7507</v>
      </c>
      <c r="AD381" t="s">
        <v>7508</v>
      </c>
      <c r="AE381" t="s">
        <v>7509</v>
      </c>
      <c r="AF381" t="s">
        <v>74</v>
      </c>
      <c r="AG381">
        <v>40</v>
      </c>
      <c r="AH381">
        <v>108</v>
      </c>
      <c r="AI381">
        <v>126</v>
      </c>
      <c r="AJ381">
        <v>7</v>
      </c>
      <c r="AK381">
        <v>98</v>
      </c>
      <c r="AL381" t="s">
        <v>1611</v>
      </c>
      <c r="AM381" t="s">
        <v>403</v>
      </c>
      <c r="AN381" t="s">
        <v>1612</v>
      </c>
      <c r="AO381" t="s">
        <v>4337</v>
      </c>
      <c r="AP381" t="s">
        <v>4338</v>
      </c>
      <c r="AQ381" t="s">
        <v>74</v>
      </c>
      <c r="AR381" t="s">
        <v>4328</v>
      </c>
      <c r="AS381" t="s">
        <v>4339</v>
      </c>
      <c r="AT381" t="s">
        <v>7492</v>
      </c>
      <c r="AU381">
        <v>2017</v>
      </c>
      <c r="AV381">
        <v>544</v>
      </c>
      <c r="AW381">
        <v>7650</v>
      </c>
      <c r="AX381" t="s">
        <v>74</v>
      </c>
      <c r="AY381" t="s">
        <v>74</v>
      </c>
      <c r="AZ381" t="s">
        <v>74</v>
      </c>
      <c r="BA381" t="s">
        <v>74</v>
      </c>
      <c r="BB381">
        <v>344</v>
      </c>
      <c r="BC381" t="s">
        <v>1485</v>
      </c>
      <c r="BD381" t="s">
        <v>74</v>
      </c>
      <c r="BE381" t="s">
        <v>7510</v>
      </c>
      <c r="BF381" t="str">
        <f>HYPERLINK("http://dx.doi.org/10.1038/nature22048","http://dx.doi.org/10.1038/nature22048")</f>
        <v>http://dx.doi.org/10.1038/nature22048</v>
      </c>
      <c r="BG381" t="s">
        <v>74</v>
      </c>
      <c r="BH381" t="s">
        <v>74</v>
      </c>
      <c r="BI381">
        <v>18</v>
      </c>
      <c r="BJ381" t="s">
        <v>1617</v>
      </c>
      <c r="BK381" t="s">
        <v>103</v>
      </c>
      <c r="BL381" t="s">
        <v>1618</v>
      </c>
      <c r="BM381" t="s">
        <v>7511</v>
      </c>
      <c r="BN381">
        <v>28426005</v>
      </c>
      <c r="BO381" t="s">
        <v>231</v>
      </c>
      <c r="BP381" t="s">
        <v>74</v>
      </c>
      <c r="BQ381" t="s">
        <v>74</v>
      </c>
      <c r="BR381" t="s">
        <v>106</v>
      </c>
      <c r="BS381" t="s">
        <v>7512</v>
      </c>
      <c r="BT381" t="str">
        <f>HYPERLINK("https%3A%2F%2Fwww.webofscience.com%2Fwos%2Fwoscc%2Ffull-record%2FWOS:000399524400035","View Full Record in Web of Science")</f>
        <v>View Full Record in Web of Science</v>
      </c>
    </row>
    <row r="382" spans="1:72" x14ac:dyDescent="0.15">
      <c r="A382" t="s">
        <v>72</v>
      </c>
      <c r="B382" t="s">
        <v>7513</v>
      </c>
      <c r="C382" t="s">
        <v>74</v>
      </c>
      <c r="D382" t="s">
        <v>74</v>
      </c>
      <c r="E382" t="s">
        <v>74</v>
      </c>
      <c r="F382" t="s">
        <v>7514</v>
      </c>
      <c r="G382" t="s">
        <v>74</v>
      </c>
      <c r="H382" t="s">
        <v>74</v>
      </c>
      <c r="I382" t="s">
        <v>7515</v>
      </c>
      <c r="J382" t="s">
        <v>4328</v>
      </c>
      <c r="K382" t="s">
        <v>74</v>
      </c>
      <c r="L382" t="s">
        <v>74</v>
      </c>
      <c r="M382" t="s">
        <v>78</v>
      </c>
      <c r="N382" t="s">
        <v>79</v>
      </c>
      <c r="O382" t="s">
        <v>74</v>
      </c>
      <c r="P382" t="s">
        <v>74</v>
      </c>
      <c r="Q382" t="s">
        <v>74</v>
      </c>
      <c r="R382" t="s">
        <v>74</v>
      </c>
      <c r="S382" t="s">
        <v>74</v>
      </c>
      <c r="T382" t="s">
        <v>74</v>
      </c>
      <c r="U382" t="s">
        <v>7516</v>
      </c>
      <c r="V382" t="s">
        <v>7517</v>
      </c>
      <c r="W382" t="s">
        <v>7518</v>
      </c>
      <c r="X382" t="s">
        <v>7519</v>
      </c>
      <c r="Y382" t="s">
        <v>7520</v>
      </c>
      <c r="Z382" t="s">
        <v>7521</v>
      </c>
      <c r="AA382" t="s">
        <v>74</v>
      </c>
      <c r="AB382" t="s">
        <v>7522</v>
      </c>
      <c r="AC382" t="s">
        <v>7523</v>
      </c>
      <c r="AD382" t="s">
        <v>7524</v>
      </c>
      <c r="AE382" t="s">
        <v>7525</v>
      </c>
      <c r="AF382" t="s">
        <v>74</v>
      </c>
      <c r="AG382">
        <v>34</v>
      </c>
      <c r="AH382">
        <v>145</v>
      </c>
      <c r="AI382">
        <v>165</v>
      </c>
      <c r="AJ382">
        <v>5</v>
      </c>
      <c r="AK382">
        <v>96</v>
      </c>
      <c r="AL382" t="s">
        <v>1611</v>
      </c>
      <c r="AM382" t="s">
        <v>403</v>
      </c>
      <c r="AN382" t="s">
        <v>1612</v>
      </c>
      <c r="AO382" t="s">
        <v>4337</v>
      </c>
      <c r="AP382" t="s">
        <v>4338</v>
      </c>
      <c r="AQ382" t="s">
        <v>74</v>
      </c>
      <c r="AR382" t="s">
        <v>4328</v>
      </c>
      <c r="AS382" t="s">
        <v>4339</v>
      </c>
      <c r="AT382" t="s">
        <v>7492</v>
      </c>
      <c r="AU382">
        <v>2017</v>
      </c>
      <c r="AV382">
        <v>544</v>
      </c>
      <c r="AW382">
        <v>7650</v>
      </c>
      <c r="AX382" t="s">
        <v>74</v>
      </c>
      <c r="AY382" t="s">
        <v>74</v>
      </c>
      <c r="AZ382" t="s">
        <v>74</v>
      </c>
      <c r="BA382" t="s">
        <v>74</v>
      </c>
      <c r="BB382">
        <v>349</v>
      </c>
      <c r="BC382" t="s">
        <v>1485</v>
      </c>
      <c r="BD382" t="s">
        <v>74</v>
      </c>
      <c r="BE382" t="s">
        <v>7526</v>
      </c>
      <c r="BF382" t="str">
        <f>HYPERLINK("http://dx.doi.org/10.1038/nature22049","http://dx.doi.org/10.1038/nature22049")</f>
        <v>http://dx.doi.org/10.1038/nature22049</v>
      </c>
      <c r="BG382" t="s">
        <v>74</v>
      </c>
      <c r="BH382" t="s">
        <v>74</v>
      </c>
      <c r="BI382">
        <v>16</v>
      </c>
      <c r="BJ382" t="s">
        <v>1617</v>
      </c>
      <c r="BK382" t="s">
        <v>103</v>
      </c>
      <c r="BL382" t="s">
        <v>1618</v>
      </c>
      <c r="BM382" t="s">
        <v>7511</v>
      </c>
      <c r="BN382">
        <v>28425995</v>
      </c>
      <c r="BO382" t="s">
        <v>5013</v>
      </c>
      <c r="BP382" t="s">
        <v>74</v>
      </c>
      <c r="BQ382" t="s">
        <v>74</v>
      </c>
      <c r="BR382" t="s">
        <v>106</v>
      </c>
      <c r="BS382" t="s">
        <v>7527</v>
      </c>
      <c r="BT382" t="str">
        <f>HYPERLINK("https%3A%2F%2Fwww.webofscience.com%2Fwos%2Fwoscc%2Ffull-record%2FWOS:000399524400036","View Full Record in Web of Science")</f>
        <v>View Full Record in Web of Science</v>
      </c>
    </row>
    <row r="383" spans="1:72" x14ac:dyDescent="0.15">
      <c r="A383" t="s">
        <v>72</v>
      </c>
      <c r="B383" t="s">
        <v>7528</v>
      </c>
      <c r="C383" t="s">
        <v>74</v>
      </c>
      <c r="D383" t="s">
        <v>74</v>
      </c>
      <c r="E383" t="s">
        <v>74</v>
      </c>
      <c r="F383" t="s">
        <v>7529</v>
      </c>
      <c r="G383" t="s">
        <v>74</v>
      </c>
      <c r="H383" t="s">
        <v>74</v>
      </c>
      <c r="I383" t="s">
        <v>7530</v>
      </c>
      <c r="J383" t="s">
        <v>3782</v>
      </c>
      <c r="K383" t="s">
        <v>74</v>
      </c>
      <c r="L383" t="s">
        <v>74</v>
      </c>
      <c r="M383" t="s">
        <v>78</v>
      </c>
      <c r="N383" t="s">
        <v>79</v>
      </c>
      <c r="O383" t="s">
        <v>74</v>
      </c>
      <c r="P383" t="s">
        <v>74</v>
      </c>
      <c r="Q383" t="s">
        <v>74</v>
      </c>
      <c r="R383" t="s">
        <v>74</v>
      </c>
      <c r="S383" t="s">
        <v>74</v>
      </c>
      <c r="T383" t="s">
        <v>7531</v>
      </c>
      <c r="U383" t="s">
        <v>7532</v>
      </c>
      <c r="V383" t="s">
        <v>7533</v>
      </c>
      <c r="W383" t="s">
        <v>7534</v>
      </c>
      <c r="X383" t="s">
        <v>7535</v>
      </c>
      <c r="Y383" t="s">
        <v>7536</v>
      </c>
      <c r="Z383" t="s">
        <v>7537</v>
      </c>
      <c r="AA383" t="s">
        <v>7538</v>
      </c>
      <c r="AB383" t="s">
        <v>7539</v>
      </c>
      <c r="AC383" t="s">
        <v>7540</v>
      </c>
      <c r="AD383" t="s">
        <v>7541</v>
      </c>
      <c r="AE383" t="s">
        <v>7542</v>
      </c>
      <c r="AF383" t="s">
        <v>74</v>
      </c>
      <c r="AG383">
        <v>114</v>
      </c>
      <c r="AH383">
        <v>66</v>
      </c>
      <c r="AI383">
        <v>72</v>
      </c>
      <c r="AJ383">
        <v>1</v>
      </c>
      <c r="AK383">
        <v>28</v>
      </c>
      <c r="AL383" t="s">
        <v>317</v>
      </c>
      <c r="AM383" t="s">
        <v>318</v>
      </c>
      <c r="AN383" t="s">
        <v>319</v>
      </c>
      <c r="AO383" t="s">
        <v>3792</v>
      </c>
      <c r="AP383" t="s">
        <v>3793</v>
      </c>
      <c r="AQ383" t="s">
        <v>74</v>
      </c>
      <c r="AR383" t="s">
        <v>3794</v>
      </c>
      <c r="AS383" t="s">
        <v>3795</v>
      </c>
      <c r="AT383" t="s">
        <v>7492</v>
      </c>
      <c r="AU383">
        <v>2017</v>
      </c>
      <c r="AV383">
        <v>455</v>
      </c>
      <c r="AW383" t="s">
        <v>74</v>
      </c>
      <c r="AX383" t="s">
        <v>74</v>
      </c>
      <c r="AY383" t="s">
        <v>74</v>
      </c>
      <c r="AZ383" t="s">
        <v>100</v>
      </c>
      <c r="BA383" t="s">
        <v>74</v>
      </c>
      <c r="BB383">
        <v>32</v>
      </c>
      <c r="BC383">
        <v>43</v>
      </c>
      <c r="BD383" t="s">
        <v>74</v>
      </c>
      <c r="BE383" t="s">
        <v>7543</v>
      </c>
      <c r="BF383" t="str">
        <f>HYPERLINK("http://dx.doi.org/10.1016/j.chemgeo.2016.10.008","http://dx.doi.org/10.1016/j.chemgeo.2016.10.008")</f>
        <v>http://dx.doi.org/10.1016/j.chemgeo.2016.10.008</v>
      </c>
      <c r="BG383" t="s">
        <v>74</v>
      </c>
      <c r="BH383" t="s">
        <v>74</v>
      </c>
      <c r="BI383">
        <v>12</v>
      </c>
      <c r="BJ383" t="s">
        <v>176</v>
      </c>
      <c r="BK383" t="s">
        <v>103</v>
      </c>
      <c r="BL383" t="s">
        <v>176</v>
      </c>
      <c r="BM383" t="s">
        <v>7544</v>
      </c>
      <c r="BN383" t="s">
        <v>74</v>
      </c>
      <c r="BO383" t="s">
        <v>74</v>
      </c>
      <c r="BP383" t="s">
        <v>74</v>
      </c>
      <c r="BQ383" t="s">
        <v>74</v>
      </c>
      <c r="BR383" t="s">
        <v>106</v>
      </c>
      <c r="BS383" t="s">
        <v>7545</v>
      </c>
      <c r="BT383" t="str">
        <f>HYPERLINK("https%3A%2F%2Fwww.webofscience.com%2Fwos%2Fwoscc%2Ffull-record%2FWOS:000405043600004","View Full Record in Web of Science")</f>
        <v>View Full Record in Web of Science</v>
      </c>
    </row>
    <row r="384" spans="1:72" x14ac:dyDescent="0.15">
      <c r="A384" t="s">
        <v>72</v>
      </c>
      <c r="B384" t="s">
        <v>7546</v>
      </c>
      <c r="C384" t="s">
        <v>74</v>
      </c>
      <c r="D384" t="s">
        <v>74</v>
      </c>
      <c r="E384" t="s">
        <v>74</v>
      </c>
      <c r="F384" t="s">
        <v>7547</v>
      </c>
      <c r="G384" t="s">
        <v>74</v>
      </c>
      <c r="H384" t="s">
        <v>74</v>
      </c>
      <c r="I384" t="s">
        <v>7548</v>
      </c>
      <c r="J384" t="s">
        <v>4064</v>
      </c>
      <c r="K384" t="s">
        <v>74</v>
      </c>
      <c r="L384" t="s">
        <v>74</v>
      </c>
      <c r="M384" t="s">
        <v>78</v>
      </c>
      <c r="N384" t="s">
        <v>79</v>
      </c>
      <c r="O384" t="s">
        <v>74</v>
      </c>
      <c r="P384" t="s">
        <v>74</v>
      </c>
      <c r="Q384" t="s">
        <v>74</v>
      </c>
      <c r="R384" t="s">
        <v>74</v>
      </c>
      <c r="S384" t="s">
        <v>74</v>
      </c>
      <c r="T384" t="s">
        <v>7549</v>
      </c>
      <c r="U384" t="s">
        <v>7550</v>
      </c>
      <c r="V384" t="s">
        <v>7551</v>
      </c>
      <c r="W384" t="s">
        <v>7552</v>
      </c>
      <c r="X384" t="s">
        <v>7553</v>
      </c>
      <c r="Y384" t="s">
        <v>7554</v>
      </c>
      <c r="Z384" t="s">
        <v>7555</v>
      </c>
      <c r="AA384" t="s">
        <v>7556</v>
      </c>
      <c r="AB384" t="s">
        <v>7557</v>
      </c>
      <c r="AC384" t="s">
        <v>7558</v>
      </c>
      <c r="AD384" t="s">
        <v>7559</v>
      </c>
      <c r="AE384" t="s">
        <v>7560</v>
      </c>
      <c r="AF384" t="s">
        <v>74</v>
      </c>
      <c r="AG384">
        <v>50</v>
      </c>
      <c r="AH384">
        <v>9</v>
      </c>
      <c r="AI384">
        <v>9</v>
      </c>
      <c r="AJ384">
        <v>2</v>
      </c>
      <c r="AK384">
        <v>20</v>
      </c>
      <c r="AL384" t="s">
        <v>3510</v>
      </c>
      <c r="AM384" t="s">
        <v>3511</v>
      </c>
      <c r="AN384" t="s">
        <v>7561</v>
      </c>
      <c r="AO384" t="s">
        <v>4077</v>
      </c>
      <c r="AP384" t="s">
        <v>74</v>
      </c>
      <c r="AQ384" t="s">
        <v>74</v>
      </c>
      <c r="AR384" t="s">
        <v>4078</v>
      </c>
      <c r="AS384" t="s">
        <v>4079</v>
      </c>
      <c r="AT384" t="s">
        <v>7492</v>
      </c>
      <c r="AU384">
        <v>2017</v>
      </c>
      <c r="AV384">
        <v>8</v>
      </c>
      <c r="AW384" t="s">
        <v>74</v>
      </c>
      <c r="AX384" t="s">
        <v>74</v>
      </c>
      <c r="AY384" t="s">
        <v>74</v>
      </c>
      <c r="AZ384" t="s">
        <v>74</v>
      </c>
      <c r="BA384" t="s">
        <v>74</v>
      </c>
      <c r="BB384" t="s">
        <v>74</v>
      </c>
      <c r="BC384" t="s">
        <v>74</v>
      </c>
      <c r="BD384">
        <v>617</v>
      </c>
      <c r="BE384" t="s">
        <v>7562</v>
      </c>
      <c r="BF384" t="str">
        <f>HYPERLINK("http://dx.doi.org/10.3389/fmicb.2017.00617","http://dx.doi.org/10.3389/fmicb.2017.00617")</f>
        <v>http://dx.doi.org/10.3389/fmicb.2017.00617</v>
      </c>
      <c r="BG384" t="s">
        <v>74</v>
      </c>
      <c r="BH384" t="s">
        <v>74</v>
      </c>
      <c r="BI384">
        <v>11</v>
      </c>
      <c r="BJ384" t="s">
        <v>410</v>
      </c>
      <c r="BK384" t="s">
        <v>103</v>
      </c>
      <c r="BL384" t="s">
        <v>410</v>
      </c>
      <c r="BM384" t="s">
        <v>7563</v>
      </c>
      <c r="BN384">
        <v>28473806</v>
      </c>
      <c r="BO384" t="s">
        <v>2009</v>
      </c>
      <c r="BP384" t="s">
        <v>74</v>
      </c>
      <c r="BQ384" t="s">
        <v>74</v>
      </c>
      <c r="BR384" t="s">
        <v>106</v>
      </c>
      <c r="BS384" t="s">
        <v>7564</v>
      </c>
      <c r="BT384" t="str">
        <f>HYPERLINK("https%3A%2F%2Fwww.webofscience.com%2Fwos%2Fwoscc%2Ffull-record%2FWOS:000399530100001","View Full Record in Web of Science")</f>
        <v>View Full Record in Web of Science</v>
      </c>
    </row>
    <row r="385" spans="1:72" x14ac:dyDescent="0.15">
      <c r="A385" t="s">
        <v>72</v>
      </c>
      <c r="B385" t="s">
        <v>7565</v>
      </c>
      <c r="C385" t="s">
        <v>74</v>
      </c>
      <c r="D385" t="s">
        <v>74</v>
      </c>
      <c r="E385" t="s">
        <v>74</v>
      </c>
      <c r="F385" t="s">
        <v>7566</v>
      </c>
      <c r="G385" t="s">
        <v>74</v>
      </c>
      <c r="H385" t="s">
        <v>74</v>
      </c>
      <c r="I385" t="s">
        <v>7567</v>
      </c>
      <c r="J385" t="s">
        <v>3849</v>
      </c>
      <c r="K385" t="s">
        <v>74</v>
      </c>
      <c r="L385" t="s">
        <v>74</v>
      </c>
      <c r="M385" t="s">
        <v>78</v>
      </c>
      <c r="N385" t="s">
        <v>79</v>
      </c>
      <c r="O385" t="s">
        <v>74</v>
      </c>
      <c r="P385" t="s">
        <v>74</v>
      </c>
      <c r="Q385" t="s">
        <v>74</v>
      </c>
      <c r="R385" t="s">
        <v>74</v>
      </c>
      <c r="S385" t="s">
        <v>74</v>
      </c>
      <c r="T385" t="s">
        <v>74</v>
      </c>
      <c r="U385" t="s">
        <v>7568</v>
      </c>
      <c r="V385" t="s">
        <v>7569</v>
      </c>
      <c r="W385" t="s">
        <v>7570</v>
      </c>
      <c r="X385" t="s">
        <v>7571</v>
      </c>
      <c r="Y385" t="s">
        <v>7572</v>
      </c>
      <c r="Z385" t="s">
        <v>7573</v>
      </c>
      <c r="AA385" t="s">
        <v>74</v>
      </c>
      <c r="AB385" t="s">
        <v>7574</v>
      </c>
      <c r="AC385" t="s">
        <v>7575</v>
      </c>
      <c r="AD385" t="s">
        <v>7576</v>
      </c>
      <c r="AE385" t="s">
        <v>7577</v>
      </c>
      <c r="AF385" t="s">
        <v>74</v>
      </c>
      <c r="AG385">
        <v>56</v>
      </c>
      <c r="AH385">
        <v>20</v>
      </c>
      <c r="AI385">
        <v>21</v>
      </c>
      <c r="AJ385">
        <v>1</v>
      </c>
      <c r="AK385">
        <v>25</v>
      </c>
      <c r="AL385" t="s">
        <v>3861</v>
      </c>
      <c r="AM385" t="s">
        <v>3862</v>
      </c>
      <c r="AN385" t="s">
        <v>3863</v>
      </c>
      <c r="AO385" t="s">
        <v>3864</v>
      </c>
      <c r="AP385" t="s">
        <v>74</v>
      </c>
      <c r="AQ385" t="s">
        <v>74</v>
      </c>
      <c r="AR385" t="s">
        <v>3849</v>
      </c>
      <c r="AS385" t="s">
        <v>3865</v>
      </c>
      <c r="AT385" t="s">
        <v>7578</v>
      </c>
      <c r="AU385">
        <v>2017</v>
      </c>
      <c r="AV385">
        <v>12</v>
      </c>
      <c r="AW385">
        <v>4</v>
      </c>
      <c r="AX385" t="s">
        <v>74</v>
      </c>
      <c r="AY385" t="s">
        <v>74</v>
      </c>
      <c r="AZ385" t="s">
        <v>74</v>
      </c>
      <c r="BA385" t="s">
        <v>74</v>
      </c>
      <c r="BB385" t="s">
        <v>74</v>
      </c>
      <c r="BC385" t="s">
        <v>74</v>
      </c>
      <c r="BD385" t="s">
        <v>7579</v>
      </c>
      <c r="BE385" t="s">
        <v>7580</v>
      </c>
      <c r="BF385" t="str">
        <f>HYPERLINK("http://dx.doi.org/10.1371/journal.pone.0175706","http://dx.doi.org/10.1371/journal.pone.0175706")</f>
        <v>http://dx.doi.org/10.1371/journal.pone.0175706</v>
      </c>
      <c r="BG385" t="s">
        <v>74</v>
      </c>
      <c r="BH385" t="s">
        <v>74</v>
      </c>
      <c r="BI385">
        <v>13</v>
      </c>
      <c r="BJ385" t="s">
        <v>1617</v>
      </c>
      <c r="BK385" t="s">
        <v>103</v>
      </c>
      <c r="BL385" t="s">
        <v>1618</v>
      </c>
      <c r="BM385" t="s">
        <v>7581</v>
      </c>
      <c r="BN385">
        <v>28423059</v>
      </c>
      <c r="BO385" t="s">
        <v>621</v>
      </c>
      <c r="BP385" t="s">
        <v>74</v>
      </c>
      <c r="BQ385" t="s">
        <v>74</v>
      </c>
      <c r="BR385" t="s">
        <v>106</v>
      </c>
      <c r="BS385" t="s">
        <v>7582</v>
      </c>
      <c r="BT385" t="str">
        <f>HYPERLINK("https%3A%2F%2Fwww.webofscience.com%2Fwos%2Fwoscc%2Ffull-record%2FWOS:000399875600045","View Full Record in Web of Science")</f>
        <v>View Full Record in Web of Science</v>
      </c>
    </row>
    <row r="386" spans="1:72" x14ac:dyDescent="0.15">
      <c r="A386" t="s">
        <v>72</v>
      </c>
      <c r="B386" t="s">
        <v>7583</v>
      </c>
      <c r="C386" t="s">
        <v>74</v>
      </c>
      <c r="D386" t="s">
        <v>74</v>
      </c>
      <c r="E386" t="s">
        <v>74</v>
      </c>
      <c r="F386" t="s">
        <v>7584</v>
      </c>
      <c r="G386" t="s">
        <v>74</v>
      </c>
      <c r="H386" t="s">
        <v>74</v>
      </c>
      <c r="I386" t="s">
        <v>7585</v>
      </c>
      <c r="J386" t="s">
        <v>4064</v>
      </c>
      <c r="K386" t="s">
        <v>74</v>
      </c>
      <c r="L386" t="s">
        <v>74</v>
      </c>
      <c r="M386" t="s">
        <v>78</v>
      </c>
      <c r="N386" t="s">
        <v>79</v>
      </c>
      <c r="O386" t="s">
        <v>74</v>
      </c>
      <c r="P386" t="s">
        <v>74</v>
      </c>
      <c r="Q386" t="s">
        <v>74</v>
      </c>
      <c r="R386" t="s">
        <v>74</v>
      </c>
      <c r="S386" t="s">
        <v>74</v>
      </c>
      <c r="T386" t="s">
        <v>7586</v>
      </c>
      <c r="U386" t="s">
        <v>7587</v>
      </c>
      <c r="V386" t="s">
        <v>7588</v>
      </c>
      <c r="W386" t="s">
        <v>7589</v>
      </c>
      <c r="X386" t="s">
        <v>7590</v>
      </c>
      <c r="Y386" t="s">
        <v>7591</v>
      </c>
      <c r="Z386" t="s">
        <v>7592</v>
      </c>
      <c r="AA386" t="s">
        <v>7593</v>
      </c>
      <c r="AB386" t="s">
        <v>7594</v>
      </c>
      <c r="AC386" t="s">
        <v>7595</v>
      </c>
      <c r="AD386" t="s">
        <v>7596</v>
      </c>
      <c r="AE386" t="s">
        <v>7597</v>
      </c>
      <c r="AF386" t="s">
        <v>74</v>
      </c>
      <c r="AG386">
        <v>49</v>
      </c>
      <c r="AH386">
        <v>55</v>
      </c>
      <c r="AI386">
        <v>58</v>
      </c>
      <c r="AJ386">
        <v>1</v>
      </c>
      <c r="AK386">
        <v>24</v>
      </c>
      <c r="AL386" t="s">
        <v>3510</v>
      </c>
      <c r="AM386" t="s">
        <v>3511</v>
      </c>
      <c r="AN386" t="s">
        <v>7561</v>
      </c>
      <c r="AO386" t="s">
        <v>4077</v>
      </c>
      <c r="AP386" t="s">
        <v>74</v>
      </c>
      <c r="AQ386" t="s">
        <v>74</v>
      </c>
      <c r="AR386" t="s">
        <v>4078</v>
      </c>
      <c r="AS386" t="s">
        <v>4079</v>
      </c>
      <c r="AT386" t="s">
        <v>7578</v>
      </c>
      <c r="AU386">
        <v>2017</v>
      </c>
      <c r="AV386">
        <v>8</v>
      </c>
      <c r="AW386" t="s">
        <v>74</v>
      </c>
      <c r="AX386" t="s">
        <v>74</v>
      </c>
      <c r="AY386" t="s">
        <v>74</v>
      </c>
      <c r="AZ386" t="s">
        <v>74</v>
      </c>
      <c r="BA386" t="s">
        <v>74</v>
      </c>
      <c r="BB386" t="s">
        <v>74</v>
      </c>
      <c r="BC386" t="s">
        <v>74</v>
      </c>
      <c r="BD386">
        <v>677</v>
      </c>
      <c r="BE386" t="s">
        <v>7598</v>
      </c>
      <c r="BF386" t="str">
        <f>HYPERLINK("http://dx.doi.org/10.3389/fmicb.2017.00677","http://dx.doi.org/10.3389/fmicb.2017.00677")</f>
        <v>http://dx.doi.org/10.3389/fmicb.2017.00677</v>
      </c>
      <c r="BG386" t="s">
        <v>74</v>
      </c>
      <c r="BH386" t="s">
        <v>74</v>
      </c>
      <c r="BI386">
        <v>11</v>
      </c>
      <c r="BJ386" t="s">
        <v>410</v>
      </c>
      <c r="BK386" t="s">
        <v>103</v>
      </c>
      <c r="BL386" t="s">
        <v>410</v>
      </c>
      <c r="BM386" t="s">
        <v>7599</v>
      </c>
      <c r="BN386">
        <v>28469614</v>
      </c>
      <c r="BO386" t="s">
        <v>3118</v>
      </c>
      <c r="BP386" t="s">
        <v>74</v>
      </c>
      <c r="BQ386" t="s">
        <v>74</v>
      </c>
      <c r="BR386" t="s">
        <v>106</v>
      </c>
      <c r="BS386" t="s">
        <v>7600</v>
      </c>
      <c r="BT386" t="str">
        <f>HYPERLINK("https%3A%2F%2Fwww.webofscience.com%2Fwos%2Fwoscc%2Ffull-record%2FWOS:000399528600001","View Full Record in Web of Science")</f>
        <v>View Full Record in Web of Science</v>
      </c>
    </row>
    <row r="387" spans="1:72" x14ac:dyDescent="0.15">
      <c r="A387" t="s">
        <v>72</v>
      </c>
      <c r="B387" t="s">
        <v>7601</v>
      </c>
      <c r="C387" t="s">
        <v>74</v>
      </c>
      <c r="D387" t="s">
        <v>74</v>
      </c>
      <c r="E387" t="s">
        <v>74</v>
      </c>
      <c r="F387" t="s">
        <v>7602</v>
      </c>
      <c r="G387" t="s">
        <v>74</v>
      </c>
      <c r="H387" t="s">
        <v>74</v>
      </c>
      <c r="I387" t="s">
        <v>7603</v>
      </c>
      <c r="J387" t="s">
        <v>4064</v>
      </c>
      <c r="K387" t="s">
        <v>74</v>
      </c>
      <c r="L387" t="s">
        <v>74</v>
      </c>
      <c r="M387" t="s">
        <v>78</v>
      </c>
      <c r="N387" t="s">
        <v>79</v>
      </c>
      <c r="O387" t="s">
        <v>74</v>
      </c>
      <c r="P387" t="s">
        <v>74</v>
      </c>
      <c r="Q387" t="s">
        <v>74</v>
      </c>
      <c r="R387" t="s">
        <v>74</v>
      </c>
      <c r="S387" t="s">
        <v>74</v>
      </c>
      <c r="T387" t="s">
        <v>7604</v>
      </c>
      <c r="U387" t="s">
        <v>7605</v>
      </c>
      <c r="V387" t="s">
        <v>7606</v>
      </c>
      <c r="W387" t="s">
        <v>7607</v>
      </c>
      <c r="X387" t="s">
        <v>7608</v>
      </c>
      <c r="Y387" t="s">
        <v>7609</v>
      </c>
      <c r="Z387" t="s">
        <v>7610</v>
      </c>
      <c r="AA387" t="s">
        <v>7611</v>
      </c>
      <c r="AB387" t="s">
        <v>7612</v>
      </c>
      <c r="AC387" t="s">
        <v>7613</v>
      </c>
      <c r="AD387" t="s">
        <v>7614</v>
      </c>
      <c r="AE387" t="s">
        <v>7615</v>
      </c>
      <c r="AF387" t="s">
        <v>74</v>
      </c>
      <c r="AG387">
        <v>62</v>
      </c>
      <c r="AH387">
        <v>37</v>
      </c>
      <c r="AI387">
        <v>38</v>
      </c>
      <c r="AJ387">
        <v>3</v>
      </c>
      <c r="AK387">
        <v>40</v>
      </c>
      <c r="AL387" t="s">
        <v>3510</v>
      </c>
      <c r="AM387" t="s">
        <v>3511</v>
      </c>
      <c r="AN387" t="s">
        <v>3512</v>
      </c>
      <c r="AO387" t="s">
        <v>4077</v>
      </c>
      <c r="AP387" t="s">
        <v>74</v>
      </c>
      <c r="AQ387" t="s">
        <v>74</v>
      </c>
      <c r="AR387" t="s">
        <v>4078</v>
      </c>
      <c r="AS387" t="s">
        <v>4079</v>
      </c>
      <c r="AT387" t="s">
        <v>7578</v>
      </c>
      <c r="AU387">
        <v>2017</v>
      </c>
      <c r="AV387">
        <v>8</v>
      </c>
      <c r="AW387" t="s">
        <v>74</v>
      </c>
      <c r="AX387" t="s">
        <v>74</v>
      </c>
      <c r="AY387" t="s">
        <v>74</v>
      </c>
      <c r="AZ387" t="s">
        <v>74</v>
      </c>
      <c r="BA387" t="s">
        <v>74</v>
      </c>
      <c r="BB387" t="s">
        <v>74</v>
      </c>
      <c r="BC387" t="s">
        <v>74</v>
      </c>
      <c r="BD387">
        <v>670</v>
      </c>
      <c r="BE387" t="s">
        <v>7616</v>
      </c>
      <c r="BF387" t="str">
        <f>HYPERLINK("http://dx.doi.org/10.3389/fmicb.2017.00670","http://dx.doi.org/10.3389/fmicb.2017.00670")</f>
        <v>http://dx.doi.org/10.3389/fmicb.2017.00670</v>
      </c>
      <c r="BG387" t="s">
        <v>74</v>
      </c>
      <c r="BH387" t="s">
        <v>74</v>
      </c>
      <c r="BI387">
        <v>12</v>
      </c>
      <c r="BJ387" t="s">
        <v>410</v>
      </c>
      <c r="BK387" t="s">
        <v>103</v>
      </c>
      <c r="BL387" t="s">
        <v>410</v>
      </c>
      <c r="BM387" t="s">
        <v>7617</v>
      </c>
      <c r="BN387">
        <v>28469613</v>
      </c>
      <c r="BO387" t="s">
        <v>4503</v>
      </c>
      <c r="BP387" t="s">
        <v>74</v>
      </c>
      <c r="BQ387" t="s">
        <v>74</v>
      </c>
      <c r="BR387" t="s">
        <v>106</v>
      </c>
      <c r="BS387" t="s">
        <v>7618</v>
      </c>
      <c r="BT387" t="str">
        <f>HYPERLINK("https%3A%2F%2Fwww.webofscience.com%2Fwos%2Fwoscc%2Ffull-record%2FWOS:000399528400002","View Full Record in Web of Science")</f>
        <v>View Full Record in Web of Science</v>
      </c>
    </row>
    <row r="388" spans="1:72" x14ac:dyDescent="0.15">
      <c r="A388" t="s">
        <v>72</v>
      </c>
      <c r="B388" t="s">
        <v>7619</v>
      </c>
      <c r="C388" t="s">
        <v>74</v>
      </c>
      <c r="D388" t="s">
        <v>74</v>
      </c>
      <c r="E388" t="s">
        <v>74</v>
      </c>
      <c r="F388" t="s">
        <v>7620</v>
      </c>
      <c r="G388" t="s">
        <v>74</v>
      </c>
      <c r="H388" t="s">
        <v>74</v>
      </c>
      <c r="I388" t="s">
        <v>7621</v>
      </c>
      <c r="J388" t="s">
        <v>7622</v>
      </c>
      <c r="K388" t="s">
        <v>74</v>
      </c>
      <c r="L388" t="s">
        <v>74</v>
      </c>
      <c r="M388" t="s">
        <v>78</v>
      </c>
      <c r="N388" t="s">
        <v>79</v>
      </c>
      <c r="O388" t="s">
        <v>74</v>
      </c>
      <c r="P388" t="s">
        <v>74</v>
      </c>
      <c r="Q388" t="s">
        <v>74</v>
      </c>
      <c r="R388" t="s">
        <v>74</v>
      </c>
      <c r="S388" t="s">
        <v>74</v>
      </c>
      <c r="T388" t="s">
        <v>74</v>
      </c>
      <c r="U388" t="s">
        <v>7623</v>
      </c>
      <c r="V388" t="s">
        <v>7624</v>
      </c>
      <c r="W388" t="s">
        <v>7625</v>
      </c>
      <c r="X388" t="s">
        <v>7626</v>
      </c>
      <c r="Y388" t="s">
        <v>7627</v>
      </c>
      <c r="Z388" t="s">
        <v>7628</v>
      </c>
      <c r="AA388" t="s">
        <v>7629</v>
      </c>
      <c r="AB388" t="s">
        <v>7630</v>
      </c>
      <c r="AC388" t="s">
        <v>7631</v>
      </c>
      <c r="AD388" t="s">
        <v>7632</v>
      </c>
      <c r="AE388" t="s">
        <v>7633</v>
      </c>
      <c r="AF388" t="s">
        <v>74</v>
      </c>
      <c r="AG388">
        <v>71</v>
      </c>
      <c r="AH388">
        <v>71</v>
      </c>
      <c r="AI388">
        <v>81</v>
      </c>
      <c r="AJ388">
        <v>17</v>
      </c>
      <c r="AK388">
        <v>136</v>
      </c>
      <c r="AL388" t="s">
        <v>2676</v>
      </c>
      <c r="AM388" t="s">
        <v>223</v>
      </c>
      <c r="AN388" t="s">
        <v>2677</v>
      </c>
      <c r="AO388" t="s">
        <v>7634</v>
      </c>
      <c r="AP388" t="s">
        <v>7635</v>
      </c>
      <c r="AQ388" t="s">
        <v>74</v>
      </c>
      <c r="AR388" t="s">
        <v>7636</v>
      </c>
      <c r="AS388" t="s">
        <v>7637</v>
      </c>
      <c r="AT388" t="s">
        <v>7638</v>
      </c>
      <c r="AU388">
        <v>2017</v>
      </c>
      <c r="AV388">
        <v>51</v>
      </c>
      <c r="AW388">
        <v>8</v>
      </c>
      <c r="AX388" t="s">
        <v>74</v>
      </c>
      <c r="AY388" t="s">
        <v>74</v>
      </c>
      <c r="AZ388" t="s">
        <v>74</v>
      </c>
      <c r="BA388" t="s">
        <v>74</v>
      </c>
      <c r="BB388">
        <v>4328</v>
      </c>
      <c r="BC388">
        <v>4337</v>
      </c>
      <c r="BD388" t="s">
        <v>74</v>
      </c>
      <c r="BE388" t="s">
        <v>7639</v>
      </c>
      <c r="BF388" t="str">
        <f>HYPERLINK("http://dx.doi.org/10.1021/acs.est.6b05780","http://dx.doi.org/10.1021/acs.est.6b05780")</f>
        <v>http://dx.doi.org/10.1021/acs.est.6b05780</v>
      </c>
      <c r="BG388" t="s">
        <v>74</v>
      </c>
      <c r="BH388" t="s">
        <v>74</v>
      </c>
      <c r="BI388">
        <v>10</v>
      </c>
      <c r="BJ388" t="s">
        <v>7640</v>
      </c>
      <c r="BK388" t="s">
        <v>103</v>
      </c>
      <c r="BL388" t="s">
        <v>7641</v>
      </c>
      <c r="BM388" t="s">
        <v>7642</v>
      </c>
      <c r="BN388">
        <v>28328192</v>
      </c>
      <c r="BO388" t="s">
        <v>74</v>
      </c>
      <c r="BP388" t="s">
        <v>74</v>
      </c>
      <c r="BQ388" t="s">
        <v>74</v>
      </c>
      <c r="BR388" t="s">
        <v>106</v>
      </c>
      <c r="BS388" t="s">
        <v>7643</v>
      </c>
      <c r="BT388" t="str">
        <f>HYPERLINK("https%3A%2F%2Fwww.webofscience.com%2Fwos%2Fwoscc%2Ffull-record%2FWOS:000399859700022","View Full Record in Web of Science")</f>
        <v>View Full Record in Web of Science</v>
      </c>
    </row>
    <row r="389" spans="1:72" x14ac:dyDescent="0.15">
      <c r="A389" t="s">
        <v>72</v>
      </c>
      <c r="B389" t="s">
        <v>7644</v>
      </c>
      <c r="C389" t="s">
        <v>74</v>
      </c>
      <c r="D389" t="s">
        <v>74</v>
      </c>
      <c r="E389" t="s">
        <v>74</v>
      </c>
      <c r="F389" t="s">
        <v>7645</v>
      </c>
      <c r="G389" t="s">
        <v>74</v>
      </c>
      <c r="H389" t="s">
        <v>74</v>
      </c>
      <c r="I389" t="s">
        <v>7646</v>
      </c>
      <c r="J389" t="s">
        <v>7647</v>
      </c>
      <c r="K389" t="s">
        <v>74</v>
      </c>
      <c r="L389" t="s">
        <v>74</v>
      </c>
      <c r="M389" t="s">
        <v>78</v>
      </c>
      <c r="N389" t="s">
        <v>79</v>
      </c>
      <c r="O389" t="s">
        <v>74</v>
      </c>
      <c r="P389" t="s">
        <v>74</v>
      </c>
      <c r="Q389" t="s">
        <v>74</v>
      </c>
      <c r="R389" t="s">
        <v>74</v>
      </c>
      <c r="S389" t="s">
        <v>74</v>
      </c>
      <c r="T389" t="s">
        <v>7648</v>
      </c>
      <c r="U389" t="s">
        <v>7649</v>
      </c>
      <c r="V389" t="s">
        <v>7650</v>
      </c>
      <c r="W389" t="s">
        <v>7651</v>
      </c>
      <c r="X389" t="s">
        <v>7652</v>
      </c>
      <c r="Y389" t="s">
        <v>7653</v>
      </c>
      <c r="Z389" t="s">
        <v>7654</v>
      </c>
      <c r="AA389" t="s">
        <v>7655</v>
      </c>
      <c r="AB389" t="s">
        <v>7656</v>
      </c>
      <c r="AC389" t="s">
        <v>7657</v>
      </c>
      <c r="AD389" t="s">
        <v>7658</v>
      </c>
      <c r="AE389" t="s">
        <v>7659</v>
      </c>
      <c r="AF389" t="s">
        <v>74</v>
      </c>
      <c r="AG389">
        <v>56</v>
      </c>
      <c r="AH389">
        <v>10</v>
      </c>
      <c r="AI389">
        <v>10</v>
      </c>
      <c r="AJ389">
        <v>0</v>
      </c>
      <c r="AK389">
        <v>6</v>
      </c>
      <c r="AL389" t="s">
        <v>3534</v>
      </c>
      <c r="AM389" t="s">
        <v>3535</v>
      </c>
      <c r="AN389" t="s">
        <v>3536</v>
      </c>
      <c r="AO389" t="s">
        <v>7660</v>
      </c>
      <c r="AP389" t="s">
        <v>7661</v>
      </c>
      <c r="AQ389" t="s">
        <v>74</v>
      </c>
      <c r="AR389" t="s">
        <v>7662</v>
      </c>
      <c r="AS389" t="s">
        <v>7663</v>
      </c>
      <c r="AT389" t="s">
        <v>7638</v>
      </c>
      <c r="AU389">
        <v>2017</v>
      </c>
      <c r="AV389">
        <v>35</v>
      </c>
      <c r="AW389">
        <v>3</v>
      </c>
      <c r="AX389" t="s">
        <v>74</v>
      </c>
      <c r="AY389" t="s">
        <v>74</v>
      </c>
      <c r="AZ389" t="s">
        <v>74</v>
      </c>
      <c r="BA389" t="s">
        <v>74</v>
      </c>
      <c r="BB389">
        <v>567</v>
      </c>
      <c r="BC389">
        <v>582</v>
      </c>
      <c r="BD389" t="s">
        <v>74</v>
      </c>
      <c r="BE389" t="s">
        <v>7664</v>
      </c>
      <c r="BF389" t="str">
        <f>HYPERLINK("http://dx.doi.org/10.5194/angeo-35-567-2017","http://dx.doi.org/10.5194/angeo-35-567-2017")</f>
        <v>http://dx.doi.org/10.5194/angeo-35-567-2017</v>
      </c>
      <c r="BG389" t="s">
        <v>74</v>
      </c>
      <c r="BH389" t="s">
        <v>74</v>
      </c>
      <c r="BI389">
        <v>16</v>
      </c>
      <c r="BJ389" t="s">
        <v>7665</v>
      </c>
      <c r="BK389" t="s">
        <v>103</v>
      </c>
      <c r="BL389" t="s">
        <v>7666</v>
      </c>
      <c r="BM389" t="s">
        <v>7667</v>
      </c>
      <c r="BN389" t="s">
        <v>74</v>
      </c>
      <c r="BO389" t="s">
        <v>3617</v>
      </c>
      <c r="BP389" t="s">
        <v>74</v>
      </c>
      <c r="BQ389" t="s">
        <v>74</v>
      </c>
      <c r="BR389" t="s">
        <v>106</v>
      </c>
      <c r="BS389" t="s">
        <v>7668</v>
      </c>
      <c r="BT389" t="str">
        <f>HYPERLINK("https%3A%2F%2Fwww.webofscience.com%2Fwos%2Fwoscc%2Ffull-record%2FWOS:000399752200001","View Full Record in Web of Science")</f>
        <v>View Full Record in Web of Science</v>
      </c>
    </row>
    <row r="390" spans="1:72" x14ac:dyDescent="0.15">
      <c r="A390" t="s">
        <v>72</v>
      </c>
      <c r="B390" t="s">
        <v>7669</v>
      </c>
      <c r="C390" t="s">
        <v>74</v>
      </c>
      <c r="D390" t="s">
        <v>74</v>
      </c>
      <c r="E390" t="s">
        <v>74</v>
      </c>
      <c r="F390" t="s">
        <v>7670</v>
      </c>
      <c r="G390" t="s">
        <v>74</v>
      </c>
      <c r="H390" t="s">
        <v>74</v>
      </c>
      <c r="I390" t="s">
        <v>7671</v>
      </c>
      <c r="J390" t="s">
        <v>3803</v>
      </c>
      <c r="K390" t="s">
        <v>74</v>
      </c>
      <c r="L390" t="s">
        <v>74</v>
      </c>
      <c r="M390" t="s">
        <v>78</v>
      </c>
      <c r="N390" t="s">
        <v>79</v>
      </c>
      <c r="O390" t="s">
        <v>74</v>
      </c>
      <c r="P390" t="s">
        <v>74</v>
      </c>
      <c r="Q390" t="s">
        <v>74</v>
      </c>
      <c r="R390" t="s">
        <v>74</v>
      </c>
      <c r="S390" t="s">
        <v>74</v>
      </c>
      <c r="T390" t="s">
        <v>74</v>
      </c>
      <c r="U390" t="s">
        <v>7672</v>
      </c>
      <c r="V390" t="s">
        <v>7673</v>
      </c>
      <c r="W390" t="s">
        <v>7674</v>
      </c>
      <c r="X390" t="s">
        <v>7675</v>
      </c>
      <c r="Y390" t="s">
        <v>7676</v>
      </c>
      <c r="Z390" t="s">
        <v>7677</v>
      </c>
      <c r="AA390" t="s">
        <v>7678</v>
      </c>
      <c r="AB390" t="s">
        <v>7679</v>
      </c>
      <c r="AC390" t="s">
        <v>7680</v>
      </c>
      <c r="AD390" t="s">
        <v>7681</v>
      </c>
      <c r="AE390" t="s">
        <v>7682</v>
      </c>
      <c r="AF390" t="s">
        <v>74</v>
      </c>
      <c r="AG390">
        <v>99</v>
      </c>
      <c r="AH390">
        <v>10</v>
      </c>
      <c r="AI390">
        <v>12</v>
      </c>
      <c r="AJ390">
        <v>0</v>
      </c>
      <c r="AK390">
        <v>18</v>
      </c>
      <c r="AL390" t="s">
        <v>3534</v>
      </c>
      <c r="AM390" t="s">
        <v>3535</v>
      </c>
      <c r="AN390" t="s">
        <v>3536</v>
      </c>
      <c r="AO390" t="s">
        <v>3814</v>
      </c>
      <c r="AP390" t="s">
        <v>3815</v>
      </c>
      <c r="AQ390" t="s">
        <v>74</v>
      </c>
      <c r="AR390" t="s">
        <v>3816</v>
      </c>
      <c r="AS390" t="s">
        <v>3817</v>
      </c>
      <c r="AT390" t="s">
        <v>7638</v>
      </c>
      <c r="AU390">
        <v>2017</v>
      </c>
      <c r="AV390">
        <v>13</v>
      </c>
      <c r="AW390">
        <v>4</v>
      </c>
      <c r="AX390" t="s">
        <v>74</v>
      </c>
      <c r="AY390" t="s">
        <v>74</v>
      </c>
      <c r="AZ390" t="s">
        <v>74</v>
      </c>
      <c r="BA390" t="s">
        <v>74</v>
      </c>
      <c r="BB390" t="s">
        <v>74</v>
      </c>
      <c r="BC390" t="s">
        <v>74</v>
      </c>
      <c r="BD390" t="s">
        <v>74</v>
      </c>
      <c r="BE390" t="s">
        <v>7683</v>
      </c>
      <c r="BF390" t="str">
        <f>HYPERLINK("http://dx.doi.org/10.5194/cp-13-345-2017","http://dx.doi.org/10.5194/cp-13-345-2017")</f>
        <v>http://dx.doi.org/10.5194/cp-13-345-2017</v>
      </c>
      <c r="BG390" t="s">
        <v>74</v>
      </c>
      <c r="BH390" t="s">
        <v>74</v>
      </c>
      <c r="BI390">
        <v>14</v>
      </c>
      <c r="BJ390" t="s">
        <v>3820</v>
      </c>
      <c r="BK390" t="s">
        <v>103</v>
      </c>
      <c r="BL390" t="s">
        <v>3821</v>
      </c>
      <c r="BM390" t="s">
        <v>7684</v>
      </c>
      <c r="BN390" t="s">
        <v>74</v>
      </c>
      <c r="BO390" t="s">
        <v>7101</v>
      </c>
      <c r="BP390" t="s">
        <v>74</v>
      </c>
      <c r="BQ390" t="s">
        <v>74</v>
      </c>
      <c r="BR390" t="s">
        <v>106</v>
      </c>
      <c r="BS390" t="s">
        <v>7685</v>
      </c>
      <c r="BT390" t="str">
        <f>HYPERLINK("https%3A%2F%2Fwww.webofscience.com%2Fwos%2Fwoscc%2Ffull-record%2FWOS:000399752700001","View Full Record in Web of Science")</f>
        <v>View Full Record in Web of Science</v>
      </c>
    </row>
    <row r="391" spans="1:72" x14ac:dyDescent="0.15">
      <c r="A391" t="s">
        <v>72</v>
      </c>
      <c r="B391" t="s">
        <v>7686</v>
      </c>
      <c r="C391" t="s">
        <v>74</v>
      </c>
      <c r="D391" t="s">
        <v>74</v>
      </c>
      <c r="E391" t="s">
        <v>74</v>
      </c>
      <c r="F391" t="s">
        <v>7687</v>
      </c>
      <c r="G391" t="s">
        <v>74</v>
      </c>
      <c r="H391" t="s">
        <v>74</v>
      </c>
      <c r="I391" t="s">
        <v>7688</v>
      </c>
      <c r="J391" t="s">
        <v>3827</v>
      </c>
      <c r="K391" t="s">
        <v>74</v>
      </c>
      <c r="L391" t="s">
        <v>74</v>
      </c>
      <c r="M391" t="s">
        <v>78</v>
      </c>
      <c r="N391" t="s">
        <v>79</v>
      </c>
      <c r="O391" t="s">
        <v>74</v>
      </c>
      <c r="P391" t="s">
        <v>74</v>
      </c>
      <c r="Q391" t="s">
        <v>74</v>
      </c>
      <c r="R391" t="s">
        <v>74</v>
      </c>
      <c r="S391" t="s">
        <v>74</v>
      </c>
      <c r="T391" t="s">
        <v>74</v>
      </c>
      <c r="U391" t="s">
        <v>7689</v>
      </c>
      <c r="V391" t="s">
        <v>7690</v>
      </c>
      <c r="W391" t="s">
        <v>7691</v>
      </c>
      <c r="X391" t="s">
        <v>7692</v>
      </c>
      <c r="Y391" t="s">
        <v>7693</v>
      </c>
      <c r="Z391" t="s">
        <v>7694</v>
      </c>
      <c r="AA391" t="s">
        <v>7695</v>
      </c>
      <c r="AB391" t="s">
        <v>7696</v>
      </c>
      <c r="AC391" t="s">
        <v>7697</v>
      </c>
      <c r="AD391" t="s">
        <v>7698</v>
      </c>
      <c r="AE391" t="s">
        <v>7699</v>
      </c>
      <c r="AF391" t="s">
        <v>74</v>
      </c>
      <c r="AG391">
        <v>85</v>
      </c>
      <c r="AH391">
        <v>160</v>
      </c>
      <c r="AI391">
        <v>171</v>
      </c>
      <c r="AJ391">
        <v>2</v>
      </c>
      <c r="AK391">
        <v>49</v>
      </c>
      <c r="AL391" t="s">
        <v>3534</v>
      </c>
      <c r="AM391" t="s">
        <v>3535</v>
      </c>
      <c r="AN391" t="s">
        <v>3536</v>
      </c>
      <c r="AO391" t="s">
        <v>3839</v>
      </c>
      <c r="AP391" t="s">
        <v>3840</v>
      </c>
      <c r="AQ391" t="s">
        <v>74</v>
      </c>
      <c r="AR391" t="s">
        <v>3827</v>
      </c>
      <c r="AS391" t="s">
        <v>3841</v>
      </c>
      <c r="AT391" t="s">
        <v>7638</v>
      </c>
      <c r="AU391">
        <v>2017</v>
      </c>
      <c r="AV391">
        <v>11</v>
      </c>
      <c r="AW391">
        <v>2</v>
      </c>
      <c r="AX391" t="s">
        <v>74</v>
      </c>
      <c r="AY391" t="s">
        <v>74</v>
      </c>
      <c r="AZ391" t="s">
        <v>74</v>
      </c>
      <c r="BA391" t="s">
        <v>74</v>
      </c>
      <c r="BB391">
        <v>949</v>
      </c>
      <c r="BC391">
        <v>970</v>
      </c>
      <c r="BD391" t="s">
        <v>74</v>
      </c>
      <c r="BE391" t="s">
        <v>7700</v>
      </c>
      <c r="BF391" t="str">
        <f>HYPERLINK("http://dx.doi.org/10.5194/tc-11-949-2017","http://dx.doi.org/10.5194/tc-11-949-2017")</f>
        <v>http://dx.doi.org/10.5194/tc-11-949-2017</v>
      </c>
      <c r="BG391" t="s">
        <v>74</v>
      </c>
      <c r="BH391" t="s">
        <v>74</v>
      </c>
      <c r="BI391">
        <v>22</v>
      </c>
      <c r="BJ391" t="s">
        <v>1338</v>
      </c>
      <c r="BK391" t="s">
        <v>103</v>
      </c>
      <c r="BL391" t="s">
        <v>1339</v>
      </c>
      <c r="BM391" t="s">
        <v>7701</v>
      </c>
      <c r="BN391" t="s">
        <v>74</v>
      </c>
      <c r="BO391" t="s">
        <v>7702</v>
      </c>
      <c r="BP391" t="s">
        <v>74</v>
      </c>
      <c r="BQ391" t="s">
        <v>74</v>
      </c>
      <c r="BR391" t="s">
        <v>106</v>
      </c>
      <c r="BS391" t="s">
        <v>7703</v>
      </c>
      <c r="BT391" t="str">
        <f>HYPERLINK("https%3A%2F%2Fwww.webofscience.com%2Fwos%2Fwoscc%2Ffull-record%2FWOS:000399757900001","View Full Record in Web of Science")</f>
        <v>View Full Record in Web of Science</v>
      </c>
    </row>
    <row r="392" spans="1:72" x14ac:dyDescent="0.15">
      <c r="A392" t="s">
        <v>72</v>
      </c>
      <c r="B392" t="s">
        <v>7704</v>
      </c>
      <c r="C392" t="s">
        <v>74</v>
      </c>
      <c r="D392" t="s">
        <v>74</v>
      </c>
      <c r="E392" t="s">
        <v>74</v>
      </c>
      <c r="F392" t="s">
        <v>7705</v>
      </c>
      <c r="G392" t="s">
        <v>74</v>
      </c>
      <c r="H392" t="s">
        <v>74</v>
      </c>
      <c r="I392" t="s">
        <v>7706</v>
      </c>
      <c r="J392" t="s">
        <v>3661</v>
      </c>
      <c r="K392" t="s">
        <v>74</v>
      </c>
      <c r="L392" t="s">
        <v>74</v>
      </c>
      <c r="M392" t="s">
        <v>78</v>
      </c>
      <c r="N392" t="s">
        <v>79</v>
      </c>
      <c r="O392" t="s">
        <v>74</v>
      </c>
      <c r="P392" t="s">
        <v>74</v>
      </c>
      <c r="Q392" t="s">
        <v>74</v>
      </c>
      <c r="R392" t="s">
        <v>74</v>
      </c>
      <c r="S392" t="s">
        <v>74</v>
      </c>
      <c r="T392" t="s">
        <v>74</v>
      </c>
      <c r="U392" t="s">
        <v>7707</v>
      </c>
      <c r="V392" t="s">
        <v>7708</v>
      </c>
      <c r="W392" t="s">
        <v>7709</v>
      </c>
      <c r="X392" t="s">
        <v>7710</v>
      </c>
      <c r="Y392" t="s">
        <v>7711</v>
      </c>
      <c r="Z392" t="s">
        <v>7712</v>
      </c>
      <c r="AA392" t="s">
        <v>7713</v>
      </c>
      <c r="AB392" t="s">
        <v>7714</v>
      </c>
      <c r="AC392" t="s">
        <v>74</v>
      </c>
      <c r="AD392" t="s">
        <v>74</v>
      </c>
      <c r="AE392" t="s">
        <v>74</v>
      </c>
      <c r="AF392" t="s">
        <v>74</v>
      </c>
      <c r="AG392">
        <v>80</v>
      </c>
      <c r="AH392">
        <v>108</v>
      </c>
      <c r="AI392">
        <v>111</v>
      </c>
      <c r="AJ392">
        <v>3</v>
      </c>
      <c r="AK392">
        <v>51</v>
      </c>
      <c r="AL392" t="s">
        <v>3671</v>
      </c>
      <c r="AM392" t="s">
        <v>3672</v>
      </c>
      <c r="AN392" t="s">
        <v>3673</v>
      </c>
      <c r="AO392" t="s">
        <v>3674</v>
      </c>
      <c r="AP392" t="s">
        <v>74</v>
      </c>
      <c r="AQ392" t="s">
        <v>74</v>
      </c>
      <c r="AR392" t="s">
        <v>3675</v>
      </c>
      <c r="AS392" t="s">
        <v>3676</v>
      </c>
      <c r="AT392" t="s">
        <v>7638</v>
      </c>
      <c r="AU392">
        <v>2017</v>
      </c>
      <c r="AV392">
        <v>7</v>
      </c>
      <c r="AW392" t="s">
        <v>74</v>
      </c>
      <c r="AX392" t="s">
        <v>74</v>
      </c>
      <c r="AY392" t="s">
        <v>74</v>
      </c>
      <c r="AZ392" t="s">
        <v>74</v>
      </c>
      <c r="BA392" t="s">
        <v>74</v>
      </c>
      <c r="BB392" t="s">
        <v>74</v>
      </c>
      <c r="BC392" t="s">
        <v>74</v>
      </c>
      <c r="BD392">
        <v>46297</v>
      </c>
      <c r="BE392" t="s">
        <v>7715</v>
      </c>
      <c r="BF392" t="str">
        <f>HYPERLINK("http://dx.doi.org/10.1038/srep46297","http://dx.doi.org/10.1038/srep46297")</f>
        <v>http://dx.doi.org/10.1038/srep46297</v>
      </c>
      <c r="BG392" t="s">
        <v>74</v>
      </c>
      <c r="BH392" t="s">
        <v>74</v>
      </c>
      <c r="BI392">
        <v>12</v>
      </c>
      <c r="BJ392" t="s">
        <v>1617</v>
      </c>
      <c r="BK392" t="s">
        <v>103</v>
      </c>
      <c r="BL392" t="s">
        <v>1618</v>
      </c>
      <c r="BM392" t="s">
        <v>7716</v>
      </c>
      <c r="BN392">
        <v>28417970</v>
      </c>
      <c r="BO392" t="s">
        <v>3679</v>
      </c>
      <c r="BP392" t="s">
        <v>74</v>
      </c>
      <c r="BQ392" t="s">
        <v>74</v>
      </c>
      <c r="BR392" t="s">
        <v>106</v>
      </c>
      <c r="BS392" t="s">
        <v>7717</v>
      </c>
      <c r="BT392" t="str">
        <f>HYPERLINK("https%3A%2F%2Fwww.webofscience.com%2Fwos%2Fwoscc%2Ffull-record%2FWOS:000399555200001","View Full Record in Web of Science")</f>
        <v>View Full Record in Web of Science</v>
      </c>
    </row>
    <row r="393" spans="1:72" x14ac:dyDescent="0.15">
      <c r="A393" t="s">
        <v>72</v>
      </c>
      <c r="B393" t="s">
        <v>7718</v>
      </c>
      <c r="C393" t="s">
        <v>74</v>
      </c>
      <c r="D393" t="s">
        <v>74</v>
      </c>
      <c r="E393" t="s">
        <v>74</v>
      </c>
      <c r="F393" t="s">
        <v>7719</v>
      </c>
      <c r="G393" t="s">
        <v>74</v>
      </c>
      <c r="H393" t="s">
        <v>74</v>
      </c>
      <c r="I393" t="s">
        <v>7720</v>
      </c>
      <c r="J393" t="s">
        <v>3684</v>
      </c>
      <c r="K393" t="s">
        <v>74</v>
      </c>
      <c r="L393" t="s">
        <v>74</v>
      </c>
      <c r="M393" t="s">
        <v>78</v>
      </c>
      <c r="N393" t="s">
        <v>79</v>
      </c>
      <c r="O393" t="s">
        <v>74</v>
      </c>
      <c r="P393" t="s">
        <v>74</v>
      </c>
      <c r="Q393" t="s">
        <v>74</v>
      </c>
      <c r="R393" t="s">
        <v>74</v>
      </c>
      <c r="S393" t="s">
        <v>74</v>
      </c>
      <c r="T393" t="s">
        <v>7721</v>
      </c>
      <c r="U393" t="s">
        <v>7722</v>
      </c>
      <c r="V393" t="s">
        <v>7723</v>
      </c>
      <c r="W393" t="s">
        <v>7724</v>
      </c>
      <c r="X393" t="s">
        <v>7725</v>
      </c>
      <c r="Y393" t="s">
        <v>7726</v>
      </c>
      <c r="Z393" t="s">
        <v>7727</v>
      </c>
      <c r="AA393" t="s">
        <v>7728</v>
      </c>
      <c r="AB393" t="s">
        <v>74</v>
      </c>
      <c r="AC393" t="s">
        <v>7729</v>
      </c>
      <c r="AD393" t="s">
        <v>7730</v>
      </c>
      <c r="AE393" t="s">
        <v>7731</v>
      </c>
      <c r="AF393" t="s">
        <v>74</v>
      </c>
      <c r="AG393">
        <v>26</v>
      </c>
      <c r="AH393">
        <v>30</v>
      </c>
      <c r="AI393">
        <v>31</v>
      </c>
      <c r="AJ393">
        <v>0</v>
      </c>
      <c r="AK393">
        <v>14</v>
      </c>
      <c r="AL393" t="s">
        <v>222</v>
      </c>
      <c r="AM393" t="s">
        <v>223</v>
      </c>
      <c r="AN393" t="s">
        <v>224</v>
      </c>
      <c r="AO393" t="s">
        <v>3696</v>
      </c>
      <c r="AP393" t="s">
        <v>3697</v>
      </c>
      <c r="AQ393" t="s">
        <v>74</v>
      </c>
      <c r="AR393" t="s">
        <v>3698</v>
      </c>
      <c r="AS393" t="s">
        <v>3699</v>
      </c>
      <c r="AT393" t="s">
        <v>7732</v>
      </c>
      <c r="AU393">
        <v>2017</v>
      </c>
      <c r="AV393">
        <v>44</v>
      </c>
      <c r="AW393">
        <v>7</v>
      </c>
      <c r="AX393" t="s">
        <v>74</v>
      </c>
      <c r="AY393" t="s">
        <v>74</v>
      </c>
      <c r="AZ393" t="s">
        <v>74</v>
      </c>
      <c r="BA393" t="s">
        <v>74</v>
      </c>
      <c r="BB393">
        <v>3219</v>
      </c>
      <c r="BC393">
        <v>3227</v>
      </c>
      <c r="BD393" t="s">
        <v>74</v>
      </c>
      <c r="BE393" t="s">
        <v>7733</v>
      </c>
      <c r="BF393" t="str">
        <f>HYPERLINK("http://dx.doi.org/10.1002/2017GL072835","http://dx.doi.org/10.1002/2017GL072835")</f>
        <v>http://dx.doi.org/10.1002/2017GL072835</v>
      </c>
      <c r="BG393" t="s">
        <v>74</v>
      </c>
      <c r="BH393" t="s">
        <v>74</v>
      </c>
      <c r="BI393">
        <v>9</v>
      </c>
      <c r="BJ393" t="s">
        <v>437</v>
      </c>
      <c r="BK393" t="s">
        <v>103</v>
      </c>
      <c r="BL393" t="s">
        <v>438</v>
      </c>
      <c r="BM393" t="s">
        <v>7734</v>
      </c>
      <c r="BN393" t="s">
        <v>74</v>
      </c>
      <c r="BO393" t="s">
        <v>2510</v>
      </c>
      <c r="BP393" t="s">
        <v>74</v>
      </c>
      <c r="BQ393" t="s">
        <v>74</v>
      </c>
      <c r="BR393" t="s">
        <v>106</v>
      </c>
      <c r="BS393" t="s">
        <v>7735</v>
      </c>
      <c r="BT393" t="str">
        <f>HYPERLINK("https%3A%2F%2Fwww.webofscience.com%2Fwos%2Fwoscc%2Ffull-record%2FWOS:000400186500029","View Full Record in Web of Science")</f>
        <v>View Full Record in Web of Science</v>
      </c>
    </row>
    <row r="394" spans="1:72" x14ac:dyDescent="0.15">
      <c r="A394" t="s">
        <v>72</v>
      </c>
      <c r="B394" t="s">
        <v>7736</v>
      </c>
      <c r="C394" t="s">
        <v>74</v>
      </c>
      <c r="D394" t="s">
        <v>74</v>
      </c>
      <c r="E394" t="s">
        <v>74</v>
      </c>
      <c r="F394" t="s">
        <v>7737</v>
      </c>
      <c r="G394" t="s">
        <v>74</v>
      </c>
      <c r="H394" t="s">
        <v>74</v>
      </c>
      <c r="I394" t="s">
        <v>7738</v>
      </c>
      <c r="J394" t="s">
        <v>3684</v>
      </c>
      <c r="K394" t="s">
        <v>74</v>
      </c>
      <c r="L394" t="s">
        <v>74</v>
      </c>
      <c r="M394" t="s">
        <v>78</v>
      </c>
      <c r="N394" t="s">
        <v>79</v>
      </c>
      <c r="O394" t="s">
        <v>74</v>
      </c>
      <c r="P394" t="s">
        <v>74</v>
      </c>
      <c r="Q394" t="s">
        <v>74</v>
      </c>
      <c r="R394" t="s">
        <v>74</v>
      </c>
      <c r="S394" t="s">
        <v>74</v>
      </c>
      <c r="T394" t="s">
        <v>7739</v>
      </c>
      <c r="U394" t="s">
        <v>7740</v>
      </c>
      <c r="V394" t="s">
        <v>7741</v>
      </c>
      <c r="W394" t="s">
        <v>7742</v>
      </c>
      <c r="X394" t="s">
        <v>7743</v>
      </c>
      <c r="Y394" t="s">
        <v>7744</v>
      </c>
      <c r="Z394" t="s">
        <v>7745</v>
      </c>
      <c r="AA394" t="s">
        <v>74</v>
      </c>
      <c r="AB394" t="s">
        <v>7746</v>
      </c>
      <c r="AC394" t="s">
        <v>7747</v>
      </c>
      <c r="AD394" t="s">
        <v>7748</v>
      </c>
      <c r="AE394" t="s">
        <v>7749</v>
      </c>
      <c r="AF394" t="s">
        <v>74</v>
      </c>
      <c r="AG394">
        <v>27</v>
      </c>
      <c r="AH394">
        <v>15</v>
      </c>
      <c r="AI394">
        <v>15</v>
      </c>
      <c r="AJ394">
        <v>0</v>
      </c>
      <c r="AK394">
        <v>10</v>
      </c>
      <c r="AL394" t="s">
        <v>222</v>
      </c>
      <c r="AM394" t="s">
        <v>223</v>
      </c>
      <c r="AN394" t="s">
        <v>224</v>
      </c>
      <c r="AO394" t="s">
        <v>3696</v>
      </c>
      <c r="AP394" t="s">
        <v>3697</v>
      </c>
      <c r="AQ394" t="s">
        <v>74</v>
      </c>
      <c r="AR394" t="s">
        <v>3698</v>
      </c>
      <c r="AS394" t="s">
        <v>3699</v>
      </c>
      <c r="AT394" t="s">
        <v>7732</v>
      </c>
      <c r="AU394">
        <v>2017</v>
      </c>
      <c r="AV394">
        <v>44</v>
      </c>
      <c r="AW394">
        <v>7</v>
      </c>
      <c r="AX394" t="s">
        <v>74</v>
      </c>
      <c r="AY394" t="s">
        <v>74</v>
      </c>
      <c r="AZ394" t="s">
        <v>74</v>
      </c>
      <c r="BA394" t="s">
        <v>74</v>
      </c>
      <c r="BB394">
        <v>3402</v>
      </c>
      <c r="BC394">
        <v>3410</v>
      </c>
      <c r="BD394" t="s">
        <v>74</v>
      </c>
      <c r="BE394" t="s">
        <v>7750</v>
      </c>
      <c r="BF394" t="str">
        <f>HYPERLINK("http://dx.doi.org/10.1002/2017GL072792","http://dx.doi.org/10.1002/2017GL072792")</f>
        <v>http://dx.doi.org/10.1002/2017GL072792</v>
      </c>
      <c r="BG394" t="s">
        <v>74</v>
      </c>
      <c r="BH394" t="s">
        <v>74</v>
      </c>
      <c r="BI394">
        <v>9</v>
      </c>
      <c r="BJ394" t="s">
        <v>437</v>
      </c>
      <c r="BK394" t="s">
        <v>103</v>
      </c>
      <c r="BL394" t="s">
        <v>438</v>
      </c>
      <c r="BM394" t="s">
        <v>7734</v>
      </c>
      <c r="BN394" t="s">
        <v>74</v>
      </c>
      <c r="BO394" t="s">
        <v>7751</v>
      </c>
      <c r="BP394" t="s">
        <v>74</v>
      </c>
      <c r="BQ394" t="s">
        <v>74</v>
      </c>
      <c r="BR394" t="s">
        <v>106</v>
      </c>
      <c r="BS394" t="s">
        <v>7752</v>
      </c>
      <c r="BT394" t="str">
        <f>HYPERLINK("https%3A%2F%2Fwww.webofscience.com%2Fwos%2Fwoscc%2Ffull-record%2FWOS:000400186500050","View Full Record in Web of Science")</f>
        <v>View Full Record in Web of Science</v>
      </c>
    </row>
    <row r="395" spans="1:72" x14ac:dyDescent="0.15">
      <c r="A395" t="s">
        <v>72</v>
      </c>
      <c r="B395" t="s">
        <v>7753</v>
      </c>
      <c r="C395" t="s">
        <v>74</v>
      </c>
      <c r="D395" t="s">
        <v>74</v>
      </c>
      <c r="E395" t="s">
        <v>74</v>
      </c>
      <c r="F395" t="s">
        <v>7754</v>
      </c>
      <c r="G395" t="s">
        <v>74</v>
      </c>
      <c r="H395" t="s">
        <v>74</v>
      </c>
      <c r="I395" t="s">
        <v>7755</v>
      </c>
      <c r="J395" t="s">
        <v>1322</v>
      </c>
      <c r="K395" t="s">
        <v>74</v>
      </c>
      <c r="L395" t="s">
        <v>74</v>
      </c>
      <c r="M395" t="s">
        <v>78</v>
      </c>
      <c r="N395" t="s">
        <v>79</v>
      </c>
      <c r="O395" t="s">
        <v>74</v>
      </c>
      <c r="P395" t="s">
        <v>74</v>
      </c>
      <c r="Q395" t="s">
        <v>74</v>
      </c>
      <c r="R395" t="s">
        <v>74</v>
      </c>
      <c r="S395" t="s">
        <v>74</v>
      </c>
      <c r="T395" t="s">
        <v>7756</v>
      </c>
      <c r="U395" t="s">
        <v>7757</v>
      </c>
      <c r="V395" t="s">
        <v>7758</v>
      </c>
      <c r="W395" t="s">
        <v>7759</v>
      </c>
      <c r="X395" t="s">
        <v>7760</v>
      </c>
      <c r="Y395" t="s">
        <v>7761</v>
      </c>
      <c r="Z395" t="s">
        <v>7762</v>
      </c>
      <c r="AA395" t="s">
        <v>7763</v>
      </c>
      <c r="AB395" t="s">
        <v>7764</v>
      </c>
      <c r="AC395" t="s">
        <v>7765</v>
      </c>
      <c r="AD395" t="s">
        <v>7766</v>
      </c>
      <c r="AE395" t="s">
        <v>7767</v>
      </c>
      <c r="AF395" t="s">
        <v>74</v>
      </c>
      <c r="AG395">
        <v>59</v>
      </c>
      <c r="AH395">
        <v>20</v>
      </c>
      <c r="AI395">
        <v>23</v>
      </c>
      <c r="AJ395">
        <v>1</v>
      </c>
      <c r="AK395">
        <v>24</v>
      </c>
      <c r="AL395" t="s">
        <v>656</v>
      </c>
      <c r="AM395" t="s">
        <v>93</v>
      </c>
      <c r="AN395" t="s">
        <v>657</v>
      </c>
      <c r="AO395" t="s">
        <v>1334</v>
      </c>
      <c r="AP395" t="s">
        <v>74</v>
      </c>
      <c r="AQ395" t="s">
        <v>74</v>
      </c>
      <c r="AR395" t="s">
        <v>1335</v>
      </c>
      <c r="AS395" t="s">
        <v>1336</v>
      </c>
      <c r="AT395" t="s">
        <v>7768</v>
      </c>
      <c r="AU395">
        <v>2017</v>
      </c>
      <c r="AV395">
        <v>162</v>
      </c>
      <c r="AW395" t="s">
        <v>74</v>
      </c>
      <c r="AX395" t="s">
        <v>74</v>
      </c>
      <c r="AY395" t="s">
        <v>74</v>
      </c>
      <c r="AZ395" t="s">
        <v>74</v>
      </c>
      <c r="BA395" t="s">
        <v>74</v>
      </c>
      <c r="BB395">
        <v>60</v>
      </c>
      <c r="BC395">
        <v>71</v>
      </c>
      <c r="BD395" t="s">
        <v>74</v>
      </c>
      <c r="BE395" t="s">
        <v>7769</v>
      </c>
      <c r="BF395" t="str">
        <f>HYPERLINK("http://dx.doi.org/10.1016/j.quascirev.2017.03.011","http://dx.doi.org/10.1016/j.quascirev.2017.03.011")</f>
        <v>http://dx.doi.org/10.1016/j.quascirev.2017.03.011</v>
      </c>
      <c r="BG395" t="s">
        <v>74</v>
      </c>
      <c r="BH395" t="s">
        <v>74</v>
      </c>
      <c r="BI395">
        <v>12</v>
      </c>
      <c r="BJ395" t="s">
        <v>1338</v>
      </c>
      <c r="BK395" t="s">
        <v>103</v>
      </c>
      <c r="BL395" t="s">
        <v>1339</v>
      </c>
      <c r="BM395" t="s">
        <v>7770</v>
      </c>
      <c r="BN395" t="s">
        <v>74</v>
      </c>
      <c r="BO395" t="s">
        <v>74</v>
      </c>
      <c r="BP395" t="s">
        <v>74</v>
      </c>
      <c r="BQ395" t="s">
        <v>74</v>
      </c>
      <c r="BR395" t="s">
        <v>106</v>
      </c>
      <c r="BS395" t="s">
        <v>7771</v>
      </c>
      <c r="BT395" t="str">
        <f>HYPERLINK("https%3A%2F%2Fwww.webofscience.com%2Fwos%2Fwoscc%2Ffull-record%2FWOS:000399849900005","View Full Record in Web of Science")</f>
        <v>View Full Record in Web of Science</v>
      </c>
    </row>
    <row r="396" spans="1:72" x14ac:dyDescent="0.15">
      <c r="A396" t="s">
        <v>72</v>
      </c>
      <c r="B396" t="s">
        <v>7772</v>
      </c>
      <c r="C396" t="s">
        <v>74</v>
      </c>
      <c r="D396" t="s">
        <v>74</v>
      </c>
      <c r="E396" t="s">
        <v>74</v>
      </c>
      <c r="F396" t="s">
        <v>7773</v>
      </c>
      <c r="G396" t="s">
        <v>74</v>
      </c>
      <c r="H396" t="s">
        <v>74</v>
      </c>
      <c r="I396" t="s">
        <v>7774</v>
      </c>
      <c r="J396" t="s">
        <v>7775</v>
      </c>
      <c r="K396" t="s">
        <v>74</v>
      </c>
      <c r="L396" t="s">
        <v>74</v>
      </c>
      <c r="M396" t="s">
        <v>78</v>
      </c>
      <c r="N396" t="s">
        <v>79</v>
      </c>
      <c r="O396" t="s">
        <v>74</v>
      </c>
      <c r="P396" t="s">
        <v>74</v>
      </c>
      <c r="Q396" t="s">
        <v>74</v>
      </c>
      <c r="R396" t="s">
        <v>74</v>
      </c>
      <c r="S396" t="s">
        <v>74</v>
      </c>
      <c r="T396" t="s">
        <v>7776</v>
      </c>
      <c r="U396" t="s">
        <v>7777</v>
      </c>
      <c r="V396" t="s">
        <v>7778</v>
      </c>
      <c r="W396" t="s">
        <v>7779</v>
      </c>
      <c r="X396" t="s">
        <v>7780</v>
      </c>
      <c r="Y396" t="s">
        <v>7781</v>
      </c>
      <c r="Z396" t="s">
        <v>7782</v>
      </c>
      <c r="AA396" t="s">
        <v>7783</v>
      </c>
      <c r="AB396" t="s">
        <v>7784</v>
      </c>
      <c r="AC396" t="s">
        <v>7785</v>
      </c>
      <c r="AD396" t="s">
        <v>7786</v>
      </c>
      <c r="AE396" t="s">
        <v>7787</v>
      </c>
      <c r="AF396" t="s">
        <v>74</v>
      </c>
      <c r="AG396">
        <v>45</v>
      </c>
      <c r="AH396">
        <v>1</v>
      </c>
      <c r="AI396">
        <v>1</v>
      </c>
      <c r="AJ396">
        <v>0</v>
      </c>
      <c r="AK396">
        <v>6</v>
      </c>
      <c r="AL396" t="s">
        <v>374</v>
      </c>
      <c r="AM396" t="s">
        <v>93</v>
      </c>
      <c r="AN396" t="s">
        <v>375</v>
      </c>
      <c r="AO396" t="s">
        <v>7788</v>
      </c>
      <c r="AP396" t="s">
        <v>7789</v>
      </c>
      <c r="AQ396" t="s">
        <v>74</v>
      </c>
      <c r="AR396" t="s">
        <v>7790</v>
      </c>
      <c r="AS396" t="s">
        <v>7791</v>
      </c>
      <c r="AT396" t="s">
        <v>7768</v>
      </c>
      <c r="AU396">
        <v>2017</v>
      </c>
      <c r="AV396">
        <v>59</v>
      </c>
      <c r="AW396">
        <v>8</v>
      </c>
      <c r="AX396" t="s">
        <v>74</v>
      </c>
      <c r="AY396" t="s">
        <v>74</v>
      </c>
      <c r="AZ396" t="s">
        <v>74</v>
      </c>
      <c r="BA396" t="s">
        <v>74</v>
      </c>
      <c r="BB396">
        <v>2007</v>
      </c>
      <c r="BC396">
        <v>2018</v>
      </c>
      <c r="BD396" t="s">
        <v>74</v>
      </c>
      <c r="BE396" t="s">
        <v>7792</v>
      </c>
      <c r="BF396" t="str">
        <f>HYPERLINK("http://dx.doi.org/10.1016/j.asr.2017.02.004","http://dx.doi.org/10.1016/j.asr.2017.02.004")</f>
        <v>http://dx.doi.org/10.1016/j.asr.2017.02.004</v>
      </c>
      <c r="BG396" t="s">
        <v>74</v>
      </c>
      <c r="BH396" t="s">
        <v>74</v>
      </c>
      <c r="BI396">
        <v>12</v>
      </c>
      <c r="BJ396" t="s">
        <v>7793</v>
      </c>
      <c r="BK396" t="s">
        <v>103</v>
      </c>
      <c r="BL396" t="s">
        <v>7794</v>
      </c>
      <c r="BM396" t="s">
        <v>7795</v>
      </c>
      <c r="BN396" t="s">
        <v>74</v>
      </c>
      <c r="BO396" t="s">
        <v>74</v>
      </c>
      <c r="BP396" t="s">
        <v>74</v>
      </c>
      <c r="BQ396" t="s">
        <v>74</v>
      </c>
      <c r="BR396" t="s">
        <v>106</v>
      </c>
      <c r="BS396" t="s">
        <v>7796</v>
      </c>
      <c r="BT396" t="str">
        <f>HYPERLINK("https%3A%2F%2Fwww.webofscience.com%2Fwos%2Fwoscc%2Ffull-record%2FWOS:000399631500006","View Full Record in Web of Science")</f>
        <v>View Full Record in Web of Science</v>
      </c>
    </row>
    <row r="397" spans="1:72" x14ac:dyDescent="0.15">
      <c r="A397" t="s">
        <v>72</v>
      </c>
      <c r="B397" t="s">
        <v>7797</v>
      </c>
      <c r="C397" t="s">
        <v>74</v>
      </c>
      <c r="D397" t="s">
        <v>74</v>
      </c>
      <c r="E397" t="s">
        <v>74</v>
      </c>
      <c r="F397" t="s">
        <v>7798</v>
      </c>
      <c r="G397" t="s">
        <v>74</v>
      </c>
      <c r="H397" t="s">
        <v>74</v>
      </c>
      <c r="I397" t="s">
        <v>7799</v>
      </c>
      <c r="J397" t="s">
        <v>4103</v>
      </c>
      <c r="K397" t="s">
        <v>74</v>
      </c>
      <c r="L397" t="s">
        <v>74</v>
      </c>
      <c r="M397" t="s">
        <v>78</v>
      </c>
      <c r="N397" t="s">
        <v>79</v>
      </c>
      <c r="O397" t="s">
        <v>74</v>
      </c>
      <c r="P397" t="s">
        <v>74</v>
      </c>
      <c r="Q397" t="s">
        <v>74</v>
      </c>
      <c r="R397" t="s">
        <v>74</v>
      </c>
      <c r="S397" t="s">
        <v>74</v>
      </c>
      <c r="T397" t="s">
        <v>7800</v>
      </c>
      <c r="U397" t="s">
        <v>7801</v>
      </c>
      <c r="V397" t="s">
        <v>7802</v>
      </c>
      <c r="W397" t="s">
        <v>7803</v>
      </c>
      <c r="X397" t="s">
        <v>7804</v>
      </c>
      <c r="Y397" t="s">
        <v>7805</v>
      </c>
      <c r="Z397" t="s">
        <v>7806</v>
      </c>
      <c r="AA397" t="s">
        <v>74</v>
      </c>
      <c r="AB397" t="s">
        <v>7807</v>
      </c>
      <c r="AC397" t="s">
        <v>7808</v>
      </c>
      <c r="AD397" t="s">
        <v>7809</v>
      </c>
      <c r="AE397" t="s">
        <v>7810</v>
      </c>
      <c r="AF397" t="s">
        <v>74</v>
      </c>
      <c r="AG397">
        <v>39</v>
      </c>
      <c r="AH397">
        <v>15</v>
      </c>
      <c r="AI397">
        <v>17</v>
      </c>
      <c r="AJ397">
        <v>0</v>
      </c>
      <c r="AK397">
        <v>68</v>
      </c>
      <c r="AL397" t="s">
        <v>656</v>
      </c>
      <c r="AM397" t="s">
        <v>93</v>
      </c>
      <c r="AN397" t="s">
        <v>657</v>
      </c>
      <c r="AO397" t="s">
        <v>4116</v>
      </c>
      <c r="AP397" t="s">
        <v>4117</v>
      </c>
      <c r="AQ397" t="s">
        <v>74</v>
      </c>
      <c r="AR397" t="s">
        <v>4118</v>
      </c>
      <c r="AS397" t="s">
        <v>4119</v>
      </c>
      <c r="AT397" t="s">
        <v>7768</v>
      </c>
      <c r="AU397">
        <v>2017</v>
      </c>
      <c r="AV397">
        <v>117</v>
      </c>
      <c r="AW397" t="s">
        <v>3410</v>
      </c>
      <c r="AX397" t="s">
        <v>74</v>
      </c>
      <c r="AY397" t="s">
        <v>74</v>
      </c>
      <c r="AZ397" t="s">
        <v>74</v>
      </c>
      <c r="BA397" t="s">
        <v>74</v>
      </c>
      <c r="BB397">
        <v>456</v>
      </c>
      <c r="BC397">
        <v>461</v>
      </c>
      <c r="BD397" t="s">
        <v>74</v>
      </c>
      <c r="BE397" t="s">
        <v>7811</v>
      </c>
      <c r="BF397" t="str">
        <f>HYPERLINK("http://dx.doi.org/10.1016/j.marpolbul.2017.01.049","http://dx.doi.org/10.1016/j.marpolbul.2017.01.049")</f>
        <v>http://dx.doi.org/10.1016/j.marpolbul.2017.01.049</v>
      </c>
      <c r="BG397" t="s">
        <v>74</v>
      </c>
      <c r="BH397" t="s">
        <v>74</v>
      </c>
      <c r="BI397">
        <v>6</v>
      </c>
      <c r="BJ397" t="s">
        <v>4122</v>
      </c>
      <c r="BK397" t="s">
        <v>103</v>
      </c>
      <c r="BL397" t="s">
        <v>3277</v>
      </c>
      <c r="BM397" t="s">
        <v>7812</v>
      </c>
      <c r="BN397">
        <v>28214009</v>
      </c>
      <c r="BO397" t="s">
        <v>74</v>
      </c>
      <c r="BP397" t="s">
        <v>74</v>
      </c>
      <c r="BQ397" t="s">
        <v>74</v>
      </c>
      <c r="BR397" t="s">
        <v>106</v>
      </c>
      <c r="BS397" t="s">
        <v>7813</v>
      </c>
      <c r="BT397" t="str">
        <f>HYPERLINK("https%3A%2F%2Fwww.webofscience.com%2Fwos%2Fwoscc%2Ffull-record%2FWOS:000399258600064","View Full Record in Web of Science")</f>
        <v>View Full Record in Web of Science</v>
      </c>
    </row>
    <row r="398" spans="1:72" x14ac:dyDescent="0.15">
      <c r="A398" t="s">
        <v>72</v>
      </c>
      <c r="B398" t="s">
        <v>7814</v>
      </c>
      <c r="C398" t="s">
        <v>74</v>
      </c>
      <c r="D398" t="s">
        <v>74</v>
      </c>
      <c r="E398" t="s">
        <v>74</v>
      </c>
      <c r="F398" t="s">
        <v>7815</v>
      </c>
      <c r="G398" t="s">
        <v>74</v>
      </c>
      <c r="H398" t="s">
        <v>74</v>
      </c>
      <c r="I398" t="s">
        <v>7816</v>
      </c>
      <c r="J398" t="s">
        <v>3352</v>
      </c>
      <c r="K398" t="s">
        <v>74</v>
      </c>
      <c r="L398" t="s">
        <v>74</v>
      </c>
      <c r="M398" t="s">
        <v>78</v>
      </c>
      <c r="N398" t="s">
        <v>79</v>
      </c>
      <c r="O398" t="s">
        <v>74</v>
      </c>
      <c r="P398" t="s">
        <v>74</v>
      </c>
      <c r="Q398" t="s">
        <v>74</v>
      </c>
      <c r="R398" t="s">
        <v>74</v>
      </c>
      <c r="S398" t="s">
        <v>74</v>
      </c>
      <c r="T398" t="s">
        <v>7817</v>
      </c>
      <c r="U398" t="s">
        <v>7818</v>
      </c>
      <c r="V398" t="s">
        <v>7819</v>
      </c>
      <c r="W398" t="s">
        <v>7820</v>
      </c>
      <c r="X398" t="s">
        <v>7821</v>
      </c>
      <c r="Y398" t="s">
        <v>7822</v>
      </c>
      <c r="Z398" t="s">
        <v>7823</v>
      </c>
      <c r="AA398" t="s">
        <v>7824</v>
      </c>
      <c r="AB398" t="s">
        <v>7825</v>
      </c>
      <c r="AC398" t="s">
        <v>7826</v>
      </c>
      <c r="AD398" t="s">
        <v>7827</v>
      </c>
      <c r="AE398" t="s">
        <v>7828</v>
      </c>
      <c r="AF398" t="s">
        <v>74</v>
      </c>
      <c r="AG398">
        <v>33</v>
      </c>
      <c r="AH398">
        <v>17</v>
      </c>
      <c r="AI398">
        <v>18</v>
      </c>
      <c r="AJ398">
        <v>0</v>
      </c>
      <c r="AK398">
        <v>32</v>
      </c>
      <c r="AL398" t="s">
        <v>1141</v>
      </c>
      <c r="AM398" t="s">
        <v>318</v>
      </c>
      <c r="AN398" t="s">
        <v>1142</v>
      </c>
      <c r="AO398" t="s">
        <v>3365</v>
      </c>
      <c r="AP398" t="s">
        <v>3366</v>
      </c>
      <c r="AQ398" t="s">
        <v>74</v>
      </c>
      <c r="AR398" t="s">
        <v>3367</v>
      </c>
      <c r="AS398" t="s">
        <v>3368</v>
      </c>
      <c r="AT398" t="s">
        <v>7768</v>
      </c>
      <c r="AU398">
        <v>2017</v>
      </c>
      <c r="AV398">
        <v>584</v>
      </c>
      <c r="AW398" t="s">
        <v>74</v>
      </c>
      <c r="AX398" t="s">
        <v>74</v>
      </c>
      <c r="AY398" t="s">
        <v>74</v>
      </c>
      <c r="AZ398" t="s">
        <v>74</v>
      </c>
      <c r="BA398" t="s">
        <v>74</v>
      </c>
      <c r="BB398">
        <v>154</v>
      </c>
      <c r="BC398">
        <v>163</v>
      </c>
      <c r="BD398" t="s">
        <v>74</v>
      </c>
      <c r="BE398" t="s">
        <v>7829</v>
      </c>
      <c r="BF398" t="str">
        <f>HYPERLINK("http://dx.doi.org/10.1016/j.scitotenv.2017.01.165","http://dx.doi.org/10.1016/j.scitotenv.2017.01.165")</f>
        <v>http://dx.doi.org/10.1016/j.scitotenv.2017.01.165</v>
      </c>
      <c r="BG398" t="s">
        <v>74</v>
      </c>
      <c r="BH398" t="s">
        <v>74</v>
      </c>
      <c r="BI398">
        <v>10</v>
      </c>
      <c r="BJ398" t="s">
        <v>2189</v>
      </c>
      <c r="BK398" t="s">
        <v>103</v>
      </c>
      <c r="BL398" t="s">
        <v>993</v>
      </c>
      <c r="BM398" t="s">
        <v>7830</v>
      </c>
      <c r="BN398">
        <v>28147295</v>
      </c>
      <c r="BO398" t="s">
        <v>74</v>
      </c>
      <c r="BP398" t="s">
        <v>74</v>
      </c>
      <c r="BQ398" t="s">
        <v>74</v>
      </c>
      <c r="BR398" t="s">
        <v>106</v>
      </c>
      <c r="BS398" t="s">
        <v>7831</v>
      </c>
      <c r="BT398" t="str">
        <f>HYPERLINK("https%3A%2F%2Fwww.webofscience.com%2Fwos%2Fwoscc%2Ffull-record%2FWOS:000399358500017","View Full Record in Web of Science")</f>
        <v>View Full Record in Web of Science</v>
      </c>
    </row>
    <row r="399" spans="1:72" x14ac:dyDescent="0.15">
      <c r="A399" t="s">
        <v>72</v>
      </c>
      <c r="B399" t="s">
        <v>7832</v>
      </c>
      <c r="C399" t="s">
        <v>74</v>
      </c>
      <c r="D399" t="s">
        <v>74</v>
      </c>
      <c r="E399" t="s">
        <v>74</v>
      </c>
      <c r="F399" t="s">
        <v>7833</v>
      </c>
      <c r="G399" t="s">
        <v>74</v>
      </c>
      <c r="H399" t="s">
        <v>74</v>
      </c>
      <c r="I399" t="s">
        <v>7834</v>
      </c>
      <c r="J399" t="s">
        <v>3352</v>
      </c>
      <c r="K399" t="s">
        <v>74</v>
      </c>
      <c r="L399" t="s">
        <v>74</v>
      </c>
      <c r="M399" t="s">
        <v>78</v>
      </c>
      <c r="N399" t="s">
        <v>79</v>
      </c>
      <c r="O399" t="s">
        <v>74</v>
      </c>
      <c r="P399" t="s">
        <v>74</v>
      </c>
      <c r="Q399" t="s">
        <v>74</v>
      </c>
      <c r="R399" t="s">
        <v>74</v>
      </c>
      <c r="S399" t="s">
        <v>74</v>
      </c>
      <c r="T399" t="s">
        <v>7835</v>
      </c>
      <c r="U399" t="s">
        <v>7836</v>
      </c>
      <c r="V399" t="s">
        <v>7837</v>
      </c>
      <c r="W399" t="s">
        <v>7838</v>
      </c>
      <c r="X399" t="s">
        <v>7839</v>
      </c>
      <c r="Y399" t="s">
        <v>7840</v>
      </c>
      <c r="Z399" t="s">
        <v>7841</v>
      </c>
      <c r="AA399" t="s">
        <v>7842</v>
      </c>
      <c r="AB399" t="s">
        <v>7843</v>
      </c>
      <c r="AC399" t="s">
        <v>7844</v>
      </c>
      <c r="AD399" t="s">
        <v>7845</v>
      </c>
      <c r="AE399" t="s">
        <v>7846</v>
      </c>
      <c r="AF399" t="s">
        <v>74</v>
      </c>
      <c r="AG399">
        <v>45</v>
      </c>
      <c r="AH399">
        <v>21</v>
      </c>
      <c r="AI399">
        <v>22</v>
      </c>
      <c r="AJ399">
        <v>0</v>
      </c>
      <c r="AK399">
        <v>39</v>
      </c>
      <c r="AL399" t="s">
        <v>1141</v>
      </c>
      <c r="AM399" t="s">
        <v>318</v>
      </c>
      <c r="AN399" t="s">
        <v>1142</v>
      </c>
      <c r="AO399" t="s">
        <v>3365</v>
      </c>
      <c r="AP399" t="s">
        <v>3366</v>
      </c>
      <c r="AQ399" t="s">
        <v>74</v>
      </c>
      <c r="AR399" t="s">
        <v>3367</v>
      </c>
      <c r="AS399" t="s">
        <v>3368</v>
      </c>
      <c r="AT399" t="s">
        <v>7768</v>
      </c>
      <c r="AU399">
        <v>2017</v>
      </c>
      <c r="AV399">
        <v>584</v>
      </c>
      <c r="AW399" t="s">
        <v>74</v>
      </c>
      <c r="AX399" t="s">
        <v>74</v>
      </c>
      <c r="AY399" t="s">
        <v>74</v>
      </c>
      <c r="AZ399" t="s">
        <v>74</v>
      </c>
      <c r="BA399" t="s">
        <v>74</v>
      </c>
      <c r="BB399">
        <v>572</v>
      </c>
      <c r="BC399">
        <v>585</v>
      </c>
      <c r="BD399" t="s">
        <v>74</v>
      </c>
      <c r="BE399" t="s">
        <v>7847</v>
      </c>
      <c r="BF399" t="str">
        <f>HYPERLINK("http://dx.doi.org/10.1016/j.scitotenv.2017.01.077","http://dx.doi.org/10.1016/j.scitotenv.2017.01.077")</f>
        <v>http://dx.doi.org/10.1016/j.scitotenv.2017.01.077</v>
      </c>
      <c r="BG399" t="s">
        <v>74</v>
      </c>
      <c r="BH399" t="s">
        <v>74</v>
      </c>
      <c r="BI399">
        <v>14</v>
      </c>
      <c r="BJ399" t="s">
        <v>2189</v>
      </c>
      <c r="BK399" t="s">
        <v>103</v>
      </c>
      <c r="BL399" t="s">
        <v>993</v>
      </c>
      <c r="BM399" t="s">
        <v>7830</v>
      </c>
      <c r="BN399">
        <v>28117155</v>
      </c>
      <c r="BO399" t="s">
        <v>231</v>
      </c>
      <c r="BP399" t="s">
        <v>74</v>
      </c>
      <c r="BQ399" t="s">
        <v>74</v>
      </c>
      <c r="BR399" t="s">
        <v>106</v>
      </c>
      <c r="BS399" t="s">
        <v>7848</v>
      </c>
      <c r="BT399" t="str">
        <f>HYPERLINK("https%3A%2F%2Fwww.webofscience.com%2Fwos%2Fwoscc%2Ffull-record%2FWOS:000399358500056","View Full Record in Web of Science")</f>
        <v>View Full Record in Web of Science</v>
      </c>
    </row>
    <row r="400" spans="1:72" x14ac:dyDescent="0.15">
      <c r="A400" t="s">
        <v>72</v>
      </c>
      <c r="B400" t="s">
        <v>7849</v>
      </c>
      <c r="C400" t="s">
        <v>74</v>
      </c>
      <c r="D400" t="s">
        <v>74</v>
      </c>
      <c r="E400" t="s">
        <v>74</v>
      </c>
      <c r="F400" t="s">
        <v>7850</v>
      </c>
      <c r="G400" t="s">
        <v>74</v>
      </c>
      <c r="H400" t="s">
        <v>74</v>
      </c>
      <c r="I400" t="s">
        <v>7851</v>
      </c>
      <c r="J400" t="s">
        <v>1299</v>
      </c>
      <c r="K400" t="s">
        <v>74</v>
      </c>
      <c r="L400" t="s">
        <v>74</v>
      </c>
      <c r="M400" t="s">
        <v>78</v>
      </c>
      <c r="N400" t="s">
        <v>79</v>
      </c>
      <c r="O400" t="s">
        <v>74</v>
      </c>
      <c r="P400" t="s">
        <v>74</v>
      </c>
      <c r="Q400" t="s">
        <v>74</v>
      </c>
      <c r="R400" t="s">
        <v>74</v>
      </c>
      <c r="S400" t="s">
        <v>74</v>
      </c>
      <c r="T400" t="s">
        <v>7852</v>
      </c>
      <c r="U400" t="s">
        <v>7853</v>
      </c>
      <c r="V400" t="s">
        <v>7854</v>
      </c>
      <c r="W400" t="s">
        <v>7855</v>
      </c>
      <c r="X400" t="s">
        <v>7856</v>
      </c>
      <c r="Y400" t="s">
        <v>7857</v>
      </c>
      <c r="Z400" t="s">
        <v>7858</v>
      </c>
      <c r="AA400" t="s">
        <v>7859</v>
      </c>
      <c r="AB400" t="s">
        <v>7860</v>
      </c>
      <c r="AC400" t="s">
        <v>7861</v>
      </c>
      <c r="AD400" t="s">
        <v>7862</v>
      </c>
      <c r="AE400" t="s">
        <v>7863</v>
      </c>
      <c r="AF400" t="s">
        <v>74</v>
      </c>
      <c r="AG400">
        <v>85</v>
      </c>
      <c r="AH400">
        <v>15</v>
      </c>
      <c r="AI400">
        <v>16</v>
      </c>
      <c r="AJ400">
        <v>2</v>
      </c>
      <c r="AK400">
        <v>20</v>
      </c>
      <c r="AL400" t="s">
        <v>656</v>
      </c>
      <c r="AM400" t="s">
        <v>93</v>
      </c>
      <c r="AN400" t="s">
        <v>657</v>
      </c>
      <c r="AO400" t="s">
        <v>1312</v>
      </c>
      <c r="AP400" t="s">
        <v>1313</v>
      </c>
      <c r="AQ400" t="s">
        <v>74</v>
      </c>
      <c r="AR400" t="s">
        <v>1314</v>
      </c>
      <c r="AS400" t="s">
        <v>1315</v>
      </c>
      <c r="AT400" t="s">
        <v>7768</v>
      </c>
      <c r="AU400">
        <v>2017</v>
      </c>
      <c r="AV400">
        <v>203</v>
      </c>
      <c r="AW400" t="s">
        <v>74</v>
      </c>
      <c r="AX400" t="s">
        <v>74</v>
      </c>
      <c r="AY400" t="s">
        <v>74</v>
      </c>
      <c r="AZ400" t="s">
        <v>74</v>
      </c>
      <c r="BA400" t="s">
        <v>74</v>
      </c>
      <c r="BB400">
        <v>216</v>
      </c>
      <c r="BC400">
        <v>234</v>
      </c>
      <c r="BD400" t="s">
        <v>74</v>
      </c>
      <c r="BE400" t="s">
        <v>7864</v>
      </c>
      <c r="BF400" t="str">
        <f>HYPERLINK("http://dx.doi.org/10.1016/j.gca.2016.12.040","http://dx.doi.org/10.1016/j.gca.2016.12.040")</f>
        <v>http://dx.doi.org/10.1016/j.gca.2016.12.040</v>
      </c>
      <c r="BG400" t="s">
        <v>74</v>
      </c>
      <c r="BH400" t="s">
        <v>74</v>
      </c>
      <c r="BI400">
        <v>19</v>
      </c>
      <c r="BJ400" t="s">
        <v>176</v>
      </c>
      <c r="BK400" t="s">
        <v>103</v>
      </c>
      <c r="BL400" t="s">
        <v>176</v>
      </c>
      <c r="BM400" t="s">
        <v>7865</v>
      </c>
      <c r="BN400" t="s">
        <v>74</v>
      </c>
      <c r="BO400" t="s">
        <v>384</v>
      </c>
      <c r="BP400" t="s">
        <v>74</v>
      </c>
      <c r="BQ400" t="s">
        <v>74</v>
      </c>
      <c r="BR400" t="s">
        <v>106</v>
      </c>
      <c r="BS400" t="s">
        <v>7866</v>
      </c>
      <c r="BT400" t="str">
        <f>HYPERLINK("https%3A%2F%2Fwww.webofscience.com%2Fwos%2Fwoscc%2Ffull-record%2FWOS:000396795100013","View Full Record in Web of Science")</f>
        <v>View Full Record in Web of Science</v>
      </c>
    </row>
    <row r="401" spans="1:72" x14ac:dyDescent="0.15">
      <c r="A401" t="s">
        <v>72</v>
      </c>
      <c r="B401" t="s">
        <v>7867</v>
      </c>
      <c r="C401" t="s">
        <v>74</v>
      </c>
      <c r="D401" t="s">
        <v>74</v>
      </c>
      <c r="E401" t="s">
        <v>74</v>
      </c>
      <c r="F401" t="s">
        <v>7868</v>
      </c>
      <c r="G401" t="s">
        <v>74</v>
      </c>
      <c r="H401" t="s">
        <v>74</v>
      </c>
      <c r="I401" t="s">
        <v>7869</v>
      </c>
      <c r="J401" t="s">
        <v>7870</v>
      </c>
      <c r="K401" t="s">
        <v>74</v>
      </c>
      <c r="L401" t="s">
        <v>74</v>
      </c>
      <c r="M401" t="s">
        <v>78</v>
      </c>
      <c r="N401" t="s">
        <v>79</v>
      </c>
      <c r="O401" t="s">
        <v>74</v>
      </c>
      <c r="P401" t="s">
        <v>74</v>
      </c>
      <c r="Q401" t="s">
        <v>74</v>
      </c>
      <c r="R401" t="s">
        <v>74</v>
      </c>
      <c r="S401" t="s">
        <v>74</v>
      </c>
      <c r="T401" t="s">
        <v>7871</v>
      </c>
      <c r="U401" t="s">
        <v>7872</v>
      </c>
      <c r="V401" t="s">
        <v>7873</v>
      </c>
      <c r="W401" t="s">
        <v>7874</v>
      </c>
      <c r="X401" t="s">
        <v>7875</v>
      </c>
      <c r="Y401" t="s">
        <v>7876</v>
      </c>
      <c r="Z401" t="s">
        <v>7877</v>
      </c>
      <c r="AA401" t="s">
        <v>74</v>
      </c>
      <c r="AB401" t="s">
        <v>7878</v>
      </c>
      <c r="AC401" t="s">
        <v>7879</v>
      </c>
      <c r="AD401" t="s">
        <v>7880</v>
      </c>
      <c r="AE401" t="s">
        <v>7881</v>
      </c>
      <c r="AF401" t="s">
        <v>74</v>
      </c>
      <c r="AG401">
        <v>64</v>
      </c>
      <c r="AH401">
        <v>11</v>
      </c>
      <c r="AI401">
        <v>14</v>
      </c>
      <c r="AJ401">
        <v>4</v>
      </c>
      <c r="AK401">
        <v>34</v>
      </c>
      <c r="AL401" t="s">
        <v>317</v>
      </c>
      <c r="AM401" t="s">
        <v>318</v>
      </c>
      <c r="AN401" t="s">
        <v>319</v>
      </c>
      <c r="AO401" t="s">
        <v>7882</v>
      </c>
      <c r="AP401" t="s">
        <v>7883</v>
      </c>
      <c r="AQ401" t="s">
        <v>74</v>
      </c>
      <c r="AR401" t="s">
        <v>7870</v>
      </c>
      <c r="AS401" t="s">
        <v>7884</v>
      </c>
      <c r="AT401" t="s">
        <v>7768</v>
      </c>
      <c r="AU401">
        <v>2017</v>
      </c>
      <c r="AV401">
        <v>283</v>
      </c>
      <c r="AW401" t="s">
        <v>74</v>
      </c>
      <c r="AX401" t="s">
        <v>74</v>
      </c>
      <c r="AY401" t="s">
        <v>74</v>
      </c>
      <c r="AZ401" t="s">
        <v>74</v>
      </c>
      <c r="BA401" t="s">
        <v>74</v>
      </c>
      <c r="BB401">
        <v>61</v>
      </c>
      <c r="BC401">
        <v>71</v>
      </c>
      <c r="BD401" t="s">
        <v>74</v>
      </c>
      <c r="BE401" t="s">
        <v>7885</v>
      </c>
      <c r="BF401" t="str">
        <f>HYPERLINK("http://dx.doi.org/10.1016/j.geomorph.2017.01.038","http://dx.doi.org/10.1016/j.geomorph.2017.01.038")</f>
        <v>http://dx.doi.org/10.1016/j.geomorph.2017.01.038</v>
      </c>
      <c r="BG401" t="s">
        <v>74</v>
      </c>
      <c r="BH401" t="s">
        <v>74</v>
      </c>
      <c r="BI401">
        <v>11</v>
      </c>
      <c r="BJ401" t="s">
        <v>1338</v>
      </c>
      <c r="BK401" t="s">
        <v>103</v>
      </c>
      <c r="BL401" t="s">
        <v>1339</v>
      </c>
      <c r="BM401" t="s">
        <v>7886</v>
      </c>
      <c r="BN401" t="s">
        <v>74</v>
      </c>
      <c r="BO401" t="s">
        <v>74</v>
      </c>
      <c r="BP401" t="s">
        <v>74</v>
      </c>
      <c r="BQ401" t="s">
        <v>74</v>
      </c>
      <c r="BR401" t="s">
        <v>106</v>
      </c>
      <c r="BS401" t="s">
        <v>7887</v>
      </c>
      <c r="BT401" t="str">
        <f>HYPERLINK("https%3A%2F%2Fwww.webofscience.com%2Fwos%2Fwoscc%2Ffull-record%2FWOS:000397355200006","View Full Record in Web of Science")</f>
        <v>View Full Record in Web of Science</v>
      </c>
    </row>
    <row r="402" spans="1:72" x14ac:dyDescent="0.15">
      <c r="A402" t="s">
        <v>72</v>
      </c>
      <c r="B402" t="s">
        <v>7888</v>
      </c>
      <c r="C402" t="s">
        <v>74</v>
      </c>
      <c r="D402" t="s">
        <v>74</v>
      </c>
      <c r="E402" t="s">
        <v>74</v>
      </c>
      <c r="F402" t="s">
        <v>7889</v>
      </c>
      <c r="G402" t="s">
        <v>74</v>
      </c>
      <c r="H402" t="s">
        <v>7890</v>
      </c>
      <c r="I402" t="s">
        <v>7891</v>
      </c>
      <c r="J402" t="s">
        <v>7892</v>
      </c>
      <c r="K402" t="s">
        <v>74</v>
      </c>
      <c r="L402" t="s">
        <v>74</v>
      </c>
      <c r="M402" t="s">
        <v>78</v>
      </c>
      <c r="N402" t="s">
        <v>79</v>
      </c>
      <c r="O402" t="s">
        <v>74</v>
      </c>
      <c r="P402" t="s">
        <v>74</v>
      </c>
      <c r="Q402" t="s">
        <v>74</v>
      </c>
      <c r="R402" t="s">
        <v>74</v>
      </c>
      <c r="S402" t="s">
        <v>74</v>
      </c>
      <c r="T402" t="s">
        <v>7893</v>
      </c>
      <c r="U402" t="s">
        <v>7894</v>
      </c>
      <c r="V402" t="s">
        <v>7895</v>
      </c>
      <c r="W402" t="s">
        <v>7896</v>
      </c>
      <c r="X402" t="s">
        <v>7897</v>
      </c>
      <c r="Y402" t="s">
        <v>7898</v>
      </c>
      <c r="Z402" t="s">
        <v>7899</v>
      </c>
      <c r="AA402" t="s">
        <v>74</v>
      </c>
      <c r="AB402" t="s">
        <v>7900</v>
      </c>
      <c r="AC402" t="s">
        <v>7901</v>
      </c>
      <c r="AD402" t="s">
        <v>7902</v>
      </c>
      <c r="AE402" t="s">
        <v>7903</v>
      </c>
      <c r="AF402" t="s">
        <v>74</v>
      </c>
      <c r="AG402">
        <v>109</v>
      </c>
      <c r="AH402">
        <v>4</v>
      </c>
      <c r="AI402">
        <v>4</v>
      </c>
      <c r="AJ402">
        <v>0</v>
      </c>
      <c r="AK402">
        <v>10</v>
      </c>
      <c r="AL402" t="s">
        <v>317</v>
      </c>
      <c r="AM402" t="s">
        <v>318</v>
      </c>
      <c r="AN402" t="s">
        <v>319</v>
      </c>
      <c r="AO402" t="s">
        <v>7904</v>
      </c>
      <c r="AP402" t="s">
        <v>7905</v>
      </c>
      <c r="AQ402" t="s">
        <v>74</v>
      </c>
      <c r="AR402" t="s">
        <v>7906</v>
      </c>
      <c r="AS402" t="s">
        <v>7907</v>
      </c>
      <c r="AT402" t="s">
        <v>7768</v>
      </c>
      <c r="AU402">
        <v>2017</v>
      </c>
      <c r="AV402">
        <v>472</v>
      </c>
      <c r="AW402" t="s">
        <v>74</v>
      </c>
      <c r="AX402" t="s">
        <v>74</v>
      </c>
      <c r="AY402" t="s">
        <v>74</v>
      </c>
      <c r="AZ402" t="s">
        <v>74</v>
      </c>
      <c r="BA402" t="s">
        <v>74</v>
      </c>
      <c r="BB402">
        <v>33</v>
      </c>
      <c r="BC402">
        <v>50</v>
      </c>
      <c r="BD402" t="s">
        <v>74</v>
      </c>
      <c r="BE402" t="s">
        <v>7908</v>
      </c>
      <c r="BF402" t="str">
        <f>HYPERLINK("http://dx.doi.org/10.1016/j.palaeo.2017.02.020","http://dx.doi.org/10.1016/j.palaeo.2017.02.020")</f>
        <v>http://dx.doi.org/10.1016/j.palaeo.2017.02.020</v>
      </c>
      <c r="BG402" t="s">
        <v>74</v>
      </c>
      <c r="BH402" t="s">
        <v>74</v>
      </c>
      <c r="BI402">
        <v>18</v>
      </c>
      <c r="BJ402" t="s">
        <v>7909</v>
      </c>
      <c r="BK402" t="s">
        <v>103</v>
      </c>
      <c r="BL402" t="s">
        <v>7910</v>
      </c>
      <c r="BM402" t="s">
        <v>7911</v>
      </c>
      <c r="BN402" t="s">
        <v>74</v>
      </c>
      <c r="BO402" t="s">
        <v>7912</v>
      </c>
      <c r="BP402" t="s">
        <v>74</v>
      </c>
      <c r="BQ402" t="s">
        <v>74</v>
      </c>
      <c r="BR402" t="s">
        <v>106</v>
      </c>
      <c r="BS402" t="s">
        <v>7913</v>
      </c>
      <c r="BT402" t="str">
        <f>HYPERLINK("https%3A%2F%2Fwww.webofscience.com%2Fwos%2Fwoscc%2Ffull-record%2FWOS:000398644700003","View Full Record in Web of Science")</f>
        <v>View Full Record in Web of Science</v>
      </c>
    </row>
    <row r="403" spans="1:72" x14ac:dyDescent="0.15">
      <c r="A403" t="s">
        <v>72</v>
      </c>
      <c r="B403" t="s">
        <v>7914</v>
      </c>
      <c r="C403" t="s">
        <v>74</v>
      </c>
      <c r="D403" t="s">
        <v>74</v>
      </c>
      <c r="E403" t="s">
        <v>74</v>
      </c>
      <c r="F403" t="s">
        <v>7915</v>
      </c>
      <c r="G403" t="s">
        <v>74</v>
      </c>
      <c r="H403" t="s">
        <v>74</v>
      </c>
      <c r="I403" t="s">
        <v>7916</v>
      </c>
      <c r="J403" t="s">
        <v>7892</v>
      </c>
      <c r="K403" t="s">
        <v>74</v>
      </c>
      <c r="L403" t="s">
        <v>74</v>
      </c>
      <c r="M403" t="s">
        <v>78</v>
      </c>
      <c r="N403" t="s">
        <v>79</v>
      </c>
      <c r="O403" t="s">
        <v>74</v>
      </c>
      <c r="P403" t="s">
        <v>74</v>
      </c>
      <c r="Q403" t="s">
        <v>74</v>
      </c>
      <c r="R403" t="s">
        <v>74</v>
      </c>
      <c r="S403" t="s">
        <v>74</v>
      </c>
      <c r="T403" t="s">
        <v>7917</v>
      </c>
      <c r="U403" t="s">
        <v>7918</v>
      </c>
      <c r="V403" t="s">
        <v>7919</v>
      </c>
      <c r="W403" t="s">
        <v>7920</v>
      </c>
      <c r="X403" t="s">
        <v>7921</v>
      </c>
      <c r="Y403" t="s">
        <v>7922</v>
      </c>
      <c r="Z403" t="s">
        <v>7923</v>
      </c>
      <c r="AA403" t="s">
        <v>74</v>
      </c>
      <c r="AB403" t="s">
        <v>74</v>
      </c>
      <c r="AC403" t="s">
        <v>7924</v>
      </c>
      <c r="AD403" t="s">
        <v>7925</v>
      </c>
      <c r="AE403" t="s">
        <v>7926</v>
      </c>
      <c r="AF403" t="s">
        <v>74</v>
      </c>
      <c r="AG403">
        <v>103</v>
      </c>
      <c r="AH403">
        <v>12</v>
      </c>
      <c r="AI403">
        <v>13</v>
      </c>
      <c r="AJ403">
        <v>0</v>
      </c>
      <c r="AK403">
        <v>21</v>
      </c>
      <c r="AL403" t="s">
        <v>1141</v>
      </c>
      <c r="AM403" t="s">
        <v>318</v>
      </c>
      <c r="AN403" t="s">
        <v>1142</v>
      </c>
      <c r="AO403" t="s">
        <v>7904</v>
      </c>
      <c r="AP403" t="s">
        <v>7905</v>
      </c>
      <c r="AQ403" t="s">
        <v>74</v>
      </c>
      <c r="AR403" t="s">
        <v>7906</v>
      </c>
      <c r="AS403" t="s">
        <v>7907</v>
      </c>
      <c r="AT403" t="s">
        <v>7768</v>
      </c>
      <c r="AU403">
        <v>2017</v>
      </c>
      <c r="AV403">
        <v>472</v>
      </c>
      <c r="AW403" t="s">
        <v>74</v>
      </c>
      <c r="AX403" t="s">
        <v>74</v>
      </c>
      <c r="AY403" t="s">
        <v>74</v>
      </c>
      <c r="AZ403" t="s">
        <v>74</v>
      </c>
      <c r="BA403" t="s">
        <v>74</v>
      </c>
      <c r="BB403">
        <v>236</v>
      </c>
      <c r="BC403">
        <v>255</v>
      </c>
      <c r="BD403" t="s">
        <v>74</v>
      </c>
      <c r="BE403" t="s">
        <v>7927</v>
      </c>
      <c r="BF403" t="str">
        <f>HYPERLINK("http://dx.doi.org/10.1016/j.palaeo.2017.01.035","http://dx.doi.org/10.1016/j.palaeo.2017.01.035")</f>
        <v>http://dx.doi.org/10.1016/j.palaeo.2017.01.035</v>
      </c>
      <c r="BG403" t="s">
        <v>74</v>
      </c>
      <c r="BH403" t="s">
        <v>74</v>
      </c>
      <c r="BI403">
        <v>20</v>
      </c>
      <c r="BJ403" t="s">
        <v>7909</v>
      </c>
      <c r="BK403" t="s">
        <v>103</v>
      </c>
      <c r="BL403" t="s">
        <v>7910</v>
      </c>
      <c r="BM403" t="s">
        <v>7911</v>
      </c>
      <c r="BN403" t="s">
        <v>74</v>
      </c>
      <c r="BO403" t="s">
        <v>74</v>
      </c>
      <c r="BP403" t="s">
        <v>74</v>
      </c>
      <c r="BQ403" t="s">
        <v>74</v>
      </c>
      <c r="BR403" t="s">
        <v>106</v>
      </c>
      <c r="BS403" t="s">
        <v>7928</v>
      </c>
      <c r="BT403" t="str">
        <f>HYPERLINK("https%3A%2F%2Fwww.webofscience.com%2Fwos%2Fwoscc%2Ffull-record%2FWOS:000398644700017","View Full Record in Web of Science")</f>
        <v>View Full Record in Web of Science</v>
      </c>
    </row>
    <row r="404" spans="1:72" x14ac:dyDescent="0.15">
      <c r="A404" t="s">
        <v>72</v>
      </c>
      <c r="B404" t="s">
        <v>7929</v>
      </c>
      <c r="C404" t="s">
        <v>74</v>
      </c>
      <c r="D404" t="s">
        <v>74</v>
      </c>
      <c r="E404" t="s">
        <v>74</v>
      </c>
      <c r="F404" t="s">
        <v>7930</v>
      </c>
      <c r="G404" t="s">
        <v>74</v>
      </c>
      <c r="H404" t="s">
        <v>74</v>
      </c>
      <c r="I404" t="s">
        <v>7931</v>
      </c>
      <c r="J404" t="s">
        <v>1322</v>
      </c>
      <c r="K404" t="s">
        <v>74</v>
      </c>
      <c r="L404" t="s">
        <v>74</v>
      </c>
      <c r="M404" t="s">
        <v>78</v>
      </c>
      <c r="N404" t="s">
        <v>79</v>
      </c>
      <c r="O404" t="s">
        <v>74</v>
      </c>
      <c r="P404" t="s">
        <v>74</v>
      </c>
      <c r="Q404" t="s">
        <v>74</v>
      </c>
      <c r="R404" t="s">
        <v>74</v>
      </c>
      <c r="S404" t="s">
        <v>74</v>
      </c>
      <c r="T404" t="s">
        <v>7932</v>
      </c>
      <c r="U404" t="s">
        <v>7933</v>
      </c>
      <c r="V404" t="s">
        <v>7934</v>
      </c>
      <c r="W404" t="s">
        <v>7935</v>
      </c>
      <c r="X404" t="s">
        <v>7936</v>
      </c>
      <c r="Y404" t="s">
        <v>7937</v>
      </c>
      <c r="Z404" t="s">
        <v>7938</v>
      </c>
      <c r="AA404" t="s">
        <v>7939</v>
      </c>
      <c r="AB404" t="s">
        <v>7940</v>
      </c>
      <c r="AC404" t="s">
        <v>7941</v>
      </c>
      <c r="AD404" t="s">
        <v>7942</v>
      </c>
      <c r="AE404" t="s">
        <v>7943</v>
      </c>
      <c r="AF404" t="s">
        <v>74</v>
      </c>
      <c r="AG404">
        <v>54</v>
      </c>
      <c r="AH404">
        <v>17</v>
      </c>
      <c r="AI404">
        <v>18</v>
      </c>
      <c r="AJ404">
        <v>0</v>
      </c>
      <c r="AK404">
        <v>22</v>
      </c>
      <c r="AL404" t="s">
        <v>656</v>
      </c>
      <c r="AM404" t="s">
        <v>93</v>
      </c>
      <c r="AN404" t="s">
        <v>657</v>
      </c>
      <c r="AO404" t="s">
        <v>1334</v>
      </c>
      <c r="AP404" t="s">
        <v>74</v>
      </c>
      <c r="AQ404" t="s">
        <v>74</v>
      </c>
      <c r="AR404" t="s">
        <v>1335</v>
      </c>
      <c r="AS404" t="s">
        <v>1336</v>
      </c>
      <c r="AT404" t="s">
        <v>7768</v>
      </c>
      <c r="AU404">
        <v>2017</v>
      </c>
      <c r="AV404">
        <v>162</v>
      </c>
      <c r="AW404" t="s">
        <v>74</v>
      </c>
      <c r="AX404" t="s">
        <v>74</v>
      </c>
      <c r="AY404" t="s">
        <v>74</v>
      </c>
      <c r="AZ404" t="s">
        <v>74</v>
      </c>
      <c r="BA404" t="s">
        <v>74</v>
      </c>
      <c r="BB404">
        <v>128</v>
      </c>
      <c r="BC404">
        <v>144</v>
      </c>
      <c r="BD404" t="s">
        <v>74</v>
      </c>
      <c r="BE404" t="s">
        <v>7944</v>
      </c>
      <c r="BF404" t="str">
        <f>HYPERLINK("http://dx.doi.org/10.1016/j.quascirev.2017.03.010","http://dx.doi.org/10.1016/j.quascirev.2017.03.010")</f>
        <v>http://dx.doi.org/10.1016/j.quascirev.2017.03.010</v>
      </c>
      <c r="BG404" t="s">
        <v>74</v>
      </c>
      <c r="BH404" t="s">
        <v>74</v>
      </c>
      <c r="BI404">
        <v>17</v>
      </c>
      <c r="BJ404" t="s">
        <v>1338</v>
      </c>
      <c r="BK404" t="s">
        <v>103</v>
      </c>
      <c r="BL404" t="s">
        <v>1339</v>
      </c>
      <c r="BM404" t="s">
        <v>7770</v>
      </c>
      <c r="BN404" t="s">
        <v>74</v>
      </c>
      <c r="BO404" t="s">
        <v>1538</v>
      </c>
      <c r="BP404" t="s">
        <v>74</v>
      </c>
      <c r="BQ404" t="s">
        <v>74</v>
      </c>
      <c r="BR404" t="s">
        <v>106</v>
      </c>
      <c r="BS404" t="s">
        <v>7945</v>
      </c>
      <c r="BT404" t="str">
        <f>HYPERLINK("https%3A%2F%2Fwww.webofscience.com%2Fwos%2Fwoscc%2Ffull-record%2FWOS:000399849900009","View Full Record in Web of Science")</f>
        <v>View Full Record in Web of Science</v>
      </c>
    </row>
    <row r="405" spans="1:72" x14ac:dyDescent="0.15">
      <c r="A405" t="s">
        <v>72</v>
      </c>
      <c r="B405" t="s">
        <v>7946</v>
      </c>
      <c r="C405" t="s">
        <v>74</v>
      </c>
      <c r="D405" t="s">
        <v>74</v>
      </c>
      <c r="E405" t="s">
        <v>74</v>
      </c>
      <c r="F405" t="s">
        <v>7947</v>
      </c>
      <c r="G405" t="s">
        <v>74</v>
      </c>
      <c r="H405" t="s">
        <v>74</v>
      </c>
      <c r="I405" t="s">
        <v>7948</v>
      </c>
      <c r="J405" t="s">
        <v>3352</v>
      </c>
      <c r="K405" t="s">
        <v>74</v>
      </c>
      <c r="L405" t="s">
        <v>74</v>
      </c>
      <c r="M405" t="s">
        <v>78</v>
      </c>
      <c r="N405" t="s">
        <v>79</v>
      </c>
      <c r="O405" t="s">
        <v>74</v>
      </c>
      <c r="P405" t="s">
        <v>74</v>
      </c>
      <c r="Q405" t="s">
        <v>74</v>
      </c>
      <c r="R405" t="s">
        <v>74</v>
      </c>
      <c r="S405" t="s">
        <v>74</v>
      </c>
      <c r="T405" t="s">
        <v>7949</v>
      </c>
      <c r="U405" t="s">
        <v>7950</v>
      </c>
      <c r="V405" t="s">
        <v>7951</v>
      </c>
      <c r="W405" t="s">
        <v>7952</v>
      </c>
      <c r="X405" t="s">
        <v>7953</v>
      </c>
      <c r="Y405" t="s">
        <v>7954</v>
      </c>
      <c r="Z405" t="s">
        <v>7955</v>
      </c>
      <c r="AA405" t="s">
        <v>7956</v>
      </c>
      <c r="AB405" t="s">
        <v>7957</v>
      </c>
      <c r="AC405" t="s">
        <v>7958</v>
      </c>
      <c r="AD405" t="s">
        <v>7958</v>
      </c>
      <c r="AE405" t="s">
        <v>7959</v>
      </c>
      <c r="AF405" t="s">
        <v>74</v>
      </c>
      <c r="AG405">
        <v>22</v>
      </c>
      <c r="AH405">
        <v>7</v>
      </c>
      <c r="AI405">
        <v>10</v>
      </c>
      <c r="AJ405">
        <v>0</v>
      </c>
      <c r="AK405">
        <v>12</v>
      </c>
      <c r="AL405" t="s">
        <v>1141</v>
      </c>
      <c r="AM405" t="s">
        <v>318</v>
      </c>
      <c r="AN405" t="s">
        <v>1142</v>
      </c>
      <c r="AO405" t="s">
        <v>3365</v>
      </c>
      <c r="AP405" t="s">
        <v>3366</v>
      </c>
      <c r="AQ405" t="s">
        <v>74</v>
      </c>
      <c r="AR405" t="s">
        <v>3367</v>
      </c>
      <c r="AS405" t="s">
        <v>3368</v>
      </c>
      <c r="AT405" t="s">
        <v>7768</v>
      </c>
      <c r="AU405">
        <v>2017</v>
      </c>
      <c r="AV405">
        <v>584</v>
      </c>
      <c r="AW405" t="s">
        <v>74</v>
      </c>
      <c r="AX405" t="s">
        <v>74</v>
      </c>
      <c r="AY405" t="s">
        <v>74</v>
      </c>
      <c r="AZ405" t="s">
        <v>74</v>
      </c>
      <c r="BA405" t="s">
        <v>74</v>
      </c>
      <c r="BB405">
        <v>1130</v>
      </c>
      <c r="BC405">
        <v>1137</v>
      </c>
      <c r="BD405" t="s">
        <v>74</v>
      </c>
      <c r="BE405" t="s">
        <v>7960</v>
      </c>
      <c r="BF405" t="str">
        <f>HYPERLINK("http://dx.doi.org/10.1016/j.scitotenv.2017.01.173","http://dx.doi.org/10.1016/j.scitotenv.2017.01.173")</f>
        <v>http://dx.doi.org/10.1016/j.scitotenv.2017.01.173</v>
      </c>
      <c r="BG405" t="s">
        <v>74</v>
      </c>
      <c r="BH405" t="s">
        <v>74</v>
      </c>
      <c r="BI405">
        <v>8</v>
      </c>
      <c r="BJ405" t="s">
        <v>2189</v>
      </c>
      <c r="BK405" t="s">
        <v>103</v>
      </c>
      <c r="BL405" t="s">
        <v>993</v>
      </c>
      <c r="BM405" t="s">
        <v>7830</v>
      </c>
      <c r="BN405">
        <v>28153404</v>
      </c>
      <c r="BO405" t="s">
        <v>74</v>
      </c>
      <c r="BP405" t="s">
        <v>74</v>
      </c>
      <c r="BQ405" t="s">
        <v>74</v>
      </c>
      <c r="BR405" t="s">
        <v>106</v>
      </c>
      <c r="BS405" t="s">
        <v>7961</v>
      </c>
      <c r="BT405" t="str">
        <f>HYPERLINK("https%3A%2F%2Fwww.webofscience.com%2Fwos%2Fwoscc%2Ffull-record%2FWOS:000399358500111","View Full Record in Web of Science")</f>
        <v>View Full Record in Web of Science</v>
      </c>
    </row>
    <row r="406" spans="1:72" x14ac:dyDescent="0.15">
      <c r="A406" t="s">
        <v>72</v>
      </c>
      <c r="B406" t="s">
        <v>7962</v>
      </c>
      <c r="C406" t="s">
        <v>74</v>
      </c>
      <c r="D406" t="s">
        <v>74</v>
      </c>
      <c r="E406" t="s">
        <v>74</v>
      </c>
      <c r="F406" t="s">
        <v>7963</v>
      </c>
      <c r="G406" t="s">
        <v>74</v>
      </c>
      <c r="H406" t="s">
        <v>74</v>
      </c>
      <c r="I406" t="s">
        <v>7964</v>
      </c>
      <c r="J406" t="s">
        <v>7965</v>
      </c>
      <c r="K406" t="s">
        <v>74</v>
      </c>
      <c r="L406" t="s">
        <v>74</v>
      </c>
      <c r="M406" t="s">
        <v>78</v>
      </c>
      <c r="N406" t="s">
        <v>79</v>
      </c>
      <c r="O406" t="s">
        <v>74</v>
      </c>
      <c r="P406" t="s">
        <v>74</v>
      </c>
      <c r="Q406" t="s">
        <v>74</v>
      </c>
      <c r="R406" t="s">
        <v>74</v>
      </c>
      <c r="S406" t="s">
        <v>74</v>
      </c>
      <c r="T406" t="s">
        <v>7966</v>
      </c>
      <c r="U406" t="s">
        <v>7967</v>
      </c>
      <c r="V406" t="s">
        <v>7968</v>
      </c>
      <c r="W406" t="s">
        <v>7969</v>
      </c>
      <c r="X406" t="s">
        <v>7970</v>
      </c>
      <c r="Y406" t="s">
        <v>7971</v>
      </c>
      <c r="Z406" t="s">
        <v>7972</v>
      </c>
      <c r="AA406" t="s">
        <v>7973</v>
      </c>
      <c r="AB406" t="s">
        <v>7974</v>
      </c>
      <c r="AC406" t="s">
        <v>7975</v>
      </c>
      <c r="AD406" t="s">
        <v>7976</v>
      </c>
      <c r="AE406" t="s">
        <v>7977</v>
      </c>
      <c r="AF406" t="s">
        <v>74</v>
      </c>
      <c r="AG406">
        <v>49</v>
      </c>
      <c r="AH406">
        <v>47</v>
      </c>
      <c r="AI406">
        <v>49</v>
      </c>
      <c r="AJ406">
        <v>0</v>
      </c>
      <c r="AK406">
        <v>6</v>
      </c>
      <c r="AL406" t="s">
        <v>3585</v>
      </c>
      <c r="AM406" t="s">
        <v>403</v>
      </c>
      <c r="AN406" t="s">
        <v>3586</v>
      </c>
      <c r="AO406" t="s">
        <v>7978</v>
      </c>
      <c r="AP406" t="s">
        <v>74</v>
      </c>
      <c r="AQ406" t="s">
        <v>74</v>
      </c>
      <c r="AR406" t="s">
        <v>7965</v>
      </c>
      <c r="AS406" t="s">
        <v>7979</v>
      </c>
      <c r="AT406" t="s">
        <v>7980</v>
      </c>
      <c r="AU406">
        <v>2017</v>
      </c>
      <c r="AV406">
        <v>18</v>
      </c>
      <c r="AW406" t="s">
        <v>74</v>
      </c>
      <c r="AX406" t="s">
        <v>74</v>
      </c>
      <c r="AY406" t="s">
        <v>74</v>
      </c>
      <c r="AZ406" t="s">
        <v>74</v>
      </c>
      <c r="BA406" t="s">
        <v>74</v>
      </c>
      <c r="BB406" t="s">
        <v>74</v>
      </c>
      <c r="BC406" t="s">
        <v>74</v>
      </c>
      <c r="BD406">
        <v>298</v>
      </c>
      <c r="BE406" t="s">
        <v>7981</v>
      </c>
      <c r="BF406" t="str">
        <f>HYPERLINK("http://dx.doi.org/10.1186/s12864-017-3680-z","http://dx.doi.org/10.1186/s12864-017-3680-z")</f>
        <v>http://dx.doi.org/10.1186/s12864-017-3680-z</v>
      </c>
      <c r="BG406" t="s">
        <v>74</v>
      </c>
      <c r="BH406" t="s">
        <v>74</v>
      </c>
      <c r="BI406">
        <v>26</v>
      </c>
      <c r="BJ406" t="s">
        <v>7982</v>
      </c>
      <c r="BK406" t="s">
        <v>103</v>
      </c>
      <c r="BL406" t="s">
        <v>7982</v>
      </c>
      <c r="BM406" t="s">
        <v>7983</v>
      </c>
      <c r="BN406">
        <v>28407753</v>
      </c>
      <c r="BO406" t="s">
        <v>1224</v>
      </c>
      <c r="BP406" t="s">
        <v>74</v>
      </c>
      <c r="BQ406" t="s">
        <v>74</v>
      </c>
      <c r="BR406" t="s">
        <v>106</v>
      </c>
      <c r="BS406" t="s">
        <v>7984</v>
      </c>
      <c r="BT406" t="str">
        <f>HYPERLINK("https%3A%2F%2Fwww.webofscience.com%2Fwos%2Fwoscc%2Ffull-record%2FWOS:000400618700004","View Full Record in Web of Science")</f>
        <v>View Full Record in Web of Science</v>
      </c>
    </row>
    <row r="407" spans="1:72" x14ac:dyDescent="0.15">
      <c r="A407" t="s">
        <v>72</v>
      </c>
      <c r="B407" t="s">
        <v>7985</v>
      </c>
      <c r="C407" t="s">
        <v>74</v>
      </c>
      <c r="D407" t="s">
        <v>74</v>
      </c>
      <c r="E407" t="s">
        <v>74</v>
      </c>
      <c r="F407" t="s">
        <v>7986</v>
      </c>
      <c r="G407" t="s">
        <v>74</v>
      </c>
      <c r="H407" t="s">
        <v>74</v>
      </c>
      <c r="I407" t="s">
        <v>7987</v>
      </c>
      <c r="J407" t="s">
        <v>3849</v>
      </c>
      <c r="K407" t="s">
        <v>74</v>
      </c>
      <c r="L407" t="s">
        <v>74</v>
      </c>
      <c r="M407" t="s">
        <v>78</v>
      </c>
      <c r="N407" t="s">
        <v>79</v>
      </c>
      <c r="O407" t="s">
        <v>74</v>
      </c>
      <c r="P407" t="s">
        <v>74</v>
      </c>
      <c r="Q407" t="s">
        <v>74</v>
      </c>
      <c r="R407" t="s">
        <v>74</v>
      </c>
      <c r="S407" t="s">
        <v>74</v>
      </c>
      <c r="T407" t="s">
        <v>74</v>
      </c>
      <c r="U407" t="s">
        <v>7988</v>
      </c>
      <c r="V407" t="s">
        <v>7989</v>
      </c>
      <c r="W407" t="s">
        <v>7990</v>
      </c>
      <c r="X407" t="s">
        <v>7991</v>
      </c>
      <c r="Y407" t="s">
        <v>7992</v>
      </c>
      <c r="Z407" t="s">
        <v>7993</v>
      </c>
      <c r="AA407" t="s">
        <v>7994</v>
      </c>
      <c r="AB407" t="s">
        <v>7995</v>
      </c>
      <c r="AC407" t="s">
        <v>7996</v>
      </c>
      <c r="AD407" t="s">
        <v>7997</v>
      </c>
      <c r="AE407" t="s">
        <v>7998</v>
      </c>
      <c r="AF407" t="s">
        <v>74</v>
      </c>
      <c r="AG407">
        <v>61</v>
      </c>
      <c r="AH407">
        <v>18</v>
      </c>
      <c r="AI407">
        <v>19</v>
      </c>
      <c r="AJ407">
        <v>0</v>
      </c>
      <c r="AK407">
        <v>8</v>
      </c>
      <c r="AL407" t="s">
        <v>3861</v>
      </c>
      <c r="AM407" t="s">
        <v>3862</v>
      </c>
      <c r="AN407" t="s">
        <v>3863</v>
      </c>
      <c r="AO407" t="s">
        <v>3864</v>
      </c>
      <c r="AP407" t="s">
        <v>74</v>
      </c>
      <c r="AQ407" t="s">
        <v>74</v>
      </c>
      <c r="AR407" t="s">
        <v>3849</v>
      </c>
      <c r="AS407" t="s">
        <v>3865</v>
      </c>
      <c r="AT407" t="s">
        <v>7980</v>
      </c>
      <c r="AU407">
        <v>2017</v>
      </c>
      <c r="AV407">
        <v>12</v>
      </c>
      <c r="AW407">
        <v>4</v>
      </c>
      <c r="AX407" t="s">
        <v>74</v>
      </c>
      <c r="AY407" t="s">
        <v>74</v>
      </c>
      <c r="AZ407" t="s">
        <v>74</v>
      </c>
      <c r="BA407" t="s">
        <v>74</v>
      </c>
      <c r="BB407" t="s">
        <v>74</v>
      </c>
      <c r="BC407" t="s">
        <v>74</v>
      </c>
      <c r="BD407" t="s">
        <v>7999</v>
      </c>
      <c r="BE407" t="s">
        <v>8000</v>
      </c>
      <c r="BF407" t="str">
        <f>HYPERLINK("http://dx.doi.org/10.1371/journal.pone.0175760","http://dx.doi.org/10.1371/journal.pone.0175760")</f>
        <v>http://dx.doi.org/10.1371/journal.pone.0175760</v>
      </c>
      <c r="BG407" t="s">
        <v>74</v>
      </c>
      <c r="BH407" t="s">
        <v>74</v>
      </c>
      <c r="BI407">
        <v>17</v>
      </c>
      <c r="BJ407" t="s">
        <v>1617</v>
      </c>
      <c r="BK407" t="s">
        <v>103</v>
      </c>
      <c r="BL407" t="s">
        <v>1618</v>
      </c>
      <c r="BM407" t="s">
        <v>8001</v>
      </c>
      <c r="BN407">
        <v>28407010</v>
      </c>
      <c r="BO407" t="s">
        <v>4540</v>
      </c>
      <c r="BP407" t="s">
        <v>74</v>
      </c>
      <c r="BQ407" t="s">
        <v>74</v>
      </c>
      <c r="BR407" t="s">
        <v>106</v>
      </c>
      <c r="BS407" t="s">
        <v>8002</v>
      </c>
      <c r="BT407" t="str">
        <f>HYPERLINK("https%3A%2F%2Fwww.webofscience.com%2Fwos%2Fwoscc%2Ffull-record%2FWOS:000399955400091","View Full Record in Web of Science")</f>
        <v>View Full Record in Web of Science</v>
      </c>
    </row>
    <row r="408" spans="1:72" x14ac:dyDescent="0.15">
      <c r="A408" t="s">
        <v>72</v>
      </c>
      <c r="B408" t="s">
        <v>8003</v>
      </c>
      <c r="C408" t="s">
        <v>74</v>
      </c>
      <c r="D408" t="s">
        <v>74</v>
      </c>
      <c r="E408" t="s">
        <v>74</v>
      </c>
      <c r="F408" t="s">
        <v>8004</v>
      </c>
      <c r="G408" t="s">
        <v>74</v>
      </c>
      <c r="H408" t="s">
        <v>74</v>
      </c>
      <c r="I408" t="s">
        <v>8005</v>
      </c>
      <c r="J408" t="s">
        <v>4328</v>
      </c>
      <c r="K408" t="s">
        <v>74</v>
      </c>
      <c r="L408" t="s">
        <v>74</v>
      </c>
      <c r="M408" t="s">
        <v>78</v>
      </c>
      <c r="N408" t="s">
        <v>2082</v>
      </c>
      <c r="O408" t="s">
        <v>74</v>
      </c>
      <c r="P408" t="s">
        <v>74</v>
      </c>
      <c r="Q408" t="s">
        <v>74</v>
      </c>
      <c r="R408" t="s">
        <v>74</v>
      </c>
      <c r="S408" t="s">
        <v>74</v>
      </c>
      <c r="T408" t="s">
        <v>74</v>
      </c>
      <c r="U408" t="s">
        <v>8006</v>
      </c>
      <c r="V408" t="s">
        <v>74</v>
      </c>
      <c r="W408" t="s">
        <v>74</v>
      </c>
      <c r="X408" t="s">
        <v>74</v>
      </c>
      <c r="Y408" t="s">
        <v>74</v>
      </c>
      <c r="Z408" t="s">
        <v>74</v>
      </c>
      <c r="AA408" t="s">
        <v>74</v>
      </c>
      <c r="AB408" t="s">
        <v>74</v>
      </c>
      <c r="AC408" t="s">
        <v>74</v>
      </c>
      <c r="AD408" t="s">
        <v>74</v>
      </c>
      <c r="AE408" t="s">
        <v>74</v>
      </c>
      <c r="AF408" t="s">
        <v>74</v>
      </c>
      <c r="AG408">
        <v>8</v>
      </c>
      <c r="AH408">
        <v>1</v>
      </c>
      <c r="AI408">
        <v>1</v>
      </c>
      <c r="AJ408">
        <v>0</v>
      </c>
      <c r="AK408">
        <v>11</v>
      </c>
      <c r="AL408" t="s">
        <v>1611</v>
      </c>
      <c r="AM408" t="s">
        <v>403</v>
      </c>
      <c r="AN408" t="s">
        <v>1612</v>
      </c>
      <c r="AO408" t="s">
        <v>4337</v>
      </c>
      <c r="AP408" t="s">
        <v>4338</v>
      </c>
      <c r="AQ408" t="s">
        <v>74</v>
      </c>
      <c r="AR408" t="s">
        <v>4328</v>
      </c>
      <c r="AS408" t="s">
        <v>4339</v>
      </c>
      <c r="AT408" t="s">
        <v>7980</v>
      </c>
      <c r="AU408">
        <v>2017</v>
      </c>
      <c r="AV408">
        <v>544</v>
      </c>
      <c r="AW408">
        <v>7649</v>
      </c>
      <c r="AX408" t="s">
        <v>74</v>
      </c>
      <c r="AY408" t="s">
        <v>74</v>
      </c>
      <c r="AZ408" t="s">
        <v>74</v>
      </c>
      <c r="BA408" t="s">
        <v>74</v>
      </c>
      <c r="BB408">
        <v>152</v>
      </c>
      <c r="BC408">
        <v>154</v>
      </c>
      <c r="BD408" t="s">
        <v>74</v>
      </c>
      <c r="BE408" t="s">
        <v>8007</v>
      </c>
      <c r="BF408" t="str">
        <f>HYPERLINK("http://dx.doi.org/10.1038/544152a","http://dx.doi.org/10.1038/544152a")</f>
        <v>http://dx.doi.org/10.1038/544152a</v>
      </c>
      <c r="BG408" t="s">
        <v>74</v>
      </c>
      <c r="BH408" t="s">
        <v>74</v>
      </c>
      <c r="BI408">
        <v>3</v>
      </c>
      <c r="BJ408" t="s">
        <v>1617</v>
      </c>
      <c r="BK408" t="s">
        <v>5266</v>
      </c>
      <c r="BL408" t="s">
        <v>1618</v>
      </c>
      <c r="BM408" t="s">
        <v>8008</v>
      </c>
      <c r="BN408">
        <v>28406225</v>
      </c>
      <c r="BO408" t="s">
        <v>412</v>
      </c>
      <c r="BP408" t="s">
        <v>74</v>
      </c>
      <c r="BQ408" t="s">
        <v>74</v>
      </c>
      <c r="BR408" t="s">
        <v>106</v>
      </c>
      <c r="BS408" t="s">
        <v>8009</v>
      </c>
      <c r="BT408" t="str">
        <f>HYPERLINK("https%3A%2F%2Fwww.webofscience.com%2Fwos%2Fwoscc%2Ffull-record%2FWOS:000398897900011","View Full Record in Web of Science")</f>
        <v>View Full Record in Web of Science</v>
      </c>
    </row>
    <row r="409" spans="1:72" x14ac:dyDescent="0.15">
      <c r="A409" t="s">
        <v>72</v>
      </c>
      <c r="B409" t="s">
        <v>8010</v>
      </c>
      <c r="C409" t="s">
        <v>74</v>
      </c>
      <c r="D409" t="s">
        <v>74</v>
      </c>
      <c r="E409" t="s">
        <v>74</v>
      </c>
      <c r="F409" t="s">
        <v>8011</v>
      </c>
      <c r="G409" t="s">
        <v>74</v>
      </c>
      <c r="H409" t="s">
        <v>74</v>
      </c>
      <c r="I409" t="s">
        <v>8012</v>
      </c>
      <c r="J409" t="s">
        <v>1599</v>
      </c>
      <c r="K409" t="s">
        <v>74</v>
      </c>
      <c r="L409" t="s">
        <v>74</v>
      </c>
      <c r="M409" t="s">
        <v>78</v>
      </c>
      <c r="N409" t="s">
        <v>79</v>
      </c>
      <c r="O409" t="s">
        <v>74</v>
      </c>
      <c r="P409" t="s">
        <v>74</v>
      </c>
      <c r="Q409" t="s">
        <v>74</v>
      </c>
      <c r="R409" t="s">
        <v>74</v>
      </c>
      <c r="S409" t="s">
        <v>74</v>
      </c>
      <c r="T409" t="s">
        <v>74</v>
      </c>
      <c r="U409" t="s">
        <v>8013</v>
      </c>
      <c r="V409" t="s">
        <v>8014</v>
      </c>
      <c r="W409" t="s">
        <v>8015</v>
      </c>
      <c r="X409" t="s">
        <v>8016</v>
      </c>
      <c r="Y409" t="s">
        <v>8017</v>
      </c>
      <c r="Z409" t="s">
        <v>8018</v>
      </c>
      <c r="AA409" t="s">
        <v>8019</v>
      </c>
      <c r="AB409" t="s">
        <v>8020</v>
      </c>
      <c r="AC409" t="s">
        <v>8021</v>
      </c>
      <c r="AD409" t="s">
        <v>8022</v>
      </c>
      <c r="AE409" t="s">
        <v>8023</v>
      </c>
      <c r="AF409" t="s">
        <v>74</v>
      </c>
      <c r="AG409">
        <v>62</v>
      </c>
      <c r="AH409">
        <v>302</v>
      </c>
      <c r="AI409">
        <v>366</v>
      </c>
      <c r="AJ409">
        <v>17</v>
      </c>
      <c r="AK409">
        <v>124</v>
      </c>
      <c r="AL409" t="s">
        <v>3671</v>
      </c>
      <c r="AM409" t="s">
        <v>3672</v>
      </c>
      <c r="AN409" t="s">
        <v>3673</v>
      </c>
      <c r="AO409" t="s">
        <v>74</v>
      </c>
      <c r="AP409" t="s">
        <v>1613</v>
      </c>
      <c r="AQ409" t="s">
        <v>74</v>
      </c>
      <c r="AR409" t="s">
        <v>1614</v>
      </c>
      <c r="AS409" t="s">
        <v>1615</v>
      </c>
      <c r="AT409" t="s">
        <v>7980</v>
      </c>
      <c r="AU409">
        <v>2017</v>
      </c>
      <c r="AV409">
        <v>8</v>
      </c>
      <c r="AW409" t="s">
        <v>74</v>
      </c>
      <c r="AX409" t="s">
        <v>74</v>
      </c>
      <c r="AY409" t="s">
        <v>74</v>
      </c>
      <c r="AZ409" t="s">
        <v>74</v>
      </c>
      <c r="BA409" t="s">
        <v>74</v>
      </c>
      <c r="BB409" t="s">
        <v>74</v>
      </c>
      <c r="BC409" t="s">
        <v>74</v>
      </c>
      <c r="BD409">
        <v>14895</v>
      </c>
      <c r="BE409" t="s">
        <v>8024</v>
      </c>
      <c r="BF409" t="str">
        <f>HYPERLINK("http://dx.doi.org/10.1038/ncomms14895","http://dx.doi.org/10.1038/ncomms14895")</f>
        <v>http://dx.doi.org/10.1038/ncomms14895</v>
      </c>
      <c r="BG409" t="s">
        <v>74</v>
      </c>
      <c r="BH409" t="s">
        <v>74</v>
      </c>
      <c r="BI409">
        <v>7</v>
      </c>
      <c r="BJ409" t="s">
        <v>1617</v>
      </c>
      <c r="BK409" t="s">
        <v>103</v>
      </c>
      <c r="BL409" t="s">
        <v>1618</v>
      </c>
      <c r="BM409" t="s">
        <v>8025</v>
      </c>
      <c r="BN409">
        <v>28406155</v>
      </c>
      <c r="BO409" t="s">
        <v>8026</v>
      </c>
      <c r="BP409" t="s">
        <v>2243</v>
      </c>
      <c r="BQ409" t="s">
        <v>2244</v>
      </c>
      <c r="BR409" t="s">
        <v>106</v>
      </c>
      <c r="BS409" t="s">
        <v>8027</v>
      </c>
      <c r="BT409" t="str">
        <f>HYPERLINK("https%3A%2F%2Fwww.webofscience.com%2Fwos%2Fwoscc%2Ffull-record%2FWOS:000399051600001","View Full Record in Web of Science")</f>
        <v>View Full Record in Web of Science</v>
      </c>
    </row>
    <row r="410" spans="1:72" x14ac:dyDescent="0.15">
      <c r="A410" t="s">
        <v>72</v>
      </c>
      <c r="B410" t="s">
        <v>8028</v>
      </c>
      <c r="C410" t="s">
        <v>74</v>
      </c>
      <c r="D410" t="s">
        <v>74</v>
      </c>
      <c r="E410" t="s">
        <v>74</v>
      </c>
      <c r="F410" t="s">
        <v>8029</v>
      </c>
      <c r="G410" t="s">
        <v>74</v>
      </c>
      <c r="H410" t="s">
        <v>74</v>
      </c>
      <c r="I410" t="s">
        <v>8030</v>
      </c>
      <c r="J410" t="s">
        <v>3661</v>
      </c>
      <c r="K410" t="s">
        <v>74</v>
      </c>
      <c r="L410" t="s">
        <v>74</v>
      </c>
      <c r="M410" t="s">
        <v>78</v>
      </c>
      <c r="N410" t="s">
        <v>79</v>
      </c>
      <c r="O410" t="s">
        <v>74</v>
      </c>
      <c r="P410" t="s">
        <v>74</v>
      </c>
      <c r="Q410" t="s">
        <v>74</v>
      </c>
      <c r="R410" t="s">
        <v>74</v>
      </c>
      <c r="S410" t="s">
        <v>74</v>
      </c>
      <c r="T410" t="s">
        <v>74</v>
      </c>
      <c r="U410" t="s">
        <v>8031</v>
      </c>
      <c r="V410" t="s">
        <v>8032</v>
      </c>
      <c r="W410" t="s">
        <v>8033</v>
      </c>
      <c r="X410" t="s">
        <v>8034</v>
      </c>
      <c r="Y410" t="s">
        <v>8035</v>
      </c>
      <c r="Z410" t="s">
        <v>8036</v>
      </c>
      <c r="AA410" t="s">
        <v>8037</v>
      </c>
      <c r="AB410" t="s">
        <v>8038</v>
      </c>
      <c r="AC410" t="s">
        <v>8039</v>
      </c>
      <c r="AD410" t="s">
        <v>8040</v>
      </c>
      <c r="AE410" t="s">
        <v>8041</v>
      </c>
      <c r="AF410" t="s">
        <v>74</v>
      </c>
      <c r="AG410">
        <v>67</v>
      </c>
      <c r="AH410">
        <v>46</v>
      </c>
      <c r="AI410">
        <v>48</v>
      </c>
      <c r="AJ410">
        <v>2</v>
      </c>
      <c r="AK410">
        <v>26</v>
      </c>
      <c r="AL410" t="s">
        <v>3671</v>
      </c>
      <c r="AM410" t="s">
        <v>3672</v>
      </c>
      <c r="AN410" t="s">
        <v>3673</v>
      </c>
      <c r="AO410" t="s">
        <v>3674</v>
      </c>
      <c r="AP410" t="s">
        <v>74</v>
      </c>
      <c r="AQ410" t="s">
        <v>74</v>
      </c>
      <c r="AR410" t="s">
        <v>3675</v>
      </c>
      <c r="AS410" t="s">
        <v>3676</v>
      </c>
      <c r="AT410" t="s">
        <v>8042</v>
      </c>
      <c r="AU410">
        <v>2017</v>
      </c>
      <c r="AV410">
        <v>7</v>
      </c>
      <c r="AW410" t="s">
        <v>74</v>
      </c>
      <c r="AX410" t="s">
        <v>74</v>
      </c>
      <c r="AY410" t="s">
        <v>74</v>
      </c>
      <c r="AZ410" t="s">
        <v>74</v>
      </c>
      <c r="BA410" t="s">
        <v>74</v>
      </c>
      <c r="BB410" t="s">
        <v>74</v>
      </c>
      <c r="BC410" t="s">
        <v>74</v>
      </c>
      <c r="BD410">
        <v>839</v>
      </c>
      <c r="BE410" t="s">
        <v>8043</v>
      </c>
      <c r="BF410" t="str">
        <f>HYPERLINK("http://dx.doi.org/10.1038/s41598-017-00876-4","http://dx.doi.org/10.1038/s41598-017-00876-4")</f>
        <v>http://dx.doi.org/10.1038/s41598-017-00876-4</v>
      </c>
      <c r="BG410" t="s">
        <v>74</v>
      </c>
      <c r="BH410" t="s">
        <v>74</v>
      </c>
      <c r="BI410">
        <v>13</v>
      </c>
      <c r="BJ410" t="s">
        <v>1617</v>
      </c>
      <c r="BK410" t="s">
        <v>103</v>
      </c>
      <c r="BL410" t="s">
        <v>1618</v>
      </c>
      <c r="BM410" t="s">
        <v>8044</v>
      </c>
      <c r="BN410">
        <v>28404986</v>
      </c>
      <c r="BO410" t="s">
        <v>3118</v>
      </c>
      <c r="BP410" t="s">
        <v>74</v>
      </c>
      <c r="BQ410" t="s">
        <v>74</v>
      </c>
      <c r="BR410" t="s">
        <v>106</v>
      </c>
      <c r="BS410" t="s">
        <v>8045</v>
      </c>
      <c r="BT410" t="str">
        <f>HYPERLINK("https%3A%2F%2Fwww.webofscience.com%2Fwos%2Fwoscc%2Ffull-record%2FWOS:000399186000003","View Full Record in Web of Science")</f>
        <v>View Full Record in Web of Science</v>
      </c>
    </row>
    <row r="411" spans="1:72" x14ac:dyDescent="0.15">
      <c r="A411" t="s">
        <v>72</v>
      </c>
      <c r="B411" t="s">
        <v>8046</v>
      </c>
      <c r="C411" t="s">
        <v>74</v>
      </c>
      <c r="D411" t="s">
        <v>74</v>
      </c>
      <c r="E411" t="s">
        <v>74</v>
      </c>
      <c r="F411" t="s">
        <v>8047</v>
      </c>
      <c r="G411" t="s">
        <v>74</v>
      </c>
      <c r="H411" t="s">
        <v>74</v>
      </c>
      <c r="I411" t="s">
        <v>8048</v>
      </c>
      <c r="J411" t="s">
        <v>3548</v>
      </c>
      <c r="K411" t="s">
        <v>74</v>
      </c>
      <c r="L411" t="s">
        <v>74</v>
      </c>
      <c r="M411" t="s">
        <v>78</v>
      </c>
      <c r="N411" t="s">
        <v>79</v>
      </c>
      <c r="O411" t="s">
        <v>74</v>
      </c>
      <c r="P411" t="s">
        <v>74</v>
      </c>
      <c r="Q411" t="s">
        <v>74</v>
      </c>
      <c r="R411" t="s">
        <v>74</v>
      </c>
      <c r="S411" t="s">
        <v>74</v>
      </c>
      <c r="T411" t="s">
        <v>8049</v>
      </c>
      <c r="U411" t="s">
        <v>8050</v>
      </c>
      <c r="V411" t="s">
        <v>8051</v>
      </c>
      <c r="W411" t="s">
        <v>8052</v>
      </c>
      <c r="X411" t="s">
        <v>8053</v>
      </c>
      <c r="Y411" t="s">
        <v>8054</v>
      </c>
      <c r="Z411" t="s">
        <v>8055</v>
      </c>
      <c r="AA411" t="s">
        <v>8056</v>
      </c>
      <c r="AB411" t="s">
        <v>8057</v>
      </c>
      <c r="AC411" t="s">
        <v>8058</v>
      </c>
      <c r="AD411" t="s">
        <v>8059</v>
      </c>
      <c r="AE411" t="s">
        <v>8060</v>
      </c>
      <c r="AF411" t="s">
        <v>74</v>
      </c>
      <c r="AG411">
        <v>30</v>
      </c>
      <c r="AH411">
        <v>12</v>
      </c>
      <c r="AI411">
        <v>12</v>
      </c>
      <c r="AJ411">
        <v>0</v>
      </c>
      <c r="AK411">
        <v>30</v>
      </c>
      <c r="AL411" t="s">
        <v>729</v>
      </c>
      <c r="AM411" t="s">
        <v>730</v>
      </c>
      <c r="AN411" t="s">
        <v>731</v>
      </c>
      <c r="AO411" t="s">
        <v>3561</v>
      </c>
      <c r="AP411" t="s">
        <v>3562</v>
      </c>
      <c r="AQ411" t="s">
        <v>74</v>
      </c>
      <c r="AR411" t="s">
        <v>3548</v>
      </c>
      <c r="AS411" t="s">
        <v>3563</v>
      </c>
      <c r="AT411" t="s">
        <v>8061</v>
      </c>
      <c r="AU411">
        <v>2017</v>
      </c>
      <c r="AV411">
        <v>7</v>
      </c>
      <c r="AW411" t="s">
        <v>74</v>
      </c>
      <c r="AX411" t="s">
        <v>74</v>
      </c>
      <c r="AY411" t="s">
        <v>74</v>
      </c>
      <c r="AZ411" t="s">
        <v>74</v>
      </c>
      <c r="BA411" t="s">
        <v>74</v>
      </c>
      <c r="BB411" t="s">
        <v>74</v>
      </c>
      <c r="BC411" t="s">
        <v>74</v>
      </c>
      <c r="BD411">
        <v>32</v>
      </c>
      <c r="BE411" t="s">
        <v>8062</v>
      </c>
      <c r="BF411" t="str">
        <f>HYPERLINK("http://dx.doi.org/10.1007/s13205-017-0610-3","http://dx.doi.org/10.1007/s13205-017-0610-3")</f>
        <v>http://dx.doi.org/10.1007/s13205-017-0610-3</v>
      </c>
      <c r="BG411" t="s">
        <v>74</v>
      </c>
      <c r="BH411" t="s">
        <v>74</v>
      </c>
      <c r="BI411">
        <v>10</v>
      </c>
      <c r="BJ411" t="s">
        <v>3566</v>
      </c>
      <c r="BK411" t="s">
        <v>103</v>
      </c>
      <c r="BL411" t="s">
        <v>3566</v>
      </c>
      <c r="BM411" t="s">
        <v>8063</v>
      </c>
      <c r="BN411">
        <v>28401470</v>
      </c>
      <c r="BO411" t="s">
        <v>2390</v>
      </c>
      <c r="BP411" t="s">
        <v>74</v>
      </c>
      <c r="BQ411" t="s">
        <v>74</v>
      </c>
      <c r="BR411" t="s">
        <v>106</v>
      </c>
      <c r="BS411" t="s">
        <v>8064</v>
      </c>
      <c r="BT411" t="str">
        <f>HYPERLINK("https%3A%2F%2Fwww.webofscience.com%2Fwos%2Fwoscc%2Ffull-record%2FWOS:000399411900013","View Full Record in Web of Science")</f>
        <v>View Full Record in Web of Science</v>
      </c>
    </row>
    <row r="412" spans="1:72" x14ac:dyDescent="0.15">
      <c r="A412" t="s">
        <v>72</v>
      </c>
      <c r="B412" t="s">
        <v>8065</v>
      </c>
      <c r="C412" t="s">
        <v>74</v>
      </c>
      <c r="D412" t="s">
        <v>74</v>
      </c>
      <c r="E412" t="s">
        <v>74</v>
      </c>
      <c r="F412" t="s">
        <v>8066</v>
      </c>
      <c r="G412" t="s">
        <v>74</v>
      </c>
      <c r="H412" t="s">
        <v>74</v>
      </c>
      <c r="I412" t="s">
        <v>8067</v>
      </c>
      <c r="J412" t="s">
        <v>3661</v>
      </c>
      <c r="K412" t="s">
        <v>74</v>
      </c>
      <c r="L412" t="s">
        <v>74</v>
      </c>
      <c r="M412" t="s">
        <v>78</v>
      </c>
      <c r="N412" t="s">
        <v>79</v>
      </c>
      <c r="O412" t="s">
        <v>74</v>
      </c>
      <c r="P412" t="s">
        <v>74</v>
      </c>
      <c r="Q412" t="s">
        <v>74</v>
      </c>
      <c r="R412" t="s">
        <v>74</v>
      </c>
      <c r="S412" t="s">
        <v>74</v>
      </c>
      <c r="T412" t="s">
        <v>74</v>
      </c>
      <c r="U412" t="s">
        <v>8068</v>
      </c>
      <c r="V412" t="s">
        <v>8069</v>
      </c>
      <c r="W412" t="s">
        <v>8070</v>
      </c>
      <c r="X412" t="s">
        <v>8071</v>
      </c>
      <c r="Y412" t="s">
        <v>8072</v>
      </c>
      <c r="Z412" t="s">
        <v>8073</v>
      </c>
      <c r="AA412" t="s">
        <v>8074</v>
      </c>
      <c r="AB412" t="s">
        <v>8075</v>
      </c>
      <c r="AC412" t="s">
        <v>8076</v>
      </c>
      <c r="AD412" t="s">
        <v>8077</v>
      </c>
      <c r="AE412" t="s">
        <v>8078</v>
      </c>
      <c r="AF412" t="s">
        <v>74</v>
      </c>
      <c r="AG412">
        <v>47</v>
      </c>
      <c r="AH412">
        <v>50</v>
      </c>
      <c r="AI412">
        <v>51</v>
      </c>
      <c r="AJ412">
        <v>1</v>
      </c>
      <c r="AK412">
        <v>14</v>
      </c>
      <c r="AL412" t="s">
        <v>3671</v>
      </c>
      <c r="AM412" t="s">
        <v>3672</v>
      </c>
      <c r="AN412" t="s">
        <v>3673</v>
      </c>
      <c r="AO412" t="s">
        <v>3674</v>
      </c>
      <c r="AP412" t="s">
        <v>74</v>
      </c>
      <c r="AQ412" t="s">
        <v>74</v>
      </c>
      <c r="AR412" t="s">
        <v>3675</v>
      </c>
      <c r="AS412" t="s">
        <v>3676</v>
      </c>
      <c r="AT412" t="s">
        <v>8061</v>
      </c>
      <c r="AU412">
        <v>2017</v>
      </c>
      <c r="AV412">
        <v>7</v>
      </c>
      <c r="AW412" t="s">
        <v>74</v>
      </c>
      <c r="AX412" t="s">
        <v>74</v>
      </c>
      <c r="AY412" t="s">
        <v>74</v>
      </c>
      <c r="AZ412" t="s">
        <v>74</v>
      </c>
      <c r="BA412" t="s">
        <v>74</v>
      </c>
      <c r="BB412" t="s">
        <v>74</v>
      </c>
      <c r="BC412" t="s">
        <v>74</v>
      </c>
      <c r="BD412">
        <v>46291</v>
      </c>
      <c r="BE412" t="s">
        <v>8079</v>
      </c>
      <c r="BF412" t="str">
        <f>HYPERLINK("http://dx.doi.org/10.1038/srep46291","http://dx.doi.org/10.1038/srep46291")</f>
        <v>http://dx.doi.org/10.1038/srep46291</v>
      </c>
      <c r="BG412" t="s">
        <v>74</v>
      </c>
      <c r="BH412" t="s">
        <v>74</v>
      </c>
      <c r="BI412">
        <v>11</v>
      </c>
      <c r="BJ412" t="s">
        <v>1617</v>
      </c>
      <c r="BK412" t="s">
        <v>103</v>
      </c>
      <c r="BL412" t="s">
        <v>1618</v>
      </c>
      <c r="BM412" t="s">
        <v>8080</v>
      </c>
      <c r="BN412">
        <v>28397797</v>
      </c>
      <c r="BO412" t="s">
        <v>2009</v>
      </c>
      <c r="BP412" t="s">
        <v>74</v>
      </c>
      <c r="BQ412" t="s">
        <v>74</v>
      </c>
      <c r="BR412" t="s">
        <v>106</v>
      </c>
      <c r="BS412" t="s">
        <v>8081</v>
      </c>
      <c r="BT412" t="str">
        <f>HYPERLINK("https%3A%2F%2Fwww.webofscience.com%2Fwos%2Fwoscc%2Ffull-record%2FWOS:000398833400001","View Full Record in Web of Science")</f>
        <v>View Full Record in Web of Science</v>
      </c>
    </row>
    <row r="413" spans="1:72" x14ac:dyDescent="0.15">
      <c r="A413" t="s">
        <v>72</v>
      </c>
      <c r="B413" t="s">
        <v>8082</v>
      </c>
      <c r="C413" t="s">
        <v>74</v>
      </c>
      <c r="D413" t="s">
        <v>74</v>
      </c>
      <c r="E413" t="s">
        <v>74</v>
      </c>
      <c r="F413" t="s">
        <v>8083</v>
      </c>
      <c r="G413" t="s">
        <v>74</v>
      </c>
      <c r="H413" t="s">
        <v>74</v>
      </c>
      <c r="I413" t="s">
        <v>8084</v>
      </c>
      <c r="J413" t="s">
        <v>1599</v>
      </c>
      <c r="K413" t="s">
        <v>74</v>
      </c>
      <c r="L413" t="s">
        <v>74</v>
      </c>
      <c r="M413" t="s">
        <v>78</v>
      </c>
      <c r="N413" t="s">
        <v>79</v>
      </c>
      <c r="O413" t="s">
        <v>74</v>
      </c>
      <c r="P413" t="s">
        <v>74</v>
      </c>
      <c r="Q413" t="s">
        <v>74</v>
      </c>
      <c r="R413" t="s">
        <v>74</v>
      </c>
      <c r="S413" t="s">
        <v>74</v>
      </c>
      <c r="T413" t="s">
        <v>74</v>
      </c>
      <c r="U413" t="s">
        <v>8085</v>
      </c>
      <c r="V413" t="s">
        <v>8086</v>
      </c>
      <c r="W413" t="s">
        <v>8087</v>
      </c>
      <c r="X413" t="s">
        <v>8088</v>
      </c>
      <c r="Y413" t="s">
        <v>8089</v>
      </c>
      <c r="Z413" t="s">
        <v>8090</v>
      </c>
      <c r="AA413" t="s">
        <v>8091</v>
      </c>
      <c r="AB413" t="s">
        <v>8092</v>
      </c>
      <c r="AC413" t="s">
        <v>8093</v>
      </c>
      <c r="AD413" t="s">
        <v>8094</v>
      </c>
      <c r="AE413" t="s">
        <v>8095</v>
      </c>
      <c r="AF413" t="s">
        <v>74</v>
      </c>
      <c r="AG413">
        <v>86</v>
      </c>
      <c r="AH413">
        <v>50</v>
      </c>
      <c r="AI413">
        <v>55</v>
      </c>
      <c r="AJ413">
        <v>2</v>
      </c>
      <c r="AK413">
        <v>36</v>
      </c>
      <c r="AL413" t="s">
        <v>8096</v>
      </c>
      <c r="AM413" t="s">
        <v>3672</v>
      </c>
      <c r="AN413" t="s">
        <v>3673</v>
      </c>
      <c r="AO413" t="s">
        <v>1613</v>
      </c>
      <c r="AP413" t="s">
        <v>74</v>
      </c>
      <c r="AQ413" t="s">
        <v>74</v>
      </c>
      <c r="AR413" t="s">
        <v>1614</v>
      </c>
      <c r="AS413" t="s">
        <v>1615</v>
      </c>
      <c r="AT413" t="s">
        <v>8061</v>
      </c>
      <c r="AU413">
        <v>2017</v>
      </c>
      <c r="AV413">
        <v>8</v>
      </c>
      <c r="AW413" t="s">
        <v>74</v>
      </c>
      <c r="AX413" t="s">
        <v>74</v>
      </c>
      <c r="AY413" t="s">
        <v>74</v>
      </c>
      <c r="AZ413" t="s">
        <v>74</v>
      </c>
      <c r="BA413" t="s">
        <v>74</v>
      </c>
      <c r="BB413" t="s">
        <v>74</v>
      </c>
      <c r="BC413" t="s">
        <v>74</v>
      </c>
      <c r="BD413">
        <v>14914</v>
      </c>
      <c r="BE413" t="s">
        <v>8097</v>
      </c>
      <c r="BF413" t="str">
        <f>HYPERLINK("http://dx.doi.org/10.1038/ncomms14914","http://dx.doi.org/10.1038/ncomms14914")</f>
        <v>http://dx.doi.org/10.1038/ncomms14914</v>
      </c>
      <c r="BG413" t="s">
        <v>74</v>
      </c>
      <c r="BH413" t="s">
        <v>74</v>
      </c>
      <c r="BI413">
        <v>16</v>
      </c>
      <c r="BJ413" t="s">
        <v>1617</v>
      </c>
      <c r="BK413" t="s">
        <v>103</v>
      </c>
      <c r="BL413" t="s">
        <v>1618</v>
      </c>
      <c r="BM413" t="s">
        <v>8098</v>
      </c>
      <c r="BN413">
        <v>28398353</v>
      </c>
      <c r="BO413" t="s">
        <v>4503</v>
      </c>
      <c r="BP413" t="s">
        <v>74</v>
      </c>
      <c r="BQ413" t="s">
        <v>74</v>
      </c>
      <c r="BR413" t="s">
        <v>106</v>
      </c>
      <c r="BS413" t="s">
        <v>8099</v>
      </c>
      <c r="BT413" t="str">
        <f>HYPERLINK("https%3A%2F%2Fwww.webofscience.com%2Fwos%2Fwoscc%2Ffull-record%2FWOS:000398826700001","View Full Record in Web of Science")</f>
        <v>View Full Record in Web of Science</v>
      </c>
    </row>
    <row r="414" spans="1:72" x14ac:dyDescent="0.15">
      <c r="A414" t="s">
        <v>72</v>
      </c>
      <c r="B414" t="s">
        <v>8100</v>
      </c>
      <c r="C414" t="s">
        <v>74</v>
      </c>
      <c r="D414" t="s">
        <v>74</v>
      </c>
      <c r="E414" t="s">
        <v>74</v>
      </c>
      <c r="F414" t="s">
        <v>8101</v>
      </c>
      <c r="G414" t="s">
        <v>74</v>
      </c>
      <c r="H414" t="s">
        <v>74</v>
      </c>
      <c r="I414" t="s">
        <v>8102</v>
      </c>
      <c r="J414" t="s">
        <v>8103</v>
      </c>
      <c r="K414" t="s">
        <v>74</v>
      </c>
      <c r="L414" t="s">
        <v>74</v>
      </c>
      <c r="M414" t="s">
        <v>78</v>
      </c>
      <c r="N414" t="s">
        <v>79</v>
      </c>
      <c r="O414" t="s">
        <v>74</v>
      </c>
      <c r="P414" t="s">
        <v>74</v>
      </c>
      <c r="Q414" t="s">
        <v>74</v>
      </c>
      <c r="R414" t="s">
        <v>74</v>
      </c>
      <c r="S414" t="s">
        <v>74</v>
      </c>
      <c r="T414" t="s">
        <v>8104</v>
      </c>
      <c r="U414" t="s">
        <v>8105</v>
      </c>
      <c r="V414" t="s">
        <v>8106</v>
      </c>
      <c r="W414" t="s">
        <v>8107</v>
      </c>
      <c r="X414" t="s">
        <v>8108</v>
      </c>
      <c r="Y414" t="s">
        <v>8109</v>
      </c>
      <c r="Z414" t="s">
        <v>8110</v>
      </c>
      <c r="AA414" t="s">
        <v>8111</v>
      </c>
      <c r="AB414" t="s">
        <v>8112</v>
      </c>
      <c r="AC414" t="s">
        <v>8113</v>
      </c>
      <c r="AD414" t="s">
        <v>8114</v>
      </c>
      <c r="AE414" t="s">
        <v>8115</v>
      </c>
      <c r="AF414" t="s">
        <v>74</v>
      </c>
      <c r="AG414">
        <v>54</v>
      </c>
      <c r="AH414">
        <v>78</v>
      </c>
      <c r="AI414">
        <v>81</v>
      </c>
      <c r="AJ414">
        <v>0</v>
      </c>
      <c r="AK414">
        <v>45</v>
      </c>
      <c r="AL414" t="s">
        <v>8116</v>
      </c>
      <c r="AM414" t="s">
        <v>223</v>
      </c>
      <c r="AN414" t="s">
        <v>8117</v>
      </c>
      <c r="AO414" t="s">
        <v>8118</v>
      </c>
      <c r="AP414" t="s">
        <v>74</v>
      </c>
      <c r="AQ414" t="s">
        <v>74</v>
      </c>
      <c r="AR414" t="s">
        <v>8119</v>
      </c>
      <c r="AS414" t="s">
        <v>8120</v>
      </c>
      <c r="AT414" t="s">
        <v>8061</v>
      </c>
      <c r="AU414">
        <v>2017</v>
      </c>
      <c r="AV414">
        <v>114</v>
      </c>
      <c r="AW414">
        <v>15</v>
      </c>
      <c r="AX414" t="s">
        <v>74</v>
      </c>
      <c r="AY414" t="s">
        <v>74</v>
      </c>
      <c r="AZ414" t="s">
        <v>74</v>
      </c>
      <c r="BA414" t="s">
        <v>74</v>
      </c>
      <c r="BB414">
        <v>3867</v>
      </c>
      <c r="BC414">
        <v>3872</v>
      </c>
      <c r="BD414" t="s">
        <v>74</v>
      </c>
      <c r="BE414" t="s">
        <v>8121</v>
      </c>
      <c r="BF414" t="str">
        <f>HYPERLINK("http://dx.doi.org/10.1073/pnas.1615440114","http://dx.doi.org/10.1073/pnas.1615440114")</f>
        <v>http://dx.doi.org/10.1073/pnas.1615440114</v>
      </c>
      <c r="BG414" t="s">
        <v>74</v>
      </c>
      <c r="BH414" t="s">
        <v>74</v>
      </c>
      <c r="BI414">
        <v>6</v>
      </c>
      <c r="BJ414" t="s">
        <v>1617</v>
      </c>
      <c r="BK414" t="s">
        <v>103</v>
      </c>
      <c r="BL414" t="s">
        <v>1618</v>
      </c>
      <c r="BM414" t="s">
        <v>8122</v>
      </c>
      <c r="BN414">
        <v>28348211</v>
      </c>
      <c r="BO414" t="s">
        <v>8123</v>
      </c>
      <c r="BP414" t="s">
        <v>74</v>
      </c>
      <c r="BQ414" t="s">
        <v>74</v>
      </c>
      <c r="BR414" t="s">
        <v>106</v>
      </c>
      <c r="BS414" t="s">
        <v>8124</v>
      </c>
      <c r="BT414" t="str">
        <f>HYPERLINK("https%3A%2F%2Fwww.webofscience.com%2Fwos%2Fwoscc%2Ffull-record%2FWOS:000398789800040","View Full Record in Web of Science")</f>
        <v>View Full Record in Web of Science</v>
      </c>
    </row>
    <row r="415" spans="1:72" x14ac:dyDescent="0.15">
      <c r="A415" t="s">
        <v>72</v>
      </c>
      <c r="B415" t="s">
        <v>8125</v>
      </c>
      <c r="C415" t="s">
        <v>74</v>
      </c>
      <c r="D415" t="s">
        <v>74</v>
      </c>
      <c r="E415" t="s">
        <v>74</v>
      </c>
      <c r="F415" t="s">
        <v>8126</v>
      </c>
      <c r="G415" t="s">
        <v>74</v>
      </c>
      <c r="H415" t="s">
        <v>74</v>
      </c>
      <c r="I415" t="s">
        <v>8127</v>
      </c>
      <c r="J415" t="s">
        <v>8128</v>
      </c>
      <c r="K415" t="s">
        <v>74</v>
      </c>
      <c r="L415" t="s">
        <v>74</v>
      </c>
      <c r="M415" t="s">
        <v>78</v>
      </c>
      <c r="N415" t="s">
        <v>8129</v>
      </c>
      <c r="O415" t="s">
        <v>74</v>
      </c>
      <c r="P415" t="s">
        <v>74</v>
      </c>
      <c r="Q415" t="s">
        <v>74</v>
      </c>
      <c r="R415" t="s">
        <v>74</v>
      </c>
      <c r="S415" t="s">
        <v>74</v>
      </c>
      <c r="T415" t="s">
        <v>74</v>
      </c>
      <c r="U415" t="s">
        <v>8130</v>
      </c>
      <c r="V415" t="s">
        <v>8131</v>
      </c>
      <c r="W415" t="s">
        <v>8132</v>
      </c>
      <c r="X415" t="s">
        <v>309</v>
      </c>
      <c r="Y415" t="s">
        <v>8133</v>
      </c>
      <c r="Z415" t="s">
        <v>8134</v>
      </c>
      <c r="AA415" t="s">
        <v>5962</v>
      </c>
      <c r="AB415" t="s">
        <v>5963</v>
      </c>
      <c r="AC415" t="s">
        <v>8135</v>
      </c>
      <c r="AD415" t="s">
        <v>8136</v>
      </c>
      <c r="AE415" t="s">
        <v>8137</v>
      </c>
      <c r="AF415" t="s">
        <v>74</v>
      </c>
      <c r="AG415">
        <v>29</v>
      </c>
      <c r="AH415">
        <v>75</v>
      </c>
      <c r="AI415">
        <v>78</v>
      </c>
      <c r="AJ415">
        <v>4</v>
      </c>
      <c r="AK415">
        <v>44</v>
      </c>
      <c r="AL415" t="s">
        <v>1611</v>
      </c>
      <c r="AM415" t="s">
        <v>403</v>
      </c>
      <c r="AN415" t="s">
        <v>1612</v>
      </c>
      <c r="AO415" t="s">
        <v>74</v>
      </c>
      <c r="AP415" t="s">
        <v>8138</v>
      </c>
      <c r="AQ415" t="s">
        <v>74</v>
      </c>
      <c r="AR415" t="s">
        <v>8139</v>
      </c>
      <c r="AS415" t="s">
        <v>8140</v>
      </c>
      <c r="AT415" t="s">
        <v>8061</v>
      </c>
      <c r="AU415">
        <v>2017</v>
      </c>
      <c r="AV415">
        <v>4</v>
      </c>
      <c r="AW415" t="s">
        <v>74</v>
      </c>
      <c r="AX415" t="s">
        <v>74</v>
      </c>
      <c r="AY415" t="s">
        <v>74</v>
      </c>
      <c r="AZ415" t="s">
        <v>74</v>
      </c>
      <c r="BA415" t="s">
        <v>74</v>
      </c>
      <c r="BB415" t="s">
        <v>74</v>
      </c>
      <c r="BC415" t="s">
        <v>74</v>
      </c>
      <c r="BD415">
        <v>170039</v>
      </c>
      <c r="BE415" t="s">
        <v>8141</v>
      </c>
      <c r="BF415" t="str">
        <f>HYPERLINK("http://dx.doi.org/10.1038/sdata.2017.39","http://dx.doi.org/10.1038/sdata.2017.39")</f>
        <v>http://dx.doi.org/10.1038/sdata.2017.39</v>
      </c>
      <c r="BG415" t="s">
        <v>74</v>
      </c>
      <c r="BH415" t="s">
        <v>74</v>
      </c>
      <c r="BI415">
        <v>9</v>
      </c>
      <c r="BJ415" t="s">
        <v>1617</v>
      </c>
      <c r="BK415" t="s">
        <v>103</v>
      </c>
      <c r="BL415" t="s">
        <v>1618</v>
      </c>
      <c r="BM415" t="s">
        <v>8142</v>
      </c>
      <c r="BN415">
        <v>28398351</v>
      </c>
      <c r="BO415" t="s">
        <v>1224</v>
      </c>
      <c r="BP415" t="s">
        <v>74</v>
      </c>
      <c r="BQ415" t="s">
        <v>74</v>
      </c>
      <c r="BR415" t="s">
        <v>106</v>
      </c>
      <c r="BS415" t="s">
        <v>8143</v>
      </c>
      <c r="BT415" t="str">
        <f>HYPERLINK("https%3A%2F%2Fwww.webofscience.com%2Fwos%2Fwoscc%2Ffull-record%2FWOS:000400151100001","View Full Record in Web of Science")</f>
        <v>View Full Record in Web of Science</v>
      </c>
    </row>
    <row r="416" spans="1:72" x14ac:dyDescent="0.15">
      <c r="A416" t="s">
        <v>72</v>
      </c>
      <c r="B416" t="s">
        <v>8144</v>
      </c>
      <c r="C416" t="s">
        <v>74</v>
      </c>
      <c r="D416" t="s">
        <v>74</v>
      </c>
      <c r="E416" t="s">
        <v>74</v>
      </c>
      <c r="F416" t="s">
        <v>8145</v>
      </c>
      <c r="G416" t="s">
        <v>74</v>
      </c>
      <c r="H416" t="s">
        <v>74</v>
      </c>
      <c r="I416" t="s">
        <v>8146</v>
      </c>
      <c r="J416" t="s">
        <v>8147</v>
      </c>
      <c r="K416" t="s">
        <v>74</v>
      </c>
      <c r="L416" t="s">
        <v>74</v>
      </c>
      <c r="M416" t="s">
        <v>78</v>
      </c>
      <c r="N416" t="s">
        <v>79</v>
      </c>
      <c r="O416" t="s">
        <v>74</v>
      </c>
      <c r="P416" t="s">
        <v>74</v>
      </c>
      <c r="Q416" t="s">
        <v>74</v>
      </c>
      <c r="R416" t="s">
        <v>74</v>
      </c>
      <c r="S416" t="s">
        <v>74</v>
      </c>
      <c r="T416" t="s">
        <v>8148</v>
      </c>
      <c r="U416" t="s">
        <v>8149</v>
      </c>
      <c r="V416" t="s">
        <v>8150</v>
      </c>
      <c r="W416" t="s">
        <v>8151</v>
      </c>
      <c r="X416" t="s">
        <v>8152</v>
      </c>
      <c r="Y416" t="s">
        <v>8153</v>
      </c>
      <c r="Z416" t="s">
        <v>74</v>
      </c>
      <c r="AA416" t="s">
        <v>8154</v>
      </c>
      <c r="AB416" t="s">
        <v>8155</v>
      </c>
      <c r="AC416" t="s">
        <v>8156</v>
      </c>
      <c r="AD416" t="s">
        <v>8157</v>
      </c>
      <c r="AE416" t="s">
        <v>8158</v>
      </c>
      <c r="AF416" t="s">
        <v>74</v>
      </c>
      <c r="AG416">
        <v>46</v>
      </c>
      <c r="AH416">
        <v>192</v>
      </c>
      <c r="AI416">
        <v>203</v>
      </c>
      <c r="AJ416">
        <v>0</v>
      </c>
      <c r="AK416">
        <v>5</v>
      </c>
      <c r="AL416" t="s">
        <v>6493</v>
      </c>
      <c r="AM416" t="s">
        <v>6494</v>
      </c>
      <c r="AN416" t="s">
        <v>6495</v>
      </c>
      <c r="AO416" t="s">
        <v>8159</v>
      </c>
      <c r="AP416" t="s">
        <v>8160</v>
      </c>
      <c r="AQ416" t="s">
        <v>74</v>
      </c>
      <c r="AR416" t="s">
        <v>8161</v>
      </c>
      <c r="AS416" t="s">
        <v>8162</v>
      </c>
      <c r="AT416" t="s">
        <v>8163</v>
      </c>
      <c r="AU416">
        <v>2017</v>
      </c>
      <c r="AV416">
        <v>839</v>
      </c>
      <c r="AW416">
        <v>1</v>
      </c>
      <c r="AX416" t="s">
        <v>74</v>
      </c>
      <c r="AY416" t="s">
        <v>74</v>
      </c>
      <c r="AZ416" t="s">
        <v>74</v>
      </c>
      <c r="BA416" t="s">
        <v>74</v>
      </c>
      <c r="BB416" t="s">
        <v>74</v>
      </c>
      <c r="BC416" t="s">
        <v>74</v>
      </c>
      <c r="BD416">
        <v>5</v>
      </c>
      <c r="BE416" t="s">
        <v>8164</v>
      </c>
      <c r="BF416" t="str">
        <f>HYPERLINK("http://dx.doi.org/10.3847/1538-4357/aa68e4","http://dx.doi.org/10.3847/1538-4357/aa68e4")</f>
        <v>http://dx.doi.org/10.3847/1538-4357/aa68e4</v>
      </c>
      <c r="BG416" t="s">
        <v>74</v>
      </c>
      <c r="BH416" t="s">
        <v>74</v>
      </c>
      <c r="BI416">
        <v>8</v>
      </c>
      <c r="BJ416" t="s">
        <v>494</v>
      </c>
      <c r="BK416" t="s">
        <v>103</v>
      </c>
      <c r="BL416" t="s">
        <v>494</v>
      </c>
      <c r="BM416" t="s">
        <v>8165</v>
      </c>
      <c r="BN416" t="s">
        <v>74</v>
      </c>
      <c r="BO416" t="s">
        <v>5713</v>
      </c>
      <c r="BP416" t="s">
        <v>74</v>
      </c>
      <c r="BQ416" t="s">
        <v>74</v>
      </c>
      <c r="BR416" t="s">
        <v>106</v>
      </c>
      <c r="BS416" t="s">
        <v>8166</v>
      </c>
      <c r="BT416" t="str">
        <f>HYPERLINK("https%3A%2F%2Fwww.webofscience.com%2Fwos%2Fwoscc%2Ffull-record%2FWOS:000399122600001","View Full Record in Web of Science")</f>
        <v>View Full Record in Web of Science</v>
      </c>
    </row>
    <row r="417" spans="1:72" x14ac:dyDescent="0.15">
      <c r="A417" t="s">
        <v>72</v>
      </c>
      <c r="B417" t="s">
        <v>8167</v>
      </c>
      <c r="C417" t="s">
        <v>74</v>
      </c>
      <c r="D417" t="s">
        <v>74</v>
      </c>
      <c r="E417" t="s">
        <v>74</v>
      </c>
      <c r="F417" t="s">
        <v>8168</v>
      </c>
      <c r="G417" t="s">
        <v>74</v>
      </c>
      <c r="H417" t="s">
        <v>74</v>
      </c>
      <c r="I417" t="s">
        <v>8169</v>
      </c>
      <c r="J417" t="s">
        <v>4384</v>
      </c>
      <c r="K417" t="s">
        <v>74</v>
      </c>
      <c r="L417" t="s">
        <v>74</v>
      </c>
      <c r="M417" t="s">
        <v>78</v>
      </c>
      <c r="N417" t="s">
        <v>79</v>
      </c>
      <c r="O417" t="s">
        <v>74</v>
      </c>
      <c r="P417" t="s">
        <v>74</v>
      </c>
      <c r="Q417" t="s">
        <v>74</v>
      </c>
      <c r="R417" t="s">
        <v>74</v>
      </c>
      <c r="S417" t="s">
        <v>74</v>
      </c>
      <c r="T417" t="s">
        <v>8170</v>
      </c>
      <c r="U417" t="s">
        <v>8171</v>
      </c>
      <c r="V417" t="s">
        <v>8172</v>
      </c>
      <c r="W417" t="s">
        <v>8173</v>
      </c>
      <c r="X417" t="s">
        <v>8174</v>
      </c>
      <c r="Y417" t="s">
        <v>8175</v>
      </c>
      <c r="Z417" t="s">
        <v>8176</v>
      </c>
      <c r="AA417" t="s">
        <v>8177</v>
      </c>
      <c r="AB417" t="s">
        <v>8178</v>
      </c>
      <c r="AC417" t="s">
        <v>8179</v>
      </c>
      <c r="AD417" t="s">
        <v>8180</v>
      </c>
      <c r="AE417" t="s">
        <v>8181</v>
      </c>
      <c r="AF417" t="s">
        <v>74</v>
      </c>
      <c r="AG417">
        <v>57</v>
      </c>
      <c r="AH417">
        <v>18</v>
      </c>
      <c r="AI417">
        <v>18</v>
      </c>
      <c r="AJ417">
        <v>4</v>
      </c>
      <c r="AK417">
        <v>45</v>
      </c>
      <c r="AL417" t="s">
        <v>1141</v>
      </c>
      <c r="AM417" t="s">
        <v>318</v>
      </c>
      <c r="AN417" t="s">
        <v>1142</v>
      </c>
      <c r="AO417" t="s">
        <v>4397</v>
      </c>
      <c r="AP417" t="s">
        <v>4398</v>
      </c>
      <c r="AQ417" t="s">
        <v>74</v>
      </c>
      <c r="AR417" t="s">
        <v>4399</v>
      </c>
      <c r="AS417" t="s">
        <v>4400</v>
      </c>
      <c r="AT417" t="s">
        <v>8163</v>
      </c>
      <c r="AU417">
        <v>2017</v>
      </c>
      <c r="AV417">
        <v>349</v>
      </c>
      <c r="AW417" t="s">
        <v>74</v>
      </c>
      <c r="AX417" t="s">
        <v>74</v>
      </c>
      <c r="AY417" t="s">
        <v>74</v>
      </c>
      <c r="AZ417" t="s">
        <v>74</v>
      </c>
      <c r="BA417" t="s">
        <v>74</v>
      </c>
      <c r="BB417">
        <v>69</v>
      </c>
      <c r="BC417">
        <v>75</v>
      </c>
      <c r="BD417" t="s">
        <v>74</v>
      </c>
      <c r="BE417" t="s">
        <v>8182</v>
      </c>
      <c r="BF417" t="str">
        <f>HYPERLINK("http://dx.doi.org/10.1016/j.ecolmodel.2016.12.021","http://dx.doi.org/10.1016/j.ecolmodel.2016.12.021")</f>
        <v>http://dx.doi.org/10.1016/j.ecolmodel.2016.12.021</v>
      </c>
      <c r="BG417" t="s">
        <v>74</v>
      </c>
      <c r="BH417" t="s">
        <v>74</v>
      </c>
      <c r="BI417">
        <v>7</v>
      </c>
      <c r="BJ417" t="s">
        <v>992</v>
      </c>
      <c r="BK417" t="s">
        <v>103</v>
      </c>
      <c r="BL417" t="s">
        <v>993</v>
      </c>
      <c r="BM417" t="s">
        <v>8183</v>
      </c>
      <c r="BN417" t="s">
        <v>74</v>
      </c>
      <c r="BO417" t="s">
        <v>384</v>
      </c>
      <c r="BP417" t="s">
        <v>74</v>
      </c>
      <c r="BQ417" t="s">
        <v>74</v>
      </c>
      <c r="BR417" t="s">
        <v>106</v>
      </c>
      <c r="BS417" t="s">
        <v>8184</v>
      </c>
      <c r="BT417" t="str">
        <f>HYPERLINK("https%3A%2F%2Fwww.webofscience.com%2Fwos%2Fwoscc%2Ffull-record%2FWOS:000396973500008","View Full Record in Web of Science")</f>
        <v>View Full Record in Web of Science</v>
      </c>
    </row>
    <row r="418" spans="1:72" x14ac:dyDescent="0.15">
      <c r="A418" t="s">
        <v>72</v>
      </c>
      <c r="B418" t="s">
        <v>8185</v>
      </c>
      <c r="C418" t="s">
        <v>74</v>
      </c>
      <c r="D418" t="s">
        <v>74</v>
      </c>
      <c r="E418" t="s">
        <v>74</v>
      </c>
      <c r="F418" t="s">
        <v>8186</v>
      </c>
      <c r="G418" t="s">
        <v>74</v>
      </c>
      <c r="H418" t="s">
        <v>74</v>
      </c>
      <c r="I418" t="s">
        <v>8187</v>
      </c>
      <c r="J418" t="s">
        <v>3441</v>
      </c>
      <c r="K418" t="s">
        <v>74</v>
      </c>
      <c r="L418" t="s">
        <v>74</v>
      </c>
      <c r="M418" t="s">
        <v>78</v>
      </c>
      <c r="N418" t="s">
        <v>79</v>
      </c>
      <c r="O418" t="s">
        <v>74</v>
      </c>
      <c r="P418" t="s">
        <v>74</v>
      </c>
      <c r="Q418" t="s">
        <v>74</v>
      </c>
      <c r="R418" t="s">
        <v>74</v>
      </c>
      <c r="S418" t="s">
        <v>74</v>
      </c>
      <c r="T418" t="s">
        <v>8188</v>
      </c>
      <c r="U418" t="s">
        <v>8189</v>
      </c>
      <c r="V418" t="s">
        <v>8190</v>
      </c>
      <c r="W418" t="s">
        <v>8191</v>
      </c>
      <c r="X418" t="s">
        <v>8192</v>
      </c>
      <c r="Y418" t="s">
        <v>8193</v>
      </c>
      <c r="Z418" t="s">
        <v>8194</v>
      </c>
      <c r="AA418" t="s">
        <v>8195</v>
      </c>
      <c r="AB418" t="s">
        <v>74</v>
      </c>
      <c r="AC418" t="s">
        <v>74</v>
      </c>
      <c r="AD418" t="s">
        <v>74</v>
      </c>
      <c r="AE418" t="s">
        <v>74</v>
      </c>
      <c r="AF418" t="s">
        <v>74</v>
      </c>
      <c r="AG418">
        <v>55</v>
      </c>
      <c r="AH418">
        <v>24</v>
      </c>
      <c r="AI418">
        <v>24</v>
      </c>
      <c r="AJ418">
        <v>4</v>
      </c>
      <c r="AK418">
        <v>80</v>
      </c>
      <c r="AL418" t="s">
        <v>3454</v>
      </c>
      <c r="AM418" t="s">
        <v>3455</v>
      </c>
      <c r="AN418" t="s">
        <v>3456</v>
      </c>
      <c r="AO418" t="s">
        <v>3457</v>
      </c>
      <c r="AP418" t="s">
        <v>3458</v>
      </c>
      <c r="AQ418" t="s">
        <v>74</v>
      </c>
      <c r="AR418" t="s">
        <v>3459</v>
      </c>
      <c r="AS418" t="s">
        <v>3460</v>
      </c>
      <c r="AT418" t="s">
        <v>8196</v>
      </c>
      <c r="AU418">
        <v>2017</v>
      </c>
      <c r="AV418">
        <v>569</v>
      </c>
      <c r="AW418" t="s">
        <v>74</v>
      </c>
      <c r="AX418" t="s">
        <v>74</v>
      </c>
      <c r="AY418" t="s">
        <v>74</v>
      </c>
      <c r="AZ418" t="s">
        <v>74</v>
      </c>
      <c r="BA418" t="s">
        <v>74</v>
      </c>
      <c r="BB418">
        <v>37</v>
      </c>
      <c r="BC418">
        <v>54</v>
      </c>
      <c r="BD418" t="s">
        <v>74</v>
      </c>
      <c r="BE418" t="s">
        <v>8197</v>
      </c>
      <c r="BF418" t="str">
        <f>HYPERLINK("http://dx.doi.org/10.3354/meps12100","http://dx.doi.org/10.3354/meps12100")</f>
        <v>http://dx.doi.org/10.3354/meps12100</v>
      </c>
      <c r="BG418" t="s">
        <v>74</v>
      </c>
      <c r="BH418" t="s">
        <v>74</v>
      </c>
      <c r="BI418">
        <v>18</v>
      </c>
      <c r="BJ418" t="s">
        <v>3463</v>
      </c>
      <c r="BK418" t="s">
        <v>103</v>
      </c>
      <c r="BL418" t="s">
        <v>3464</v>
      </c>
      <c r="BM418" t="s">
        <v>8198</v>
      </c>
      <c r="BN418" t="s">
        <v>74</v>
      </c>
      <c r="BO418" t="s">
        <v>74</v>
      </c>
      <c r="BP418" t="s">
        <v>74</v>
      </c>
      <c r="BQ418" t="s">
        <v>74</v>
      </c>
      <c r="BR418" t="s">
        <v>106</v>
      </c>
      <c r="BS418" t="s">
        <v>8199</v>
      </c>
      <c r="BT418" t="str">
        <f>HYPERLINK("https%3A%2F%2Fwww.webofscience.com%2Fwos%2Fwoscc%2Ffull-record%2FWOS:000400344700004","View Full Record in Web of Science")</f>
        <v>View Full Record in Web of Science</v>
      </c>
    </row>
    <row r="419" spans="1:72" x14ac:dyDescent="0.15">
      <c r="A419" t="s">
        <v>72</v>
      </c>
      <c r="B419" t="s">
        <v>8200</v>
      </c>
      <c r="C419" t="s">
        <v>74</v>
      </c>
      <c r="D419" t="s">
        <v>74</v>
      </c>
      <c r="E419" t="s">
        <v>74</v>
      </c>
      <c r="F419" t="s">
        <v>8201</v>
      </c>
      <c r="G419" t="s">
        <v>74</v>
      </c>
      <c r="H419" t="s">
        <v>74</v>
      </c>
      <c r="I419" t="s">
        <v>8202</v>
      </c>
      <c r="J419" t="s">
        <v>4044</v>
      </c>
      <c r="K419" t="s">
        <v>74</v>
      </c>
      <c r="L419" t="s">
        <v>74</v>
      </c>
      <c r="M419" t="s">
        <v>78</v>
      </c>
      <c r="N419" t="s">
        <v>79</v>
      </c>
      <c r="O419" t="s">
        <v>74</v>
      </c>
      <c r="P419" t="s">
        <v>74</v>
      </c>
      <c r="Q419" t="s">
        <v>74</v>
      </c>
      <c r="R419" t="s">
        <v>74</v>
      </c>
      <c r="S419" t="s">
        <v>74</v>
      </c>
      <c r="T419" t="s">
        <v>8203</v>
      </c>
      <c r="U419" t="s">
        <v>8204</v>
      </c>
      <c r="V419" t="s">
        <v>8205</v>
      </c>
      <c r="W419" t="s">
        <v>8206</v>
      </c>
      <c r="X419" t="s">
        <v>8207</v>
      </c>
      <c r="Y419" t="s">
        <v>8208</v>
      </c>
      <c r="Z419" t="s">
        <v>8209</v>
      </c>
      <c r="AA419" t="s">
        <v>8210</v>
      </c>
      <c r="AB419" t="s">
        <v>8211</v>
      </c>
      <c r="AC419" t="s">
        <v>8212</v>
      </c>
      <c r="AD419" t="s">
        <v>8213</v>
      </c>
      <c r="AE419" t="s">
        <v>8214</v>
      </c>
      <c r="AF419" t="s">
        <v>74</v>
      </c>
      <c r="AG419">
        <v>108</v>
      </c>
      <c r="AH419">
        <v>12</v>
      </c>
      <c r="AI419">
        <v>22</v>
      </c>
      <c r="AJ419">
        <v>0</v>
      </c>
      <c r="AK419">
        <v>3</v>
      </c>
      <c r="AL419" t="s">
        <v>4052</v>
      </c>
      <c r="AM419" t="s">
        <v>4053</v>
      </c>
      <c r="AN419" t="s">
        <v>8215</v>
      </c>
      <c r="AO419" t="s">
        <v>4055</v>
      </c>
      <c r="AP419" t="s">
        <v>4056</v>
      </c>
      <c r="AQ419" t="s">
        <v>74</v>
      </c>
      <c r="AR419" t="s">
        <v>4044</v>
      </c>
      <c r="AS419" t="s">
        <v>4057</v>
      </c>
      <c r="AT419" t="s">
        <v>8196</v>
      </c>
      <c r="AU419">
        <v>2017</v>
      </c>
      <c r="AV419">
        <v>303</v>
      </c>
      <c r="AW419">
        <v>1</v>
      </c>
      <c r="AX419" t="s">
        <v>74</v>
      </c>
      <c r="AY419" t="s">
        <v>74</v>
      </c>
      <c r="AZ419" t="s">
        <v>74</v>
      </c>
      <c r="BA419" t="s">
        <v>74</v>
      </c>
      <c r="BB419">
        <v>1</v>
      </c>
      <c r="BC419">
        <v>33</v>
      </c>
      <c r="BD419" t="s">
        <v>74</v>
      </c>
      <c r="BE419" t="s">
        <v>8216</v>
      </c>
      <c r="BF419" t="str">
        <f>HYPERLINK("http://dx.doi.org/10.11646/phytotaxa.303.1.1","http://dx.doi.org/10.11646/phytotaxa.303.1.1")</f>
        <v>http://dx.doi.org/10.11646/phytotaxa.303.1.1</v>
      </c>
      <c r="BG419" t="s">
        <v>74</v>
      </c>
      <c r="BH419" t="s">
        <v>74</v>
      </c>
      <c r="BI419">
        <v>33</v>
      </c>
      <c r="BJ419" t="s">
        <v>102</v>
      </c>
      <c r="BK419" t="s">
        <v>103</v>
      </c>
      <c r="BL419" t="s">
        <v>102</v>
      </c>
      <c r="BM419" t="s">
        <v>8217</v>
      </c>
      <c r="BN419" t="s">
        <v>74</v>
      </c>
      <c r="BO419" t="s">
        <v>74</v>
      </c>
      <c r="BP419" t="s">
        <v>74</v>
      </c>
      <c r="BQ419" t="s">
        <v>74</v>
      </c>
      <c r="BR419" t="s">
        <v>106</v>
      </c>
      <c r="BS419" t="s">
        <v>8218</v>
      </c>
      <c r="BT419" t="str">
        <f>HYPERLINK("https%3A%2F%2Fwww.webofscience.com%2Fwos%2Fwoscc%2Ffull-record%2FWOS:000399418700001","View Full Record in Web of Science")</f>
        <v>View Full Record in Web of Science</v>
      </c>
    </row>
    <row r="420" spans="1:72" x14ac:dyDescent="0.15">
      <c r="A420" t="s">
        <v>72</v>
      </c>
      <c r="B420" t="s">
        <v>8219</v>
      </c>
      <c r="C420" t="s">
        <v>74</v>
      </c>
      <c r="D420" t="s">
        <v>74</v>
      </c>
      <c r="E420" t="s">
        <v>74</v>
      </c>
      <c r="F420" t="s">
        <v>8220</v>
      </c>
      <c r="G420" t="s">
        <v>74</v>
      </c>
      <c r="H420" t="s">
        <v>74</v>
      </c>
      <c r="I420" t="s">
        <v>8221</v>
      </c>
      <c r="J420" t="s">
        <v>4064</v>
      </c>
      <c r="K420" t="s">
        <v>74</v>
      </c>
      <c r="L420" t="s">
        <v>74</v>
      </c>
      <c r="M420" t="s">
        <v>78</v>
      </c>
      <c r="N420" t="s">
        <v>79</v>
      </c>
      <c r="O420" t="s">
        <v>74</v>
      </c>
      <c r="P420" t="s">
        <v>74</v>
      </c>
      <c r="Q420" t="s">
        <v>74</v>
      </c>
      <c r="R420" t="s">
        <v>74</v>
      </c>
      <c r="S420" t="s">
        <v>74</v>
      </c>
      <c r="T420" t="s">
        <v>8222</v>
      </c>
      <c r="U420" t="s">
        <v>8223</v>
      </c>
      <c r="V420" t="s">
        <v>8224</v>
      </c>
      <c r="W420" t="s">
        <v>8225</v>
      </c>
      <c r="X420" t="s">
        <v>8226</v>
      </c>
      <c r="Y420" t="s">
        <v>8227</v>
      </c>
      <c r="Z420" t="s">
        <v>8228</v>
      </c>
      <c r="AA420" t="s">
        <v>8229</v>
      </c>
      <c r="AB420" t="s">
        <v>8230</v>
      </c>
      <c r="AC420" t="s">
        <v>8231</v>
      </c>
      <c r="AD420" t="s">
        <v>8231</v>
      </c>
      <c r="AE420" t="s">
        <v>8232</v>
      </c>
      <c r="AF420" t="s">
        <v>74</v>
      </c>
      <c r="AG420">
        <v>99</v>
      </c>
      <c r="AH420">
        <v>44</v>
      </c>
      <c r="AI420">
        <v>52</v>
      </c>
      <c r="AJ420">
        <v>5</v>
      </c>
      <c r="AK420">
        <v>44</v>
      </c>
      <c r="AL420" t="s">
        <v>3510</v>
      </c>
      <c r="AM420" t="s">
        <v>3511</v>
      </c>
      <c r="AN420" t="s">
        <v>3512</v>
      </c>
      <c r="AO420" t="s">
        <v>74</v>
      </c>
      <c r="AP420" t="s">
        <v>4077</v>
      </c>
      <c r="AQ420" t="s">
        <v>74</v>
      </c>
      <c r="AR420" t="s">
        <v>4078</v>
      </c>
      <c r="AS420" t="s">
        <v>4079</v>
      </c>
      <c r="AT420" t="s">
        <v>8196</v>
      </c>
      <c r="AU420">
        <v>2017</v>
      </c>
      <c r="AV420">
        <v>8</v>
      </c>
      <c r="AW420" t="s">
        <v>74</v>
      </c>
      <c r="AX420" t="s">
        <v>74</v>
      </c>
      <c r="AY420" t="s">
        <v>74</v>
      </c>
      <c r="AZ420" t="s">
        <v>74</v>
      </c>
      <c r="BA420" t="s">
        <v>74</v>
      </c>
      <c r="BB420" t="s">
        <v>74</v>
      </c>
      <c r="BC420" t="s">
        <v>74</v>
      </c>
      <c r="BD420">
        <v>591</v>
      </c>
      <c r="BE420" t="s">
        <v>8233</v>
      </c>
      <c r="BF420" t="str">
        <f>HYPERLINK("http://dx.doi.org/10.3389/fmicb.2017.00591","http://dx.doi.org/10.3389/fmicb.2017.00591")</f>
        <v>http://dx.doi.org/10.3389/fmicb.2017.00591</v>
      </c>
      <c r="BG420" t="s">
        <v>74</v>
      </c>
      <c r="BH420" t="s">
        <v>74</v>
      </c>
      <c r="BI420">
        <v>14</v>
      </c>
      <c r="BJ420" t="s">
        <v>410</v>
      </c>
      <c r="BK420" t="s">
        <v>103</v>
      </c>
      <c r="BL420" t="s">
        <v>410</v>
      </c>
      <c r="BM420" t="s">
        <v>8234</v>
      </c>
      <c r="BN420">
        <v>28439263</v>
      </c>
      <c r="BO420" t="s">
        <v>3118</v>
      </c>
      <c r="BP420" t="s">
        <v>74</v>
      </c>
      <c r="BQ420" t="s">
        <v>74</v>
      </c>
      <c r="BR420" t="s">
        <v>106</v>
      </c>
      <c r="BS420" t="s">
        <v>8235</v>
      </c>
      <c r="BT420" t="str">
        <f>HYPERLINK("https%3A%2F%2Fwww.webofscience.com%2Fwos%2Fwoscc%2Ffull-record%2FWOS:000398617400001","View Full Record in Web of Science")</f>
        <v>View Full Record in Web of Science</v>
      </c>
    </row>
    <row r="421" spans="1:72" x14ac:dyDescent="0.15">
      <c r="A421" t="s">
        <v>72</v>
      </c>
      <c r="B421" t="s">
        <v>8236</v>
      </c>
      <c r="C421" t="s">
        <v>74</v>
      </c>
      <c r="D421" t="s">
        <v>74</v>
      </c>
      <c r="E421" t="s">
        <v>74</v>
      </c>
      <c r="F421" t="s">
        <v>8237</v>
      </c>
      <c r="G421" t="s">
        <v>74</v>
      </c>
      <c r="H421" t="s">
        <v>74</v>
      </c>
      <c r="I421" t="s">
        <v>8238</v>
      </c>
      <c r="J421" t="s">
        <v>3441</v>
      </c>
      <c r="K421" t="s">
        <v>74</v>
      </c>
      <c r="L421" t="s">
        <v>74</v>
      </c>
      <c r="M421" t="s">
        <v>78</v>
      </c>
      <c r="N421" t="s">
        <v>79</v>
      </c>
      <c r="O421" t="s">
        <v>74</v>
      </c>
      <c r="P421" t="s">
        <v>74</v>
      </c>
      <c r="Q421" t="s">
        <v>74</v>
      </c>
      <c r="R421" t="s">
        <v>74</v>
      </c>
      <c r="S421" t="s">
        <v>74</v>
      </c>
      <c r="T421" t="s">
        <v>8239</v>
      </c>
      <c r="U421" t="s">
        <v>8240</v>
      </c>
      <c r="V421" t="s">
        <v>8241</v>
      </c>
      <c r="W421" t="s">
        <v>8242</v>
      </c>
      <c r="X421" t="s">
        <v>8243</v>
      </c>
      <c r="Y421" t="s">
        <v>8244</v>
      </c>
      <c r="Z421" t="s">
        <v>8245</v>
      </c>
      <c r="AA421" t="s">
        <v>8246</v>
      </c>
      <c r="AB421" t="s">
        <v>8247</v>
      </c>
      <c r="AC421" t="s">
        <v>8248</v>
      </c>
      <c r="AD421" t="s">
        <v>8249</v>
      </c>
      <c r="AE421" t="s">
        <v>8250</v>
      </c>
      <c r="AF421" t="s">
        <v>74</v>
      </c>
      <c r="AG421">
        <v>67</v>
      </c>
      <c r="AH421">
        <v>30</v>
      </c>
      <c r="AI421">
        <v>30</v>
      </c>
      <c r="AJ421">
        <v>1</v>
      </c>
      <c r="AK421">
        <v>45</v>
      </c>
      <c r="AL421" t="s">
        <v>3454</v>
      </c>
      <c r="AM421" t="s">
        <v>3455</v>
      </c>
      <c r="AN421" t="s">
        <v>3456</v>
      </c>
      <c r="AO421" t="s">
        <v>3457</v>
      </c>
      <c r="AP421" t="s">
        <v>3458</v>
      </c>
      <c r="AQ421" t="s">
        <v>74</v>
      </c>
      <c r="AR421" t="s">
        <v>3459</v>
      </c>
      <c r="AS421" t="s">
        <v>3460</v>
      </c>
      <c r="AT421" t="s">
        <v>8196</v>
      </c>
      <c r="AU421">
        <v>2017</v>
      </c>
      <c r="AV421">
        <v>569</v>
      </c>
      <c r="AW421" t="s">
        <v>74</v>
      </c>
      <c r="AX421" t="s">
        <v>74</v>
      </c>
      <c r="AY421" t="s">
        <v>74</v>
      </c>
      <c r="AZ421" t="s">
        <v>74</v>
      </c>
      <c r="BA421" t="s">
        <v>74</v>
      </c>
      <c r="BB421">
        <v>173</v>
      </c>
      <c r="BC421">
        <v>185</v>
      </c>
      <c r="BD421" t="s">
        <v>74</v>
      </c>
      <c r="BE421" t="s">
        <v>8251</v>
      </c>
      <c r="BF421" t="str">
        <f>HYPERLINK("http://dx.doi.org/10.3354/meps12093","http://dx.doi.org/10.3354/meps12093")</f>
        <v>http://dx.doi.org/10.3354/meps12093</v>
      </c>
      <c r="BG421" t="s">
        <v>74</v>
      </c>
      <c r="BH421" t="s">
        <v>74</v>
      </c>
      <c r="BI421">
        <v>13</v>
      </c>
      <c r="BJ421" t="s">
        <v>3463</v>
      </c>
      <c r="BK421" t="s">
        <v>103</v>
      </c>
      <c r="BL421" t="s">
        <v>3464</v>
      </c>
      <c r="BM421" t="s">
        <v>8198</v>
      </c>
      <c r="BN421" t="s">
        <v>74</v>
      </c>
      <c r="BO421" t="s">
        <v>1100</v>
      </c>
      <c r="BP421" t="s">
        <v>74</v>
      </c>
      <c r="BQ421" t="s">
        <v>74</v>
      </c>
      <c r="BR421" t="s">
        <v>106</v>
      </c>
      <c r="BS421" t="s">
        <v>8252</v>
      </c>
      <c r="BT421" t="str">
        <f>HYPERLINK("https%3A%2F%2Fwww.webofscience.com%2Fwos%2Fwoscc%2Ffull-record%2FWOS:000400344700013","View Full Record in Web of Science")</f>
        <v>View Full Record in Web of Science</v>
      </c>
    </row>
    <row r="422" spans="1:72" x14ac:dyDescent="0.15">
      <c r="A422" t="s">
        <v>72</v>
      </c>
      <c r="B422" t="s">
        <v>8253</v>
      </c>
      <c r="C422" t="s">
        <v>74</v>
      </c>
      <c r="D422" t="s">
        <v>74</v>
      </c>
      <c r="E422" t="s">
        <v>74</v>
      </c>
      <c r="F422" t="s">
        <v>8254</v>
      </c>
      <c r="G422" t="s">
        <v>74</v>
      </c>
      <c r="H422" t="s">
        <v>74</v>
      </c>
      <c r="I422" t="s">
        <v>8255</v>
      </c>
      <c r="J422" t="s">
        <v>3661</v>
      </c>
      <c r="K422" t="s">
        <v>74</v>
      </c>
      <c r="L422" t="s">
        <v>74</v>
      </c>
      <c r="M422" t="s">
        <v>78</v>
      </c>
      <c r="N422" t="s">
        <v>79</v>
      </c>
      <c r="O422" t="s">
        <v>74</v>
      </c>
      <c r="P422" t="s">
        <v>74</v>
      </c>
      <c r="Q422" t="s">
        <v>74</v>
      </c>
      <c r="R422" t="s">
        <v>74</v>
      </c>
      <c r="S422" t="s">
        <v>74</v>
      </c>
      <c r="T422" t="s">
        <v>74</v>
      </c>
      <c r="U422" t="s">
        <v>8256</v>
      </c>
      <c r="V422" t="s">
        <v>8257</v>
      </c>
      <c r="W422" t="s">
        <v>8258</v>
      </c>
      <c r="X422" t="s">
        <v>8259</v>
      </c>
      <c r="Y422" t="s">
        <v>8260</v>
      </c>
      <c r="Z422" t="s">
        <v>8261</v>
      </c>
      <c r="AA422" t="s">
        <v>8262</v>
      </c>
      <c r="AB422" t="s">
        <v>74</v>
      </c>
      <c r="AC422" t="s">
        <v>8263</v>
      </c>
      <c r="AD422" t="s">
        <v>8264</v>
      </c>
      <c r="AE422" t="s">
        <v>8265</v>
      </c>
      <c r="AF422" t="s">
        <v>74</v>
      </c>
      <c r="AG422">
        <v>43</v>
      </c>
      <c r="AH422">
        <v>33</v>
      </c>
      <c r="AI422">
        <v>36</v>
      </c>
      <c r="AJ422">
        <v>3</v>
      </c>
      <c r="AK422">
        <v>50</v>
      </c>
      <c r="AL422" t="s">
        <v>3671</v>
      </c>
      <c r="AM422" t="s">
        <v>3672</v>
      </c>
      <c r="AN422" t="s">
        <v>3673</v>
      </c>
      <c r="AO422" t="s">
        <v>3674</v>
      </c>
      <c r="AP422" t="s">
        <v>74</v>
      </c>
      <c r="AQ422" t="s">
        <v>74</v>
      </c>
      <c r="AR422" t="s">
        <v>3675</v>
      </c>
      <c r="AS422" t="s">
        <v>3676</v>
      </c>
      <c r="AT422" t="s">
        <v>8266</v>
      </c>
      <c r="AU422">
        <v>2017</v>
      </c>
      <c r="AV422">
        <v>7</v>
      </c>
      <c r="AW422" t="s">
        <v>74</v>
      </c>
      <c r="AX422" t="s">
        <v>74</v>
      </c>
      <c r="AY422" t="s">
        <v>74</v>
      </c>
      <c r="AZ422" t="s">
        <v>74</v>
      </c>
      <c r="BA422" t="s">
        <v>74</v>
      </c>
      <c r="BB422" t="s">
        <v>74</v>
      </c>
      <c r="BC422" t="s">
        <v>74</v>
      </c>
      <c r="BD422">
        <v>45804</v>
      </c>
      <c r="BE422" t="s">
        <v>8267</v>
      </c>
      <c r="BF422" t="str">
        <f>HYPERLINK("http://dx.doi.org/10.1038/srep45804","http://dx.doi.org/10.1038/srep45804")</f>
        <v>http://dx.doi.org/10.1038/srep45804</v>
      </c>
      <c r="BG422" t="s">
        <v>74</v>
      </c>
      <c r="BH422" t="s">
        <v>74</v>
      </c>
      <c r="BI422">
        <v>10</v>
      </c>
      <c r="BJ422" t="s">
        <v>1617</v>
      </c>
      <c r="BK422" t="s">
        <v>103</v>
      </c>
      <c r="BL422" t="s">
        <v>1618</v>
      </c>
      <c r="BM422" t="s">
        <v>8268</v>
      </c>
      <c r="BN422">
        <v>28378830</v>
      </c>
      <c r="BO422" t="s">
        <v>3118</v>
      </c>
      <c r="BP422" t="s">
        <v>74</v>
      </c>
      <c r="BQ422" t="s">
        <v>74</v>
      </c>
      <c r="BR422" t="s">
        <v>106</v>
      </c>
      <c r="BS422" t="s">
        <v>8269</v>
      </c>
      <c r="BT422" t="str">
        <f>HYPERLINK("https%3A%2F%2Fwww.webofscience.com%2Fwos%2Fwoscc%2Ffull-record%2FWOS:000398382600001","View Full Record in Web of Science")</f>
        <v>View Full Record in Web of Science</v>
      </c>
    </row>
    <row r="423" spans="1:72" x14ac:dyDescent="0.15">
      <c r="A423" t="s">
        <v>72</v>
      </c>
      <c r="B423" t="s">
        <v>8270</v>
      </c>
      <c r="C423" t="s">
        <v>74</v>
      </c>
      <c r="D423" t="s">
        <v>74</v>
      </c>
      <c r="E423" t="s">
        <v>74</v>
      </c>
      <c r="F423" t="s">
        <v>8271</v>
      </c>
      <c r="G423" t="s">
        <v>74</v>
      </c>
      <c r="H423" t="s">
        <v>74</v>
      </c>
      <c r="I423" t="s">
        <v>8272</v>
      </c>
      <c r="J423" t="s">
        <v>3661</v>
      </c>
      <c r="K423" t="s">
        <v>74</v>
      </c>
      <c r="L423" t="s">
        <v>74</v>
      </c>
      <c r="M423" t="s">
        <v>78</v>
      </c>
      <c r="N423" t="s">
        <v>79</v>
      </c>
      <c r="O423" t="s">
        <v>74</v>
      </c>
      <c r="P423" t="s">
        <v>74</v>
      </c>
      <c r="Q423" t="s">
        <v>74</v>
      </c>
      <c r="R423" t="s">
        <v>74</v>
      </c>
      <c r="S423" t="s">
        <v>74</v>
      </c>
      <c r="T423" t="s">
        <v>74</v>
      </c>
      <c r="U423" t="s">
        <v>8273</v>
      </c>
      <c r="V423" t="s">
        <v>8274</v>
      </c>
      <c r="W423" t="s">
        <v>8275</v>
      </c>
      <c r="X423" t="s">
        <v>8276</v>
      </c>
      <c r="Y423" t="s">
        <v>8277</v>
      </c>
      <c r="Z423" t="s">
        <v>8278</v>
      </c>
      <c r="AA423" t="s">
        <v>8279</v>
      </c>
      <c r="AB423" t="s">
        <v>8280</v>
      </c>
      <c r="AC423" t="s">
        <v>74</v>
      </c>
      <c r="AD423" t="s">
        <v>74</v>
      </c>
      <c r="AE423" t="s">
        <v>74</v>
      </c>
      <c r="AF423" t="s">
        <v>74</v>
      </c>
      <c r="AG423">
        <v>43</v>
      </c>
      <c r="AH423">
        <v>69</v>
      </c>
      <c r="AI423">
        <v>71</v>
      </c>
      <c r="AJ423">
        <v>7</v>
      </c>
      <c r="AK423">
        <v>88</v>
      </c>
      <c r="AL423" t="s">
        <v>3671</v>
      </c>
      <c r="AM423" t="s">
        <v>3672</v>
      </c>
      <c r="AN423" t="s">
        <v>3673</v>
      </c>
      <c r="AO423" t="s">
        <v>3674</v>
      </c>
      <c r="AP423" t="s">
        <v>74</v>
      </c>
      <c r="AQ423" t="s">
        <v>74</v>
      </c>
      <c r="AR423" t="s">
        <v>3675</v>
      </c>
      <c r="AS423" t="s">
        <v>3676</v>
      </c>
      <c r="AT423" t="s">
        <v>8281</v>
      </c>
      <c r="AU423">
        <v>2017</v>
      </c>
      <c r="AV423">
        <v>7</v>
      </c>
      <c r="AW423" t="s">
        <v>74</v>
      </c>
      <c r="AX423" t="s">
        <v>74</v>
      </c>
      <c r="AY423" t="s">
        <v>74</v>
      </c>
      <c r="AZ423" t="s">
        <v>74</v>
      </c>
      <c r="BA423" t="s">
        <v>74</v>
      </c>
      <c r="BB423" t="s">
        <v>74</v>
      </c>
      <c r="BC423" t="s">
        <v>74</v>
      </c>
      <c r="BD423">
        <v>585</v>
      </c>
      <c r="BE423" t="s">
        <v>8282</v>
      </c>
      <c r="BF423" t="str">
        <f>HYPERLINK("http://dx.doi.org/10.1038/s41598-017-00722-7","http://dx.doi.org/10.1038/s41598-017-00722-7")</f>
        <v>http://dx.doi.org/10.1038/s41598-017-00722-7</v>
      </c>
      <c r="BG423" t="s">
        <v>74</v>
      </c>
      <c r="BH423" t="s">
        <v>74</v>
      </c>
      <c r="BI423">
        <v>8</v>
      </c>
      <c r="BJ423" t="s">
        <v>1617</v>
      </c>
      <c r="BK423" t="s">
        <v>103</v>
      </c>
      <c r="BL423" t="s">
        <v>1618</v>
      </c>
      <c r="BM423" t="s">
        <v>8283</v>
      </c>
      <c r="BN423">
        <v>28373709</v>
      </c>
      <c r="BO423" t="s">
        <v>4540</v>
      </c>
      <c r="BP423" t="s">
        <v>74</v>
      </c>
      <c r="BQ423" t="s">
        <v>74</v>
      </c>
      <c r="BR423" t="s">
        <v>106</v>
      </c>
      <c r="BS423" t="s">
        <v>8284</v>
      </c>
      <c r="BT423" t="str">
        <f>HYPERLINK("https%3A%2F%2Fwww.webofscience.com%2Fwos%2Fwoscc%2Ffull-record%2FWOS:000398135900003","View Full Record in Web of Science")</f>
        <v>View Full Record in Web of Science</v>
      </c>
    </row>
    <row r="424" spans="1:72" x14ac:dyDescent="0.15">
      <c r="A424" t="s">
        <v>72</v>
      </c>
      <c r="B424" t="s">
        <v>8285</v>
      </c>
      <c r="C424" t="s">
        <v>74</v>
      </c>
      <c r="D424" t="s">
        <v>74</v>
      </c>
      <c r="E424" t="s">
        <v>74</v>
      </c>
      <c r="F424" t="s">
        <v>8286</v>
      </c>
      <c r="G424" t="s">
        <v>74</v>
      </c>
      <c r="H424" t="s">
        <v>74</v>
      </c>
      <c r="I424" t="s">
        <v>8287</v>
      </c>
      <c r="J424" t="s">
        <v>8288</v>
      </c>
      <c r="K424" t="s">
        <v>74</v>
      </c>
      <c r="L424" t="s">
        <v>74</v>
      </c>
      <c r="M424" t="s">
        <v>78</v>
      </c>
      <c r="N424" t="s">
        <v>52</v>
      </c>
      <c r="O424" t="s">
        <v>8289</v>
      </c>
      <c r="P424" t="s">
        <v>8290</v>
      </c>
      <c r="Q424" t="s">
        <v>8291</v>
      </c>
      <c r="R424" t="s">
        <v>74</v>
      </c>
      <c r="S424" t="s">
        <v>74</v>
      </c>
      <c r="T424" t="s">
        <v>74</v>
      </c>
      <c r="U424" t="s">
        <v>74</v>
      </c>
      <c r="V424" t="s">
        <v>74</v>
      </c>
      <c r="W424" t="s">
        <v>8292</v>
      </c>
      <c r="X424" t="s">
        <v>8293</v>
      </c>
      <c r="Y424" t="s">
        <v>74</v>
      </c>
      <c r="Z424" t="s">
        <v>8294</v>
      </c>
      <c r="AA424" t="s">
        <v>74</v>
      </c>
      <c r="AB424" t="s">
        <v>74</v>
      </c>
      <c r="AC424" t="s">
        <v>74</v>
      </c>
      <c r="AD424" t="s">
        <v>74</v>
      </c>
      <c r="AE424" t="s">
        <v>74</v>
      </c>
      <c r="AF424" t="s">
        <v>74</v>
      </c>
      <c r="AG424">
        <v>0</v>
      </c>
      <c r="AH424">
        <v>0</v>
      </c>
      <c r="AI424">
        <v>0</v>
      </c>
      <c r="AJ424">
        <v>0</v>
      </c>
      <c r="AK424">
        <v>1</v>
      </c>
      <c r="AL424" t="s">
        <v>2676</v>
      </c>
      <c r="AM424" t="s">
        <v>223</v>
      </c>
      <c r="AN424" t="s">
        <v>2677</v>
      </c>
      <c r="AO424" t="s">
        <v>8295</v>
      </c>
      <c r="AP424" t="s">
        <v>74</v>
      </c>
      <c r="AQ424" t="s">
        <v>74</v>
      </c>
      <c r="AR424" t="s">
        <v>8296</v>
      </c>
      <c r="AS424" t="s">
        <v>8297</v>
      </c>
      <c r="AT424" t="s">
        <v>8298</v>
      </c>
      <c r="AU424">
        <v>2017</v>
      </c>
      <c r="AV424">
        <v>253</v>
      </c>
      <c r="AW424" t="s">
        <v>74</v>
      </c>
      <c r="AX424" t="s">
        <v>74</v>
      </c>
      <c r="AY424" t="s">
        <v>74</v>
      </c>
      <c r="AZ424" t="s">
        <v>74</v>
      </c>
      <c r="BA424">
        <v>298</v>
      </c>
      <c r="BB424" t="s">
        <v>74</v>
      </c>
      <c r="BC424" t="s">
        <v>74</v>
      </c>
      <c r="BD424" t="s">
        <v>74</v>
      </c>
      <c r="BE424" t="s">
        <v>74</v>
      </c>
      <c r="BF424" t="s">
        <v>74</v>
      </c>
      <c r="BG424" t="s">
        <v>74</v>
      </c>
      <c r="BH424" t="s">
        <v>74</v>
      </c>
      <c r="BI424">
        <v>1</v>
      </c>
      <c r="BJ424" t="s">
        <v>5808</v>
      </c>
      <c r="BK424" t="s">
        <v>354</v>
      </c>
      <c r="BL424" t="s">
        <v>5809</v>
      </c>
      <c r="BM424" t="s">
        <v>8299</v>
      </c>
      <c r="BN424" t="s">
        <v>74</v>
      </c>
      <c r="BO424" t="s">
        <v>74</v>
      </c>
      <c r="BP424" t="s">
        <v>74</v>
      </c>
      <c r="BQ424" t="s">
        <v>74</v>
      </c>
      <c r="BR424" t="s">
        <v>106</v>
      </c>
      <c r="BS424" t="s">
        <v>8300</v>
      </c>
      <c r="BT424" t="str">
        <f>HYPERLINK("https%3A%2F%2Fwww.webofscience.com%2Fwos%2Fwoscc%2Ffull-record%2FWOS:000430568501064","View Full Record in Web of Science")</f>
        <v>View Full Record in Web of Science</v>
      </c>
    </row>
    <row r="425" spans="1:72" x14ac:dyDescent="0.15">
      <c r="A425" t="s">
        <v>72</v>
      </c>
      <c r="B425" t="s">
        <v>8301</v>
      </c>
      <c r="C425" t="s">
        <v>74</v>
      </c>
      <c r="D425" t="s">
        <v>74</v>
      </c>
      <c r="E425" t="s">
        <v>74</v>
      </c>
      <c r="F425" t="s">
        <v>8302</v>
      </c>
      <c r="G425" t="s">
        <v>74</v>
      </c>
      <c r="H425" t="s">
        <v>74</v>
      </c>
      <c r="I425" t="s">
        <v>8303</v>
      </c>
      <c r="J425" t="s">
        <v>8288</v>
      </c>
      <c r="K425" t="s">
        <v>74</v>
      </c>
      <c r="L425" t="s">
        <v>74</v>
      </c>
      <c r="M425" t="s">
        <v>78</v>
      </c>
      <c r="N425" t="s">
        <v>52</v>
      </c>
      <c r="O425" t="s">
        <v>8289</v>
      </c>
      <c r="P425" t="s">
        <v>8290</v>
      </c>
      <c r="Q425" t="s">
        <v>8291</v>
      </c>
      <c r="R425" t="s">
        <v>74</v>
      </c>
      <c r="S425" t="s">
        <v>74</v>
      </c>
      <c r="T425" t="s">
        <v>74</v>
      </c>
      <c r="U425" t="s">
        <v>74</v>
      </c>
      <c r="V425" t="s">
        <v>74</v>
      </c>
      <c r="W425" t="s">
        <v>8304</v>
      </c>
      <c r="X425" t="s">
        <v>8305</v>
      </c>
      <c r="Y425" t="s">
        <v>74</v>
      </c>
      <c r="Z425" t="s">
        <v>8306</v>
      </c>
      <c r="AA425" t="s">
        <v>74</v>
      </c>
      <c r="AB425" t="s">
        <v>74</v>
      </c>
      <c r="AC425" t="s">
        <v>74</v>
      </c>
      <c r="AD425" t="s">
        <v>74</v>
      </c>
      <c r="AE425" t="s">
        <v>74</v>
      </c>
      <c r="AF425" t="s">
        <v>74</v>
      </c>
      <c r="AG425">
        <v>0</v>
      </c>
      <c r="AH425">
        <v>0</v>
      </c>
      <c r="AI425">
        <v>0</v>
      </c>
      <c r="AJ425">
        <v>0</v>
      </c>
      <c r="AK425">
        <v>2</v>
      </c>
      <c r="AL425" t="s">
        <v>2676</v>
      </c>
      <c r="AM425" t="s">
        <v>223</v>
      </c>
      <c r="AN425" t="s">
        <v>2677</v>
      </c>
      <c r="AO425" t="s">
        <v>8295</v>
      </c>
      <c r="AP425" t="s">
        <v>74</v>
      </c>
      <c r="AQ425" t="s">
        <v>74</v>
      </c>
      <c r="AR425" t="s">
        <v>8296</v>
      </c>
      <c r="AS425" t="s">
        <v>8297</v>
      </c>
      <c r="AT425" t="s">
        <v>8298</v>
      </c>
      <c r="AU425">
        <v>2017</v>
      </c>
      <c r="AV425">
        <v>253</v>
      </c>
      <c r="AW425" t="s">
        <v>74</v>
      </c>
      <c r="AX425" t="s">
        <v>74</v>
      </c>
      <c r="AY425" t="s">
        <v>74</v>
      </c>
      <c r="AZ425" t="s">
        <v>74</v>
      </c>
      <c r="BA425">
        <v>740</v>
      </c>
      <c r="BB425" t="s">
        <v>74</v>
      </c>
      <c r="BC425" t="s">
        <v>74</v>
      </c>
      <c r="BD425" t="s">
        <v>74</v>
      </c>
      <c r="BE425" t="s">
        <v>74</v>
      </c>
      <c r="BF425" t="s">
        <v>74</v>
      </c>
      <c r="BG425" t="s">
        <v>74</v>
      </c>
      <c r="BH425" t="s">
        <v>74</v>
      </c>
      <c r="BI425">
        <v>1</v>
      </c>
      <c r="BJ425" t="s">
        <v>5808</v>
      </c>
      <c r="BK425" t="s">
        <v>354</v>
      </c>
      <c r="BL425" t="s">
        <v>5809</v>
      </c>
      <c r="BM425" t="s">
        <v>8307</v>
      </c>
      <c r="BN425" t="s">
        <v>74</v>
      </c>
      <c r="BO425" t="s">
        <v>74</v>
      </c>
      <c r="BP425" t="s">
        <v>74</v>
      </c>
      <c r="BQ425" t="s">
        <v>74</v>
      </c>
      <c r="BR425" t="s">
        <v>106</v>
      </c>
      <c r="BS425" t="s">
        <v>8308</v>
      </c>
      <c r="BT425" t="str">
        <f>HYPERLINK("https%3A%2F%2Fwww.webofscience.com%2Fwos%2Fwoscc%2Ffull-record%2FWOS:000430569101312","View Full Record in Web of Science")</f>
        <v>View Full Record in Web of Science</v>
      </c>
    </row>
    <row r="426" spans="1:72" x14ac:dyDescent="0.15">
      <c r="A426" t="s">
        <v>72</v>
      </c>
      <c r="B426" t="s">
        <v>8309</v>
      </c>
      <c r="C426" t="s">
        <v>74</v>
      </c>
      <c r="D426" t="s">
        <v>74</v>
      </c>
      <c r="E426" t="s">
        <v>74</v>
      </c>
      <c r="F426" t="s">
        <v>8310</v>
      </c>
      <c r="G426" t="s">
        <v>74</v>
      </c>
      <c r="H426" t="s">
        <v>74</v>
      </c>
      <c r="I426" t="s">
        <v>8311</v>
      </c>
      <c r="J426" t="s">
        <v>8288</v>
      </c>
      <c r="K426" t="s">
        <v>74</v>
      </c>
      <c r="L426" t="s">
        <v>74</v>
      </c>
      <c r="M426" t="s">
        <v>78</v>
      </c>
      <c r="N426" t="s">
        <v>52</v>
      </c>
      <c r="O426" t="s">
        <v>8289</v>
      </c>
      <c r="P426" t="s">
        <v>8290</v>
      </c>
      <c r="Q426" t="s">
        <v>8291</v>
      </c>
      <c r="R426" t="s">
        <v>74</v>
      </c>
      <c r="S426" t="s">
        <v>74</v>
      </c>
      <c r="T426" t="s">
        <v>74</v>
      </c>
      <c r="U426" t="s">
        <v>74</v>
      </c>
      <c r="V426" t="s">
        <v>74</v>
      </c>
      <c r="W426" t="s">
        <v>8312</v>
      </c>
      <c r="X426" t="s">
        <v>5529</v>
      </c>
      <c r="Y426" t="s">
        <v>74</v>
      </c>
      <c r="Z426" t="s">
        <v>8313</v>
      </c>
      <c r="AA426" t="s">
        <v>74</v>
      </c>
      <c r="AB426" t="s">
        <v>74</v>
      </c>
      <c r="AC426" t="s">
        <v>74</v>
      </c>
      <c r="AD426" t="s">
        <v>74</v>
      </c>
      <c r="AE426" t="s">
        <v>74</v>
      </c>
      <c r="AF426" t="s">
        <v>74</v>
      </c>
      <c r="AG426">
        <v>0</v>
      </c>
      <c r="AH426">
        <v>0</v>
      </c>
      <c r="AI426">
        <v>0</v>
      </c>
      <c r="AJ426">
        <v>0</v>
      </c>
      <c r="AK426">
        <v>0</v>
      </c>
      <c r="AL426" t="s">
        <v>2676</v>
      </c>
      <c r="AM426" t="s">
        <v>223</v>
      </c>
      <c r="AN426" t="s">
        <v>2677</v>
      </c>
      <c r="AO426" t="s">
        <v>8295</v>
      </c>
      <c r="AP426" t="s">
        <v>74</v>
      </c>
      <c r="AQ426" t="s">
        <v>74</v>
      </c>
      <c r="AR426" t="s">
        <v>8296</v>
      </c>
      <c r="AS426" t="s">
        <v>8297</v>
      </c>
      <c r="AT426" t="s">
        <v>8298</v>
      </c>
      <c r="AU426">
        <v>2017</v>
      </c>
      <c r="AV426">
        <v>253</v>
      </c>
      <c r="AW426" t="s">
        <v>74</v>
      </c>
      <c r="AX426" t="s">
        <v>74</v>
      </c>
      <c r="AY426" t="s">
        <v>74</v>
      </c>
      <c r="AZ426" t="s">
        <v>74</v>
      </c>
      <c r="BA426">
        <v>267</v>
      </c>
      <c r="BB426" t="s">
        <v>74</v>
      </c>
      <c r="BC426" t="s">
        <v>74</v>
      </c>
      <c r="BD426" t="s">
        <v>74</v>
      </c>
      <c r="BE426" t="s">
        <v>74</v>
      </c>
      <c r="BF426" t="s">
        <v>74</v>
      </c>
      <c r="BG426" t="s">
        <v>74</v>
      </c>
      <c r="BH426" t="s">
        <v>74</v>
      </c>
      <c r="BI426">
        <v>1</v>
      </c>
      <c r="BJ426" t="s">
        <v>5808</v>
      </c>
      <c r="BK426" t="s">
        <v>354</v>
      </c>
      <c r="BL426" t="s">
        <v>5809</v>
      </c>
      <c r="BM426" t="s">
        <v>8307</v>
      </c>
      <c r="BN426" t="s">
        <v>74</v>
      </c>
      <c r="BO426" t="s">
        <v>74</v>
      </c>
      <c r="BP426" t="s">
        <v>74</v>
      </c>
      <c r="BQ426" t="s">
        <v>74</v>
      </c>
      <c r="BR426" t="s">
        <v>106</v>
      </c>
      <c r="BS426" t="s">
        <v>8314</v>
      </c>
      <c r="BT426" t="str">
        <f>HYPERLINK("https%3A%2F%2Fwww.webofscience.com%2Fwos%2Fwoscc%2Ffull-record%2FWOS:000430569100719","View Full Record in Web of Science")</f>
        <v>View Full Record in Web of Science</v>
      </c>
    </row>
    <row r="427" spans="1:72" x14ac:dyDescent="0.15">
      <c r="A427" t="s">
        <v>72</v>
      </c>
      <c r="B427" t="s">
        <v>8315</v>
      </c>
      <c r="C427" t="s">
        <v>74</v>
      </c>
      <c r="D427" t="s">
        <v>74</v>
      </c>
      <c r="E427" t="s">
        <v>74</v>
      </c>
      <c r="F427" t="s">
        <v>8316</v>
      </c>
      <c r="G427" t="s">
        <v>74</v>
      </c>
      <c r="H427" t="s">
        <v>74</v>
      </c>
      <c r="I427" t="s">
        <v>8317</v>
      </c>
      <c r="J427" t="s">
        <v>8288</v>
      </c>
      <c r="K427" t="s">
        <v>74</v>
      </c>
      <c r="L427" t="s">
        <v>74</v>
      </c>
      <c r="M427" t="s">
        <v>78</v>
      </c>
      <c r="N427" t="s">
        <v>52</v>
      </c>
      <c r="O427" t="s">
        <v>8289</v>
      </c>
      <c r="P427" t="s">
        <v>8290</v>
      </c>
      <c r="Q427" t="s">
        <v>8291</v>
      </c>
      <c r="R427" t="s">
        <v>74</v>
      </c>
      <c r="S427" t="s">
        <v>74</v>
      </c>
      <c r="T427" t="s">
        <v>74</v>
      </c>
      <c r="U427" t="s">
        <v>74</v>
      </c>
      <c r="V427" t="s">
        <v>74</v>
      </c>
      <c r="W427" t="s">
        <v>8318</v>
      </c>
      <c r="X427" t="s">
        <v>8319</v>
      </c>
      <c r="Y427" t="s">
        <v>74</v>
      </c>
      <c r="Z427" t="s">
        <v>8320</v>
      </c>
      <c r="AA427" t="s">
        <v>74</v>
      </c>
      <c r="AB427" t="s">
        <v>74</v>
      </c>
      <c r="AC427" t="s">
        <v>74</v>
      </c>
      <c r="AD427" t="s">
        <v>74</v>
      </c>
      <c r="AE427" t="s">
        <v>74</v>
      </c>
      <c r="AF427" t="s">
        <v>74</v>
      </c>
      <c r="AG427">
        <v>0</v>
      </c>
      <c r="AH427">
        <v>0</v>
      </c>
      <c r="AI427">
        <v>0</v>
      </c>
      <c r="AJ427">
        <v>0</v>
      </c>
      <c r="AK427">
        <v>1</v>
      </c>
      <c r="AL427" t="s">
        <v>2676</v>
      </c>
      <c r="AM427" t="s">
        <v>223</v>
      </c>
      <c r="AN427" t="s">
        <v>2677</v>
      </c>
      <c r="AO427" t="s">
        <v>8295</v>
      </c>
      <c r="AP427" t="s">
        <v>74</v>
      </c>
      <c r="AQ427" t="s">
        <v>74</v>
      </c>
      <c r="AR427" t="s">
        <v>8296</v>
      </c>
      <c r="AS427" t="s">
        <v>8297</v>
      </c>
      <c r="AT427" t="s">
        <v>8298</v>
      </c>
      <c r="AU427">
        <v>2017</v>
      </c>
      <c r="AV427">
        <v>253</v>
      </c>
      <c r="AW427" t="s">
        <v>74</v>
      </c>
      <c r="AX427" t="s">
        <v>74</v>
      </c>
      <c r="AY427" t="s">
        <v>74</v>
      </c>
      <c r="AZ427" t="s">
        <v>74</v>
      </c>
      <c r="BA427">
        <v>149</v>
      </c>
      <c r="BB427" t="s">
        <v>74</v>
      </c>
      <c r="BC427" t="s">
        <v>74</v>
      </c>
      <c r="BD427" t="s">
        <v>74</v>
      </c>
      <c r="BE427" t="s">
        <v>74</v>
      </c>
      <c r="BF427" t="s">
        <v>74</v>
      </c>
      <c r="BG427" t="s">
        <v>74</v>
      </c>
      <c r="BH427" t="s">
        <v>74</v>
      </c>
      <c r="BI427">
        <v>1</v>
      </c>
      <c r="BJ427" t="s">
        <v>5808</v>
      </c>
      <c r="BK427" t="s">
        <v>354</v>
      </c>
      <c r="BL427" t="s">
        <v>5809</v>
      </c>
      <c r="BM427" t="s">
        <v>8307</v>
      </c>
      <c r="BN427" t="s">
        <v>74</v>
      </c>
      <c r="BO427" t="s">
        <v>74</v>
      </c>
      <c r="BP427" t="s">
        <v>74</v>
      </c>
      <c r="BQ427" t="s">
        <v>74</v>
      </c>
      <c r="BR427" t="s">
        <v>106</v>
      </c>
      <c r="BS427" t="s">
        <v>8321</v>
      </c>
      <c r="BT427" t="str">
        <f>HYPERLINK("https%3A%2F%2Fwww.webofscience.com%2Fwos%2Fwoscc%2Ffull-record%2FWOS:000430569106305","View Full Record in Web of Science")</f>
        <v>View Full Record in Web of Science</v>
      </c>
    </row>
    <row r="428" spans="1:72" x14ac:dyDescent="0.15">
      <c r="A428" t="s">
        <v>72</v>
      </c>
      <c r="B428" t="s">
        <v>8322</v>
      </c>
      <c r="C428" t="s">
        <v>74</v>
      </c>
      <c r="D428" t="s">
        <v>74</v>
      </c>
      <c r="E428" t="s">
        <v>74</v>
      </c>
      <c r="F428" t="s">
        <v>8323</v>
      </c>
      <c r="G428" t="s">
        <v>74</v>
      </c>
      <c r="H428" t="s">
        <v>74</v>
      </c>
      <c r="I428" t="s">
        <v>8324</v>
      </c>
      <c r="J428" t="s">
        <v>1105</v>
      </c>
      <c r="K428" t="s">
        <v>74</v>
      </c>
      <c r="L428" t="s">
        <v>74</v>
      </c>
      <c r="M428" t="s">
        <v>78</v>
      </c>
      <c r="N428" t="s">
        <v>79</v>
      </c>
      <c r="O428" t="s">
        <v>74</v>
      </c>
      <c r="P428" t="s">
        <v>74</v>
      </c>
      <c r="Q428" t="s">
        <v>74</v>
      </c>
      <c r="R428" t="s">
        <v>74</v>
      </c>
      <c r="S428" t="s">
        <v>74</v>
      </c>
      <c r="T428" t="s">
        <v>74</v>
      </c>
      <c r="U428" t="s">
        <v>8325</v>
      </c>
      <c r="V428" t="s">
        <v>8326</v>
      </c>
      <c r="W428" t="s">
        <v>8327</v>
      </c>
      <c r="X428" t="s">
        <v>8328</v>
      </c>
      <c r="Y428" t="s">
        <v>8329</v>
      </c>
      <c r="Z428" t="s">
        <v>8330</v>
      </c>
      <c r="AA428" t="s">
        <v>8331</v>
      </c>
      <c r="AB428" t="s">
        <v>8332</v>
      </c>
      <c r="AC428" t="s">
        <v>8333</v>
      </c>
      <c r="AD428" t="s">
        <v>8334</v>
      </c>
      <c r="AE428" t="s">
        <v>8335</v>
      </c>
      <c r="AF428" t="s">
        <v>74</v>
      </c>
      <c r="AG428">
        <v>35</v>
      </c>
      <c r="AH428">
        <v>29</v>
      </c>
      <c r="AI428">
        <v>32</v>
      </c>
      <c r="AJ428">
        <v>0</v>
      </c>
      <c r="AK428">
        <v>1</v>
      </c>
      <c r="AL428" t="s">
        <v>1115</v>
      </c>
      <c r="AM428" t="s">
        <v>1116</v>
      </c>
      <c r="AN428" t="s">
        <v>1117</v>
      </c>
      <c r="AO428" t="s">
        <v>1118</v>
      </c>
      <c r="AP428" t="s">
        <v>1119</v>
      </c>
      <c r="AQ428" t="s">
        <v>74</v>
      </c>
      <c r="AR428" t="s">
        <v>1120</v>
      </c>
      <c r="AS428" t="s">
        <v>1121</v>
      </c>
      <c r="AT428" t="s">
        <v>8336</v>
      </c>
      <c r="AU428">
        <v>2017</v>
      </c>
      <c r="AV428">
        <v>47</v>
      </c>
      <c r="AW428">
        <v>4</v>
      </c>
      <c r="AX428" t="s">
        <v>74</v>
      </c>
      <c r="AY428" t="s">
        <v>74</v>
      </c>
      <c r="AZ428" t="s">
        <v>74</v>
      </c>
      <c r="BA428" t="s">
        <v>74</v>
      </c>
      <c r="BB428">
        <v>855</v>
      </c>
      <c r="BC428">
        <v>866</v>
      </c>
      <c r="BD428" t="s">
        <v>74</v>
      </c>
      <c r="BE428" t="s">
        <v>8337</v>
      </c>
      <c r="BF428" t="str">
        <f>HYPERLINK("http://dx.doi.org/10.1175/JPO-D-16-0194.1","http://dx.doi.org/10.1175/JPO-D-16-0194.1")</f>
        <v>http://dx.doi.org/10.1175/JPO-D-16-0194.1</v>
      </c>
      <c r="BG428" t="s">
        <v>74</v>
      </c>
      <c r="BH428" t="s">
        <v>74</v>
      </c>
      <c r="BI428">
        <v>12</v>
      </c>
      <c r="BJ428" t="s">
        <v>127</v>
      </c>
      <c r="BK428" t="s">
        <v>103</v>
      </c>
      <c r="BL428" t="s">
        <v>127</v>
      </c>
      <c r="BM428" t="s">
        <v>8338</v>
      </c>
      <c r="BN428" t="s">
        <v>74</v>
      </c>
      <c r="BO428" t="s">
        <v>3209</v>
      </c>
      <c r="BP428" t="s">
        <v>74</v>
      </c>
      <c r="BQ428" t="s">
        <v>74</v>
      </c>
      <c r="BR428" t="s">
        <v>106</v>
      </c>
      <c r="BS428" t="s">
        <v>8339</v>
      </c>
      <c r="BT428" t="str">
        <f>HYPERLINK("https%3A%2F%2Fwww.webofscience.com%2Fwos%2Fwoscc%2Ffull-record%2FWOS:000423768300004","View Full Record in Web of Science")</f>
        <v>View Full Record in Web of Science</v>
      </c>
    </row>
    <row r="429" spans="1:72" x14ac:dyDescent="0.15">
      <c r="A429" t="s">
        <v>72</v>
      </c>
      <c r="B429" t="s">
        <v>8340</v>
      </c>
      <c r="C429" t="s">
        <v>74</v>
      </c>
      <c r="D429" t="s">
        <v>74</v>
      </c>
      <c r="E429" t="s">
        <v>74</v>
      </c>
      <c r="F429" t="s">
        <v>8341</v>
      </c>
      <c r="G429" t="s">
        <v>74</v>
      </c>
      <c r="H429" t="s">
        <v>74</v>
      </c>
      <c r="I429" t="s">
        <v>8342</v>
      </c>
      <c r="J429" t="s">
        <v>8343</v>
      </c>
      <c r="K429" t="s">
        <v>74</v>
      </c>
      <c r="L429" t="s">
        <v>74</v>
      </c>
      <c r="M429" t="s">
        <v>78</v>
      </c>
      <c r="N429" t="s">
        <v>333</v>
      </c>
      <c r="O429" t="s">
        <v>8344</v>
      </c>
      <c r="P429" t="s">
        <v>8345</v>
      </c>
      <c r="Q429" t="s">
        <v>8346</v>
      </c>
      <c r="R429" t="s">
        <v>74</v>
      </c>
      <c r="S429" t="s">
        <v>8347</v>
      </c>
      <c r="T429" t="s">
        <v>8348</v>
      </c>
      <c r="U429" t="s">
        <v>8349</v>
      </c>
      <c r="V429" t="s">
        <v>8350</v>
      </c>
      <c r="W429" t="s">
        <v>8351</v>
      </c>
      <c r="X429" t="s">
        <v>8352</v>
      </c>
      <c r="Y429" t="s">
        <v>8353</v>
      </c>
      <c r="Z429" t="s">
        <v>8354</v>
      </c>
      <c r="AA429" t="s">
        <v>8355</v>
      </c>
      <c r="AB429" t="s">
        <v>8356</v>
      </c>
      <c r="AC429" t="s">
        <v>8357</v>
      </c>
      <c r="AD429" t="s">
        <v>8358</v>
      </c>
      <c r="AE429" t="s">
        <v>8359</v>
      </c>
      <c r="AF429" t="s">
        <v>74</v>
      </c>
      <c r="AG429">
        <v>40</v>
      </c>
      <c r="AH429">
        <v>25</v>
      </c>
      <c r="AI429">
        <v>27</v>
      </c>
      <c r="AJ429">
        <v>1</v>
      </c>
      <c r="AK429">
        <v>5</v>
      </c>
      <c r="AL429" t="s">
        <v>803</v>
      </c>
      <c r="AM429" t="s">
        <v>1984</v>
      </c>
      <c r="AN429" t="s">
        <v>1985</v>
      </c>
      <c r="AO429" t="s">
        <v>8360</v>
      </c>
      <c r="AP429" t="s">
        <v>8361</v>
      </c>
      <c r="AQ429" t="s">
        <v>74</v>
      </c>
      <c r="AR429" t="s">
        <v>8362</v>
      </c>
      <c r="AS429" t="s">
        <v>8363</v>
      </c>
      <c r="AT429" t="s">
        <v>8336</v>
      </c>
      <c r="AU429">
        <v>2017</v>
      </c>
      <c r="AV429">
        <v>58</v>
      </c>
      <c r="AW429">
        <v>74</v>
      </c>
      <c r="AX429" t="s">
        <v>74</v>
      </c>
      <c r="AY429" t="s">
        <v>74</v>
      </c>
      <c r="AZ429" t="s">
        <v>74</v>
      </c>
      <c r="BA429" t="s">
        <v>74</v>
      </c>
      <c r="BB429">
        <v>12</v>
      </c>
      <c r="BC429">
        <v>20</v>
      </c>
      <c r="BD429" t="s">
        <v>74</v>
      </c>
      <c r="BE429" t="s">
        <v>8364</v>
      </c>
      <c r="BF429" t="str">
        <f>HYPERLINK("http://dx.doi.org/10.1017/aog.2017.22","http://dx.doi.org/10.1017/aog.2017.22")</f>
        <v>http://dx.doi.org/10.1017/aog.2017.22</v>
      </c>
      <c r="BG429" t="s">
        <v>74</v>
      </c>
      <c r="BH429" t="s">
        <v>74</v>
      </c>
      <c r="BI429">
        <v>9</v>
      </c>
      <c r="BJ429" t="s">
        <v>1338</v>
      </c>
      <c r="BK429" t="s">
        <v>354</v>
      </c>
      <c r="BL429" t="s">
        <v>1339</v>
      </c>
      <c r="BM429" t="s">
        <v>8365</v>
      </c>
      <c r="BN429" t="s">
        <v>74</v>
      </c>
      <c r="BO429" t="s">
        <v>5384</v>
      </c>
      <c r="BP429" t="s">
        <v>74</v>
      </c>
      <c r="BQ429" t="s">
        <v>74</v>
      </c>
      <c r="BR429" t="s">
        <v>106</v>
      </c>
      <c r="BS429" t="s">
        <v>8366</v>
      </c>
      <c r="BT429" t="str">
        <f>HYPERLINK("https%3A%2F%2Fwww.webofscience.com%2Fwos%2Fwoscc%2Ffull-record%2FWOS:000416835100003","View Full Record in Web of Science")</f>
        <v>View Full Record in Web of Science</v>
      </c>
    </row>
    <row r="430" spans="1:72" x14ac:dyDescent="0.15">
      <c r="A430" t="s">
        <v>72</v>
      </c>
      <c r="B430" t="s">
        <v>8367</v>
      </c>
      <c r="C430" t="s">
        <v>74</v>
      </c>
      <c r="D430" t="s">
        <v>74</v>
      </c>
      <c r="E430" t="s">
        <v>74</v>
      </c>
      <c r="F430" t="s">
        <v>8368</v>
      </c>
      <c r="G430" t="s">
        <v>74</v>
      </c>
      <c r="H430" t="s">
        <v>74</v>
      </c>
      <c r="I430" t="s">
        <v>8369</v>
      </c>
      <c r="J430" t="s">
        <v>8343</v>
      </c>
      <c r="K430" t="s">
        <v>74</v>
      </c>
      <c r="L430" t="s">
        <v>74</v>
      </c>
      <c r="M430" t="s">
        <v>78</v>
      </c>
      <c r="N430" t="s">
        <v>333</v>
      </c>
      <c r="O430" t="s">
        <v>8344</v>
      </c>
      <c r="P430" t="s">
        <v>8345</v>
      </c>
      <c r="Q430" t="s">
        <v>8346</v>
      </c>
      <c r="R430" t="s">
        <v>74</v>
      </c>
      <c r="S430" t="s">
        <v>8347</v>
      </c>
      <c r="T430" t="s">
        <v>8370</v>
      </c>
      <c r="U430" t="s">
        <v>8371</v>
      </c>
      <c r="V430" t="s">
        <v>8372</v>
      </c>
      <c r="W430" t="s">
        <v>8373</v>
      </c>
      <c r="X430" t="s">
        <v>8374</v>
      </c>
      <c r="Y430" t="s">
        <v>8375</v>
      </c>
      <c r="Z430" t="s">
        <v>8376</v>
      </c>
      <c r="AA430" t="s">
        <v>8377</v>
      </c>
      <c r="AB430" t="s">
        <v>74</v>
      </c>
      <c r="AC430" t="s">
        <v>74</v>
      </c>
      <c r="AD430" t="s">
        <v>74</v>
      </c>
      <c r="AE430" t="s">
        <v>74</v>
      </c>
      <c r="AF430" t="s">
        <v>74</v>
      </c>
      <c r="AG430">
        <v>69</v>
      </c>
      <c r="AH430">
        <v>8</v>
      </c>
      <c r="AI430">
        <v>8</v>
      </c>
      <c r="AJ430">
        <v>1</v>
      </c>
      <c r="AK430">
        <v>4</v>
      </c>
      <c r="AL430" t="s">
        <v>803</v>
      </c>
      <c r="AM430" t="s">
        <v>1984</v>
      </c>
      <c r="AN430" t="s">
        <v>1985</v>
      </c>
      <c r="AO430" t="s">
        <v>8360</v>
      </c>
      <c r="AP430" t="s">
        <v>8361</v>
      </c>
      <c r="AQ430" t="s">
        <v>74</v>
      </c>
      <c r="AR430" t="s">
        <v>8362</v>
      </c>
      <c r="AS430" t="s">
        <v>8363</v>
      </c>
      <c r="AT430" t="s">
        <v>8336</v>
      </c>
      <c r="AU430">
        <v>2017</v>
      </c>
      <c r="AV430">
        <v>58</v>
      </c>
      <c r="AW430">
        <v>74</v>
      </c>
      <c r="AX430" t="s">
        <v>74</v>
      </c>
      <c r="AY430" t="s">
        <v>74</v>
      </c>
      <c r="AZ430" t="s">
        <v>74</v>
      </c>
      <c r="BA430" t="s">
        <v>74</v>
      </c>
      <c r="BB430">
        <v>28</v>
      </c>
      <c r="BC430">
        <v>40</v>
      </c>
      <c r="BD430" t="s">
        <v>74</v>
      </c>
      <c r="BE430" t="s">
        <v>8378</v>
      </c>
      <c r="BF430" t="str">
        <f>HYPERLINK("http://dx.doi.org/10.1017/aog.2017.2","http://dx.doi.org/10.1017/aog.2017.2")</f>
        <v>http://dx.doi.org/10.1017/aog.2017.2</v>
      </c>
      <c r="BG430" t="s">
        <v>74</v>
      </c>
      <c r="BH430" t="s">
        <v>74</v>
      </c>
      <c r="BI430">
        <v>13</v>
      </c>
      <c r="BJ430" t="s">
        <v>1338</v>
      </c>
      <c r="BK430" t="s">
        <v>354</v>
      </c>
      <c r="BL430" t="s">
        <v>1339</v>
      </c>
      <c r="BM430" t="s">
        <v>8365</v>
      </c>
      <c r="BN430" t="s">
        <v>74</v>
      </c>
      <c r="BO430" t="s">
        <v>131</v>
      </c>
      <c r="BP430" t="s">
        <v>74</v>
      </c>
      <c r="BQ430" t="s">
        <v>74</v>
      </c>
      <c r="BR430" t="s">
        <v>106</v>
      </c>
      <c r="BS430" t="s">
        <v>8379</v>
      </c>
      <c r="BT430" t="str">
        <f>HYPERLINK("https%3A%2F%2Fwww.webofscience.com%2Fwos%2Fwoscc%2Ffull-record%2FWOS:000416835100005","View Full Record in Web of Science")</f>
        <v>View Full Record in Web of Science</v>
      </c>
    </row>
    <row r="431" spans="1:72" x14ac:dyDescent="0.15">
      <c r="A431" t="s">
        <v>72</v>
      </c>
      <c r="B431" t="s">
        <v>8380</v>
      </c>
      <c r="C431" t="s">
        <v>74</v>
      </c>
      <c r="D431" t="s">
        <v>74</v>
      </c>
      <c r="E431" t="s">
        <v>74</v>
      </c>
      <c r="F431" t="s">
        <v>8381</v>
      </c>
      <c r="G431" t="s">
        <v>74</v>
      </c>
      <c r="H431" t="s">
        <v>74</v>
      </c>
      <c r="I431" t="s">
        <v>8382</v>
      </c>
      <c r="J431" t="s">
        <v>8343</v>
      </c>
      <c r="K431" t="s">
        <v>74</v>
      </c>
      <c r="L431" t="s">
        <v>74</v>
      </c>
      <c r="M431" t="s">
        <v>78</v>
      </c>
      <c r="N431" t="s">
        <v>333</v>
      </c>
      <c r="O431" t="s">
        <v>8344</v>
      </c>
      <c r="P431" t="s">
        <v>8345</v>
      </c>
      <c r="Q431" t="s">
        <v>8346</v>
      </c>
      <c r="R431" t="s">
        <v>74</v>
      </c>
      <c r="S431" t="s">
        <v>8347</v>
      </c>
      <c r="T431" t="s">
        <v>8383</v>
      </c>
      <c r="U431" t="s">
        <v>8384</v>
      </c>
      <c r="V431" t="s">
        <v>8385</v>
      </c>
      <c r="W431" t="s">
        <v>8386</v>
      </c>
      <c r="X431" t="s">
        <v>8387</v>
      </c>
      <c r="Y431" t="s">
        <v>8388</v>
      </c>
      <c r="Z431" t="s">
        <v>8389</v>
      </c>
      <c r="AA431" t="s">
        <v>8390</v>
      </c>
      <c r="AB431" t="s">
        <v>8391</v>
      </c>
      <c r="AC431" t="s">
        <v>8392</v>
      </c>
      <c r="AD431" t="s">
        <v>8393</v>
      </c>
      <c r="AE431" t="s">
        <v>8394</v>
      </c>
      <c r="AF431" t="s">
        <v>74</v>
      </c>
      <c r="AG431">
        <v>47</v>
      </c>
      <c r="AH431">
        <v>7</v>
      </c>
      <c r="AI431">
        <v>7</v>
      </c>
      <c r="AJ431">
        <v>1</v>
      </c>
      <c r="AK431">
        <v>8</v>
      </c>
      <c r="AL431" t="s">
        <v>803</v>
      </c>
      <c r="AM431" t="s">
        <v>1984</v>
      </c>
      <c r="AN431" t="s">
        <v>1985</v>
      </c>
      <c r="AO431" t="s">
        <v>8360</v>
      </c>
      <c r="AP431" t="s">
        <v>8361</v>
      </c>
      <c r="AQ431" t="s">
        <v>74</v>
      </c>
      <c r="AR431" t="s">
        <v>8362</v>
      </c>
      <c r="AS431" t="s">
        <v>8363</v>
      </c>
      <c r="AT431" t="s">
        <v>8336</v>
      </c>
      <c r="AU431">
        <v>2017</v>
      </c>
      <c r="AV431">
        <v>58</v>
      </c>
      <c r="AW431">
        <v>74</v>
      </c>
      <c r="AX431" t="s">
        <v>74</v>
      </c>
      <c r="AY431" t="s">
        <v>74</v>
      </c>
      <c r="AZ431" t="s">
        <v>74</v>
      </c>
      <c r="BA431" t="s">
        <v>74</v>
      </c>
      <c r="BB431">
        <v>41</v>
      </c>
      <c r="BC431">
        <v>50</v>
      </c>
      <c r="BD431" t="s">
        <v>74</v>
      </c>
      <c r="BE431" t="s">
        <v>8395</v>
      </c>
      <c r="BF431" t="str">
        <f>HYPERLINK("http://dx.doi.org/10.1017/aog.2017.34","http://dx.doi.org/10.1017/aog.2017.34")</f>
        <v>http://dx.doi.org/10.1017/aog.2017.34</v>
      </c>
      <c r="BG431" t="s">
        <v>74</v>
      </c>
      <c r="BH431" t="s">
        <v>74</v>
      </c>
      <c r="BI431">
        <v>10</v>
      </c>
      <c r="BJ431" t="s">
        <v>1338</v>
      </c>
      <c r="BK431" t="s">
        <v>354</v>
      </c>
      <c r="BL431" t="s">
        <v>1339</v>
      </c>
      <c r="BM431" t="s">
        <v>8365</v>
      </c>
      <c r="BN431" t="s">
        <v>74</v>
      </c>
      <c r="BO431" t="s">
        <v>8396</v>
      </c>
      <c r="BP431" t="s">
        <v>74</v>
      </c>
      <c r="BQ431" t="s">
        <v>74</v>
      </c>
      <c r="BR431" t="s">
        <v>106</v>
      </c>
      <c r="BS431" t="s">
        <v>8397</v>
      </c>
      <c r="BT431" t="str">
        <f>HYPERLINK("https%3A%2F%2Fwww.webofscience.com%2Fwos%2Fwoscc%2Ffull-record%2FWOS:000416835100006","View Full Record in Web of Science")</f>
        <v>View Full Record in Web of Science</v>
      </c>
    </row>
    <row r="432" spans="1:72" x14ac:dyDescent="0.15">
      <c r="A432" t="s">
        <v>72</v>
      </c>
      <c r="B432" t="s">
        <v>8398</v>
      </c>
      <c r="C432" t="s">
        <v>74</v>
      </c>
      <c r="D432" t="s">
        <v>74</v>
      </c>
      <c r="E432" t="s">
        <v>74</v>
      </c>
      <c r="F432" t="s">
        <v>8399</v>
      </c>
      <c r="G432" t="s">
        <v>74</v>
      </c>
      <c r="H432" t="s">
        <v>74</v>
      </c>
      <c r="I432" t="s">
        <v>8400</v>
      </c>
      <c r="J432" t="s">
        <v>8343</v>
      </c>
      <c r="K432" t="s">
        <v>74</v>
      </c>
      <c r="L432" t="s">
        <v>74</v>
      </c>
      <c r="M432" t="s">
        <v>78</v>
      </c>
      <c r="N432" t="s">
        <v>333</v>
      </c>
      <c r="O432" t="s">
        <v>8344</v>
      </c>
      <c r="P432" t="s">
        <v>8345</v>
      </c>
      <c r="Q432" t="s">
        <v>8346</v>
      </c>
      <c r="R432" t="s">
        <v>74</v>
      </c>
      <c r="S432" t="s">
        <v>8347</v>
      </c>
      <c r="T432" t="s">
        <v>8401</v>
      </c>
      <c r="U432" t="s">
        <v>8402</v>
      </c>
      <c r="V432" t="s">
        <v>8403</v>
      </c>
      <c r="W432" t="s">
        <v>8404</v>
      </c>
      <c r="X432" t="s">
        <v>8405</v>
      </c>
      <c r="Y432" t="s">
        <v>8406</v>
      </c>
      <c r="Z432" t="s">
        <v>8407</v>
      </c>
      <c r="AA432" t="s">
        <v>8408</v>
      </c>
      <c r="AB432" t="s">
        <v>8409</v>
      </c>
      <c r="AC432" t="s">
        <v>8410</v>
      </c>
      <c r="AD432" t="s">
        <v>8411</v>
      </c>
      <c r="AE432" t="s">
        <v>8412</v>
      </c>
      <c r="AF432" t="s">
        <v>74</v>
      </c>
      <c r="AG432">
        <v>31</v>
      </c>
      <c r="AH432">
        <v>22</v>
      </c>
      <c r="AI432">
        <v>23</v>
      </c>
      <c r="AJ432">
        <v>0</v>
      </c>
      <c r="AK432">
        <v>7</v>
      </c>
      <c r="AL432" t="s">
        <v>803</v>
      </c>
      <c r="AM432" t="s">
        <v>1984</v>
      </c>
      <c r="AN432" t="s">
        <v>1985</v>
      </c>
      <c r="AO432" t="s">
        <v>8360</v>
      </c>
      <c r="AP432" t="s">
        <v>8361</v>
      </c>
      <c r="AQ432" t="s">
        <v>74</v>
      </c>
      <c r="AR432" t="s">
        <v>8362</v>
      </c>
      <c r="AS432" t="s">
        <v>8363</v>
      </c>
      <c r="AT432" t="s">
        <v>8336</v>
      </c>
      <c r="AU432">
        <v>2017</v>
      </c>
      <c r="AV432">
        <v>58</v>
      </c>
      <c r="AW432">
        <v>74</v>
      </c>
      <c r="AX432" t="s">
        <v>74</v>
      </c>
      <c r="AY432" t="s">
        <v>74</v>
      </c>
      <c r="AZ432" t="s">
        <v>74</v>
      </c>
      <c r="BA432" t="s">
        <v>74</v>
      </c>
      <c r="BB432">
        <v>51</v>
      </c>
      <c r="BC432">
        <v>59</v>
      </c>
      <c r="BD432" t="s">
        <v>74</v>
      </c>
      <c r="BE432" t="s">
        <v>8413</v>
      </c>
      <c r="BF432" t="str">
        <f>HYPERLINK("http://dx.doi.org/10.1017/aog.2017.4","http://dx.doi.org/10.1017/aog.2017.4")</f>
        <v>http://dx.doi.org/10.1017/aog.2017.4</v>
      </c>
      <c r="BG432" t="s">
        <v>74</v>
      </c>
      <c r="BH432" t="s">
        <v>74</v>
      </c>
      <c r="BI432">
        <v>9</v>
      </c>
      <c r="BJ432" t="s">
        <v>1338</v>
      </c>
      <c r="BK432" t="s">
        <v>354</v>
      </c>
      <c r="BL432" t="s">
        <v>1339</v>
      </c>
      <c r="BM432" t="s">
        <v>8365</v>
      </c>
      <c r="BN432" t="s">
        <v>74</v>
      </c>
      <c r="BO432" t="s">
        <v>2009</v>
      </c>
      <c r="BP432" t="s">
        <v>74</v>
      </c>
      <c r="BQ432" t="s">
        <v>74</v>
      </c>
      <c r="BR432" t="s">
        <v>106</v>
      </c>
      <c r="BS432" t="s">
        <v>8414</v>
      </c>
      <c r="BT432" t="str">
        <f>HYPERLINK("https%3A%2F%2Fwww.webofscience.com%2Fwos%2Fwoscc%2Ffull-record%2FWOS:000416835100007","View Full Record in Web of Science")</f>
        <v>View Full Record in Web of Science</v>
      </c>
    </row>
    <row r="433" spans="1:72" x14ac:dyDescent="0.15">
      <c r="A433" t="s">
        <v>72</v>
      </c>
      <c r="B433" t="s">
        <v>8415</v>
      </c>
      <c r="C433" t="s">
        <v>74</v>
      </c>
      <c r="D433" t="s">
        <v>74</v>
      </c>
      <c r="E433" t="s">
        <v>74</v>
      </c>
      <c r="F433" t="s">
        <v>8416</v>
      </c>
      <c r="G433" t="s">
        <v>74</v>
      </c>
      <c r="H433" t="s">
        <v>74</v>
      </c>
      <c r="I433" t="s">
        <v>8417</v>
      </c>
      <c r="J433" t="s">
        <v>8343</v>
      </c>
      <c r="K433" t="s">
        <v>74</v>
      </c>
      <c r="L433" t="s">
        <v>74</v>
      </c>
      <c r="M433" t="s">
        <v>78</v>
      </c>
      <c r="N433" t="s">
        <v>333</v>
      </c>
      <c r="O433" t="s">
        <v>8344</v>
      </c>
      <c r="P433" t="s">
        <v>8345</v>
      </c>
      <c r="Q433" t="s">
        <v>8346</v>
      </c>
      <c r="R433" t="s">
        <v>74</v>
      </c>
      <c r="S433" t="s">
        <v>8347</v>
      </c>
      <c r="T433" t="s">
        <v>8418</v>
      </c>
      <c r="U433" t="s">
        <v>8419</v>
      </c>
      <c r="V433" t="s">
        <v>8420</v>
      </c>
      <c r="W433" t="s">
        <v>8421</v>
      </c>
      <c r="X433" t="s">
        <v>8422</v>
      </c>
      <c r="Y433" t="s">
        <v>8423</v>
      </c>
      <c r="Z433" t="s">
        <v>8424</v>
      </c>
      <c r="AA433" t="s">
        <v>8425</v>
      </c>
      <c r="AB433" t="s">
        <v>8426</v>
      </c>
      <c r="AC433" t="s">
        <v>8427</v>
      </c>
      <c r="AD433" t="s">
        <v>8428</v>
      </c>
      <c r="AE433" t="s">
        <v>8429</v>
      </c>
      <c r="AF433" t="s">
        <v>74</v>
      </c>
      <c r="AG433">
        <v>56</v>
      </c>
      <c r="AH433">
        <v>1</v>
      </c>
      <c r="AI433">
        <v>1</v>
      </c>
      <c r="AJ433">
        <v>1</v>
      </c>
      <c r="AK433">
        <v>5</v>
      </c>
      <c r="AL433" t="s">
        <v>803</v>
      </c>
      <c r="AM433" t="s">
        <v>1984</v>
      </c>
      <c r="AN433" t="s">
        <v>1985</v>
      </c>
      <c r="AO433" t="s">
        <v>8360</v>
      </c>
      <c r="AP433" t="s">
        <v>8361</v>
      </c>
      <c r="AQ433" t="s">
        <v>74</v>
      </c>
      <c r="AR433" t="s">
        <v>8362</v>
      </c>
      <c r="AS433" t="s">
        <v>8363</v>
      </c>
      <c r="AT433" t="s">
        <v>8336</v>
      </c>
      <c r="AU433">
        <v>2017</v>
      </c>
      <c r="AV433">
        <v>58</v>
      </c>
      <c r="AW433">
        <v>74</v>
      </c>
      <c r="AX433" t="s">
        <v>74</v>
      </c>
      <c r="AY433" t="s">
        <v>74</v>
      </c>
      <c r="AZ433" t="s">
        <v>74</v>
      </c>
      <c r="BA433" t="s">
        <v>74</v>
      </c>
      <c r="BB433">
        <v>60</v>
      </c>
      <c r="BC433">
        <v>71</v>
      </c>
      <c r="BD433" t="s">
        <v>74</v>
      </c>
      <c r="BE433" t="s">
        <v>8430</v>
      </c>
      <c r="BF433" t="str">
        <f>HYPERLINK("http://dx.doi.org/10.1017/aog.2017.1","http://dx.doi.org/10.1017/aog.2017.1")</f>
        <v>http://dx.doi.org/10.1017/aog.2017.1</v>
      </c>
      <c r="BG433" t="s">
        <v>74</v>
      </c>
      <c r="BH433" t="s">
        <v>74</v>
      </c>
      <c r="BI433">
        <v>12</v>
      </c>
      <c r="BJ433" t="s">
        <v>1338</v>
      </c>
      <c r="BK433" t="s">
        <v>354</v>
      </c>
      <c r="BL433" t="s">
        <v>1339</v>
      </c>
      <c r="BM433" t="s">
        <v>8365</v>
      </c>
      <c r="BN433" t="s">
        <v>74</v>
      </c>
      <c r="BO433" t="s">
        <v>3118</v>
      </c>
      <c r="BP433" t="s">
        <v>74</v>
      </c>
      <c r="BQ433" t="s">
        <v>74</v>
      </c>
      <c r="BR433" t="s">
        <v>106</v>
      </c>
      <c r="BS433" t="s">
        <v>8431</v>
      </c>
      <c r="BT433" t="str">
        <f>HYPERLINK("https%3A%2F%2Fwww.webofscience.com%2Fwos%2Fwoscc%2Ffull-record%2FWOS:000416835100008","View Full Record in Web of Science")</f>
        <v>View Full Record in Web of Science</v>
      </c>
    </row>
    <row r="434" spans="1:72" x14ac:dyDescent="0.15">
      <c r="A434" t="s">
        <v>72</v>
      </c>
      <c r="B434" t="s">
        <v>8432</v>
      </c>
      <c r="C434" t="s">
        <v>74</v>
      </c>
      <c r="D434" t="s">
        <v>74</v>
      </c>
      <c r="E434" t="s">
        <v>74</v>
      </c>
      <c r="F434" t="s">
        <v>8433</v>
      </c>
      <c r="G434" t="s">
        <v>74</v>
      </c>
      <c r="H434" t="s">
        <v>74</v>
      </c>
      <c r="I434" t="s">
        <v>8434</v>
      </c>
      <c r="J434" t="s">
        <v>8343</v>
      </c>
      <c r="K434" t="s">
        <v>74</v>
      </c>
      <c r="L434" t="s">
        <v>74</v>
      </c>
      <c r="M434" t="s">
        <v>78</v>
      </c>
      <c r="N434" t="s">
        <v>333</v>
      </c>
      <c r="O434" t="s">
        <v>8344</v>
      </c>
      <c r="P434" t="s">
        <v>8345</v>
      </c>
      <c r="Q434" t="s">
        <v>8346</v>
      </c>
      <c r="R434" t="s">
        <v>74</v>
      </c>
      <c r="S434" t="s">
        <v>8347</v>
      </c>
      <c r="T434" t="s">
        <v>8435</v>
      </c>
      <c r="U434" t="s">
        <v>8436</v>
      </c>
      <c r="V434" t="s">
        <v>8437</v>
      </c>
      <c r="W434" t="s">
        <v>8438</v>
      </c>
      <c r="X434" t="s">
        <v>8439</v>
      </c>
      <c r="Y434" t="s">
        <v>8440</v>
      </c>
      <c r="Z434" t="s">
        <v>8441</v>
      </c>
      <c r="AA434" t="s">
        <v>8442</v>
      </c>
      <c r="AB434" t="s">
        <v>8443</v>
      </c>
      <c r="AC434" t="s">
        <v>8444</v>
      </c>
      <c r="AD434" t="s">
        <v>8445</v>
      </c>
      <c r="AE434" t="s">
        <v>8446</v>
      </c>
      <c r="AF434" t="s">
        <v>74</v>
      </c>
      <c r="AG434">
        <v>54</v>
      </c>
      <c r="AH434">
        <v>42</v>
      </c>
      <c r="AI434">
        <v>48</v>
      </c>
      <c r="AJ434">
        <v>0</v>
      </c>
      <c r="AK434">
        <v>4</v>
      </c>
      <c r="AL434" t="s">
        <v>803</v>
      </c>
      <c r="AM434" t="s">
        <v>1984</v>
      </c>
      <c r="AN434" t="s">
        <v>1985</v>
      </c>
      <c r="AO434" t="s">
        <v>8360</v>
      </c>
      <c r="AP434" t="s">
        <v>8361</v>
      </c>
      <c r="AQ434" t="s">
        <v>74</v>
      </c>
      <c r="AR434" t="s">
        <v>8362</v>
      </c>
      <c r="AS434" t="s">
        <v>8363</v>
      </c>
      <c r="AT434" t="s">
        <v>8336</v>
      </c>
      <c r="AU434">
        <v>2017</v>
      </c>
      <c r="AV434">
        <v>58</v>
      </c>
      <c r="AW434">
        <v>74</v>
      </c>
      <c r="AX434" t="s">
        <v>74</v>
      </c>
      <c r="AY434" t="s">
        <v>74</v>
      </c>
      <c r="AZ434" t="s">
        <v>74</v>
      </c>
      <c r="BA434" t="s">
        <v>74</v>
      </c>
      <c r="BB434">
        <v>92</v>
      </c>
      <c r="BC434">
        <v>106</v>
      </c>
      <c r="BD434" t="s">
        <v>74</v>
      </c>
      <c r="BE434" t="s">
        <v>8447</v>
      </c>
      <c r="BF434" t="str">
        <f>HYPERLINK("http://dx.doi.org/10.1017/aog.2017.5","http://dx.doi.org/10.1017/aog.2017.5")</f>
        <v>http://dx.doi.org/10.1017/aog.2017.5</v>
      </c>
      <c r="BG434" t="s">
        <v>74</v>
      </c>
      <c r="BH434" t="s">
        <v>74</v>
      </c>
      <c r="BI434">
        <v>15</v>
      </c>
      <c r="BJ434" t="s">
        <v>1338</v>
      </c>
      <c r="BK434" t="s">
        <v>354</v>
      </c>
      <c r="BL434" t="s">
        <v>1339</v>
      </c>
      <c r="BM434" t="s">
        <v>8365</v>
      </c>
      <c r="BN434" t="s">
        <v>74</v>
      </c>
      <c r="BO434" t="s">
        <v>2009</v>
      </c>
      <c r="BP434" t="s">
        <v>74</v>
      </c>
      <c r="BQ434" t="s">
        <v>74</v>
      </c>
      <c r="BR434" t="s">
        <v>106</v>
      </c>
      <c r="BS434" t="s">
        <v>8448</v>
      </c>
      <c r="BT434" t="str">
        <f>HYPERLINK("https%3A%2F%2Fwww.webofscience.com%2Fwos%2Fwoscc%2Ffull-record%2FWOS:000416835100010","View Full Record in Web of Science")</f>
        <v>View Full Record in Web of Science</v>
      </c>
    </row>
    <row r="435" spans="1:72" x14ac:dyDescent="0.15">
      <c r="A435" t="s">
        <v>72</v>
      </c>
      <c r="B435" t="s">
        <v>8449</v>
      </c>
      <c r="C435" t="s">
        <v>74</v>
      </c>
      <c r="D435" t="s">
        <v>74</v>
      </c>
      <c r="E435" t="s">
        <v>74</v>
      </c>
      <c r="F435" t="s">
        <v>8450</v>
      </c>
      <c r="G435" t="s">
        <v>74</v>
      </c>
      <c r="H435" t="s">
        <v>74</v>
      </c>
      <c r="I435" t="s">
        <v>8451</v>
      </c>
      <c r="J435" t="s">
        <v>8452</v>
      </c>
      <c r="K435" t="s">
        <v>74</v>
      </c>
      <c r="L435" t="s">
        <v>74</v>
      </c>
      <c r="M435" t="s">
        <v>78</v>
      </c>
      <c r="N435" t="s">
        <v>79</v>
      </c>
      <c r="O435" t="s">
        <v>74</v>
      </c>
      <c r="P435" t="s">
        <v>74</v>
      </c>
      <c r="Q435" t="s">
        <v>74</v>
      </c>
      <c r="R435" t="s">
        <v>74</v>
      </c>
      <c r="S435" t="s">
        <v>74</v>
      </c>
      <c r="T435" t="s">
        <v>8453</v>
      </c>
      <c r="U435" t="s">
        <v>8454</v>
      </c>
      <c r="V435" t="s">
        <v>8455</v>
      </c>
      <c r="W435" t="s">
        <v>8456</v>
      </c>
      <c r="X435" t="s">
        <v>8457</v>
      </c>
      <c r="Y435" t="s">
        <v>8458</v>
      </c>
      <c r="Z435" t="s">
        <v>8459</v>
      </c>
      <c r="AA435" t="s">
        <v>8460</v>
      </c>
      <c r="AB435" t="s">
        <v>8461</v>
      </c>
      <c r="AC435" t="s">
        <v>8462</v>
      </c>
      <c r="AD435" t="s">
        <v>8463</v>
      </c>
      <c r="AE435" t="s">
        <v>8464</v>
      </c>
      <c r="AF435" t="s">
        <v>74</v>
      </c>
      <c r="AG435">
        <v>45</v>
      </c>
      <c r="AH435">
        <v>17</v>
      </c>
      <c r="AI435">
        <v>18</v>
      </c>
      <c r="AJ435">
        <v>2</v>
      </c>
      <c r="AK435">
        <v>16</v>
      </c>
      <c r="AL435" t="s">
        <v>317</v>
      </c>
      <c r="AM435" t="s">
        <v>318</v>
      </c>
      <c r="AN435" t="s">
        <v>319</v>
      </c>
      <c r="AO435" t="s">
        <v>8465</v>
      </c>
      <c r="AP435" t="s">
        <v>74</v>
      </c>
      <c r="AQ435" t="s">
        <v>74</v>
      </c>
      <c r="AR435" t="s">
        <v>8466</v>
      </c>
      <c r="AS435" t="s">
        <v>8467</v>
      </c>
      <c r="AT435" t="s">
        <v>8336</v>
      </c>
      <c r="AU435">
        <v>2017</v>
      </c>
      <c r="AV435">
        <v>10</v>
      </c>
      <c r="AW435" t="s">
        <v>74</v>
      </c>
      <c r="AX435" t="s">
        <v>74</v>
      </c>
      <c r="AY435" t="s">
        <v>74</v>
      </c>
      <c r="AZ435" t="s">
        <v>74</v>
      </c>
      <c r="BA435" t="s">
        <v>74</v>
      </c>
      <c r="BB435">
        <v>184</v>
      </c>
      <c r="BC435">
        <v>193</v>
      </c>
      <c r="BD435" t="s">
        <v>74</v>
      </c>
      <c r="BE435" t="s">
        <v>8468</v>
      </c>
      <c r="BF435" t="str">
        <f>HYPERLINK("http://dx.doi.org/10.1016/j.gecco.2017.03.007","http://dx.doi.org/10.1016/j.gecco.2017.03.007")</f>
        <v>http://dx.doi.org/10.1016/j.gecco.2017.03.007</v>
      </c>
      <c r="BG435" t="s">
        <v>74</v>
      </c>
      <c r="BH435" t="s">
        <v>74</v>
      </c>
      <c r="BI435">
        <v>10</v>
      </c>
      <c r="BJ435" t="s">
        <v>1018</v>
      </c>
      <c r="BK435" t="s">
        <v>5266</v>
      </c>
      <c r="BL435" t="s">
        <v>326</v>
      </c>
      <c r="BM435" t="s">
        <v>8469</v>
      </c>
      <c r="BN435" t="s">
        <v>74</v>
      </c>
      <c r="BO435" t="s">
        <v>3118</v>
      </c>
      <c r="BP435" t="s">
        <v>74</v>
      </c>
      <c r="BQ435" t="s">
        <v>74</v>
      </c>
      <c r="BR435" t="s">
        <v>106</v>
      </c>
      <c r="BS435" t="s">
        <v>8470</v>
      </c>
      <c r="BT435" t="str">
        <f>HYPERLINK("https%3A%2F%2Fwww.webofscience.com%2Fwos%2Fwoscc%2Ffull-record%2FWOS:000413278400018","View Full Record in Web of Science")</f>
        <v>View Full Record in Web of Science</v>
      </c>
    </row>
    <row r="436" spans="1:72" x14ac:dyDescent="0.15">
      <c r="A436" t="s">
        <v>72</v>
      </c>
      <c r="B436" t="s">
        <v>8471</v>
      </c>
      <c r="C436" t="s">
        <v>74</v>
      </c>
      <c r="D436" t="s">
        <v>74</v>
      </c>
      <c r="E436" t="s">
        <v>74</v>
      </c>
      <c r="F436" t="s">
        <v>8472</v>
      </c>
      <c r="G436" t="s">
        <v>74</v>
      </c>
      <c r="H436" t="s">
        <v>74</v>
      </c>
      <c r="I436" t="s">
        <v>8473</v>
      </c>
      <c r="J436" t="s">
        <v>8474</v>
      </c>
      <c r="K436" t="s">
        <v>74</v>
      </c>
      <c r="L436" t="s">
        <v>74</v>
      </c>
      <c r="M436" t="s">
        <v>8475</v>
      </c>
      <c r="N436" t="s">
        <v>79</v>
      </c>
      <c r="O436" t="s">
        <v>74</v>
      </c>
      <c r="P436" t="s">
        <v>74</v>
      </c>
      <c r="Q436" t="s">
        <v>74</v>
      </c>
      <c r="R436" t="s">
        <v>74</v>
      </c>
      <c r="S436" t="s">
        <v>74</v>
      </c>
      <c r="T436" t="s">
        <v>8476</v>
      </c>
      <c r="U436" t="s">
        <v>74</v>
      </c>
      <c r="V436" t="s">
        <v>8477</v>
      </c>
      <c r="W436" t="s">
        <v>8478</v>
      </c>
      <c r="X436" t="s">
        <v>8479</v>
      </c>
      <c r="Y436" t="s">
        <v>8480</v>
      </c>
      <c r="Z436" t="s">
        <v>8481</v>
      </c>
      <c r="AA436" t="s">
        <v>74</v>
      </c>
      <c r="AB436" t="s">
        <v>74</v>
      </c>
      <c r="AC436" t="s">
        <v>74</v>
      </c>
      <c r="AD436" t="s">
        <v>74</v>
      </c>
      <c r="AE436" t="s">
        <v>74</v>
      </c>
      <c r="AF436" t="s">
        <v>74</v>
      </c>
      <c r="AG436">
        <v>18</v>
      </c>
      <c r="AH436">
        <v>1</v>
      </c>
      <c r="AI436">
        <v>1</v>
      </c>
      <c r="AJ436">
        <v>2</v>
      </c>
      <c r="AK436">
        <v>22</v>
      </c>
      <c r="AL436" t="s">
        <v>8482</v>
      </c>
      <c r="AM436" t="s">
        <v>1509</v>
      </c>
      <c r="AN436" t="s">
        <v>8483</v>
      </c>
      <c r="AO436" t="s">
        <v>8484</v>
      </c>
      <c r="AP436" t="s">
        <v>8485</v>
      </c>
      <c r="AQ436" t="s">
        <v>74</v>
      </c>
      <c r="AR436" t="s">
        <v>8486</v>
      </c>
      <c r="AS436" t="s">
        <v>8487</v>
      </c>
      <c r="AT436" t="s">
        <v>8336</v>
      </c>
      <c r="AU436">
        <v>2017</v>
      </c>
      <c r="AV436">
        <v>33</v>
      </c>
      <c r="AW436">
        <v>2</v>
      </c>
      <c r="AX436" t="s">
        <v>74</v>
      </c>
      <c r="AY436" t="s">
        <v>74</v>
      </c>
      <c r="AZ436" t="s">
        <v>74</v>
      </c>
      <c r="BA436" t="s">
        <v>74</v>
      </c>
      <c r="BB436">
        <v>249</v>
      </c>
      <c r="BC436">
        <v>255</v>
      </c>
      <c r="BD436" t="s">
        <v>74</v>
      </c>
      <c r="BE436" t="s">
        <v>8488</v>
      </c>
      <c r="BF436" t="str">
        <f>HYPERLINK("http://dx.doi.org/10.7780/kjrs.2017.33.2.12","http://dx.doi.org/10.7780/kjrs.2017.33.2.12")</f>
        <v>http://dx.doi.org/10.7780/kjrs.2017.33.2.12</v>
      </c>
      <c r="BG436" t="s">
        <v>74</v>
      </c>
      <c r="BH436" t="s">
        <v>74</v>
      </c>
      <c r="BI436">
        <v>7</v>
      </c>
      <c r="BJ436" t="s">
        <v>8489</v>
      </c>
      <c r="BK436" t="s">
        <v>1794</v>
      </c>
      <c r="BL436" t="s">
        <v>8489</v>
      </c>
      <c r="BM436" t="s">
        <v>8490</v>
      </c>
      <c r="BN436" t="s">
        <v>74</v>
      </c>
      <c r="BO436" t="s">
        <v>74</v>
      </c>
      <c r="BP436" t="s">
        <v>74</v>
      </c>
      <c r="BQ436" t="s">
        <v>74</v>
      </c>
      <c r="BR436" t="s">
        <v>106</v>
      </c>
      <c r="BS436" t="s">
        <v>8491</v>
      </c>
      <c r="BT436" t="str">
        <f>HYPERLINK("https%3A%2F%2Fwww.webofscience.com%2Fwos%2Fwoscc%2Ffull-record%2FWOS:000408878000012","View Full Record in Web of Science")</f>
        <v>View Full Record in Web of Science</v>
      </c>
    </row>
    <row r="437" spans="1:72" x14ac:dyDescent="0.15">
      <c r="A437" t="s">
        <v>72</v>
      </c>
      <c r="B437" t="s">
        <v>8492</v>
      </c>
      <c r="C437" t="s">
        <v>74</v>
      </c>
      <c r="D437" t="s">
        <v>74</v>
      </c>
      <c r="E437" t="s">
        <v>74</v>
      </c>
      <c r="F437" t="s">
        <v>8493</v>
      </c>
      <c r="G437" t="s">
        <v>74</v>
      </c>
      <c r="H437" t="s">
        <v>74</v>
      </c>
      <c r="I437" t="s">
        <v>8494</v>
      </c>
      <c r="J437" t="s">
        <v>8495</v>
      </c>
      <c r="K437" t="s">
        <v>74</v>
      </c>
      <c r="L437" t="s">
        <v>74</v>
      </c>
      <c r="M437" t="s">
        <v>8496</v>
      </c>
      <c r="N437" t="s">
        <v>79</v>
      </c>
      <c r="O437" t="s">
        <v>74</v>
      </c>
      <c r="P437" t="s">
        <v>74</v>
      </c>
      <c r="Q437" t="s">
        <v>74</v>
      </c>
      <c r="R437" t="s">
        <v>74</v>
      </c>
      <c r="S437" t="s">
        <v>74</v>
      </c>
      <c r="T437" t="s">
        <v>8497</v>
      </c>
      <c r="U437" t="s">
        <v>74</v>
      </c>
      <c r="V437" t="s">
        <v>8498</v>
      </c>
      <c r="W437" t="s">
        <v>8499</v>
      </c>
      <c r="X437" t="s">
        <v>8500</v>
      </c>
      <c r="Y437" t="s">
        <v>8501</v>
      </c>
      <c r="Z437" t="s">
        <v>8502</v>
      </c>
      <c r="AA437" t="s">
        <v>74</v>
      </c>
      <c r="AB437" t="s">
        <v>74</v>
      </c>
      <c r="AC437" t="s">
        <v>74</v>
      </c>
      <c r="AD437" t="s">
        <v>74</v>
      </c>
      <c r="AE437" t="s">
        <v>74</v>
      </c>
      <c r="AF437" t="s">
        <v>74</v>
      </c>
      <c r="AG437">
        <v>52</v>
      </c>
      <c r="AH437">
        <v>0</v>
      </c>
      <c r="AI437">
        <v>0</v>
      </c>
      <c r="AJ437">
        <v>0</v>
      </c>
      <c r="AK437">
        <v>1</v>
      </c>
      <c r="AL437" t="s">
        <v>8503</v>
      </c>
      <c r="AM437" t="s">
        <v>8504</v>
      </c>
      <c r="AN437" t="s">
        <v>8505</v>
      </c>
      <c r="AO437" t="s">
        <v>8506</v>
      </c>
      <c r="AP437" t="s">
        <v>74</v>
      </c>
      <c r="AQ437" t="s">
        <v>74</v>
      </c>
      <c r="AR437" t="s">
        <v>8507</v>
      </c>
      <c r="AS437" t="s">
        <v>8508</v>
      </c>
      <c r="AT437" t="s">
        <v>8509</v>
      </c>
      <c r="AU437">
        <v>2017</v>
      </c>
      <c r="AV437">
        <v>8</v>
      </c>
      <c r="AW437">
        <v>2</v>
      </c>
      <c r="AX437" t="s">
        <v>74</v>
      </c>
      <c r="AY437" t="s">
        <v>74</v>
      </c>
      <c r="AZ437" t="s">
        <v>74</v>
      </c>
      <c r="BA437" t="s">
        <v>74</v>
      </c>
      <c r="BB437">
        <v>37</v>
      </c>
      <c r="BC437">
        <v>54</v>
      </c>
      <c r="BD437" t="s">
        <v>74</v>
      </c>
      <c r="BE437" t="s">
        <v>74</v>
      </c>
      <c r="BF437" t="s">
        <v>74</v>
      </c>
      <c r="BG437" t="s">
        <v>74</v>
      </c>
      <c r="BH437" t="s">
        <v>74</v>
      </c>
      <c r="BI437">
        <v>18</v>
      </c>
      <c r="BJ437" t="s">
        <v>8510</v>
      </c>
      <c r="BK437" t="s">
        <v>1794</v>
      </c>
      <c r="BL437" t="s">
        <v>8510</v>
      </c>
      <c r="BM437" t="s">
        <v>8511</v>
      </c>
      <c r="BN437" t="s">
        <v>74</v>
      </c>
      <c r="BO437" t="s">
        <v>74</v>
      </c>
      <c r="BP437" t="s">
        <v>74</v>
      </c>
      <c r="BQ437" t="s">
        <v>74</v>
      </c>
      <c r="BR437" t="s">
        <v>106</v>
      </c>
      <c r="BS437" t="s">
        <v>8512</v>
      </c>
      <c r="BT437" t="str">
        <f>HYPERLINK("https%3A%2F%2Fwww.webofscience.com%2Fwos%2Fwoscc%2Ffull-record%2FWOS:000405240500003","View Full Record in Web of Science")</f>
        <v>View Full Record in Web of Science</v>
      </c>
    </row>
    <row r="438" spans="1:72" x14ac:dyDescent="0.15">
      <c r="A438" t="s">
        <v>72</v>
      </c>
      <c r="B438" t="s">
        <v>8513</v>
      </c>
      <c r="C438" t="s">
        <v>74</v>
      </c>
      <c r="D438" t="s">
        <v>74</v>
      </c>
      <c r="E438" t="s">
        <v>74</v>
      </c>
      <c r="F438" t="s">
        <v>8514</v>
      </c>
      <c r="G438" t="s">
        <v>74</v>
      </c>
      <c r="H438" t="s">
        <v>74</v>
      </c>
      <c r="I438" t="s">
        <v>8515</v>
      </c>
      <c r="J438" t="s">
        <v>5040</v>
      </c>
      <c r="K438" t="s">
        <v>74</v>
      </c>
      <c r="L438" t="s">
        <v>74</v>
      </c>
      <c r="M438" t="s">
        <v>78</v>
      </c>
      <c r="N438" t="s">
        <v>79</v>
      </c>
      <c r="O438" t="s">
        <v>74</v>
      </c>
      <c r="P438" t="s">
        <v>74</v>
      </c>
      <c r="Q438" t="s">
        <v>74</v>
      </c>
      <c r="R438" t="s">
        <v>74</v>
      </c>
      <c r="S438" t="s">
        <v>74</v>
      </c>
      <c r="T438" t="s">
        <v>8516</v>
      </c>
      <c r="U438" t="s">
        <v>8517</v>
      </c>
      <c r="V438" t="s">
        <v>8518</v>
      </c>
      <c r="W438" t="s">
        <v>8519</v>
      </c>
      <c r="X438" t="s">
        <v>8520</v>
      </c>
      <c r="Y438" t="s">
        <v>8521</v>
      </c>
      <c r="Z438" t="s">
        <v>8522</v>
      </c>
      <c r="AA438" t="s">
        <v>74</v>
      </c>
      <c r="AB438" t="s">
        <v>8523</v>
      </c>
      <c r="AC438" t="s">
        <v>8524</v>
      </c>
      <c r="AD438" t="s">
        <v>8525</v>
      </c>
      <c r="AE438" t="s">
        <v>8526</v>
      </c>
      <c r="AF438" t="s">
        <v>74</v>
      </c>
      <c r="AG438">
        <v>38</v>
      </c>
      <c r="AH438">
        <v>6</v>
      </c>
      <c r="AI438">
        <v>7</v>
      </c>
      <c r="AJ438">
        <v>1</v>
      </c>
      <c r="AK438">
        <v>15</v>
      </c>
      <c r="AL438" t="s">
        <v>611</v>
      </c>
      <c r="AM438" t="s">
        <v>612</v>
      </c>
      <c r="AN438" t="s">
        <v>613</v>
      </c>
      <c r="AO438" t="s">
        <v>74</v>
      </c>
      <c r="AP438" t="s">
        <v>5053</v>
      </c>
      <c r="AQ438" t="s">
        <v>74</v>
      </c>
      <c r="AR438" t="s">
        <v>5054</v>
      </c>
      <c r="AS438" t="s">
        <v>5055</v>
      </c>
      <c r="AT438" t="s">
        <v>8336</v>
      </c>
      <c r="AU438">
        <v>2017</v>
      </c>
      <c r="AV438">
        <v>8</v>
      </c>
      <c r="AW438">
        <v>4</v>
      </c>
      <c r="AX438" t="s">
        <v>74</v>
      </c>
      <c r="AY438" t="s">
        <v>74</v>
      </c>
      <c r="AZ438" t="s">
        <v>74</v>
      </c>
      <c r="BA438" t="s">
        <v>74</v>
      </c>
      <c r="BB438" t="s">
        <v>74</v>
      </c>
      <c r="BC438" t="s">
        <v>74</v>
      </c>
      <c r="BD438">
        <v>65</v>
      </c>
      <c r="BE438" t="s">
        <v>8527</v>
      </c>
      <c r="BF438" t="str">
        <f>HYPERLINK("http://dx.doi.org/10.3390/atmos8040065","http://dx.doi.org/10.3390/atmos8040065")</f>
        <v>http://dx.doi.org/10.3390/atmos8040065</v>
      </c>
      <c r="BG438" t="s">
        <v>74</v>
      </c>
      <c r="BH438" t="s">
        <v>74</v>
      </c>
      <c r="BI438">
        <v>13</v>
      </c>
      <c r="BJ438" t="s">
        <v>3614</v>
      </c>
      <c r="BK438" t="s">
        <v>103</v>
      </c>
      <c r="BL438" t="s">
        <v>3615</v>
      </c>
      <c r="BM438" t="s">
        <v>8528</v>
      </c>
      <c r="BN438" t="s">
        <v>74</v>
      </c>
      <c r="BO438" t="s">
        <v>205</v>
      </c>
      <c r="BP438" t="s">
        <v>74</v>
      </c>
      <c r="BQ438" t="s">
        <v>74</v>
      </c>
      <c r="BR438" t="s">
        <v>106</v>
      </c>
      <c r="BS438" t="s">
        <v>8529</v>
      </c>
      <c r="BT438" t="str">
        <f>HYPERLINK("https%3A%2F%2Fwww.webofscience.com%2Fwos%2Fwoscc%2Ffull-record%2FWOS:000404058300003","View Full Record in Web of Science")</f>
        <v>View Full Record in Web of Science</v>
      </c>
    </row>
    <row r="439" spans="1:72" x14ac:dyDescent="0.15">
      <c r="A439" t="s">
        <v>72</v>
      </c>
      <c r="B439" t="s">
        <v>8530</v>
      </c>
      <c r="C439" t="s">
        <v>74</v>
      </c>
      <c r="D439" t="s">
        <v>74</v>
      </c>
      <c r="E439" t="s">
        <v>74</v>
      </c>
      <c r="F439" t="s">
        <v>8531</v>
      </c>
      <c r="G439" t="s">
        <v>74</v>
      </c>
      <c r="H439" t="s">
        <v>74</v>
      </c>
      <c r="I439" t="s">
        <v>8532</v>
      </c>
      <c r="J439" t="s">
        <v>8533</v>
      </c>
      <c r="K439" t="s">
        <v>74</v>
      </c>
      <c r="L439" t="s">
        <v>74</v>
      </c>
      <c r="M439" t="s">
        <v>78</v>
      </c>
      <c r="N439" t="s">
        <v>79</v>
      </c>
      <c r="O439" t="s">
        <v>74</v>
      </c>
      <c r="P439" t="s">
        <v>74</v>
      </c>
      <c r="Q439" t="s">
        <v>74</v>
      </c>
      <c r="R439" t="s">
        <v>74</v>
      </c>
      <c r="S439" t="s">
        <v>74</v>
      </c>
      <c r="T439" t="s">
        <v>8534</v>
      </c>
      <c r="U439" t="s">
        <v>8535</v>
      </c>
      <c r="V439" t="s">
        <v>8536</v>
      </c>
      <c r="W439" t="s">
        <v>8537</v>
      </c>
      <c r="X439" t="s">
        <v>8538</v>
      </c>
      <c r="Y439" t="s">
        <v>8539</v>
      </c>
      <c r="Z439" t="s">
        <v>8540</v>
      </c>
      <c r="AA439" t="s">
        <v>8541</v>
      </c>
      <c r="AB439" t="s">
        <v>8542</v>
      </c>
      <c r="AC439" t="s">
        <v>8543</v>
      </c>
      <c r="AD439" t="s">
        <v>8544</v>
      </c>
      <c r="AE439" t="s">
        <v>8545</v>
      </c>
      <c r="AF439" t="s">
        <v>74</v>
      </c>
      <c r="AG439">
        <v>68</v>
      </c>
      <c r="AH439">
        <v>8</v>
      </c>
      <c r="AI439">
        <v>9</v>
      </c>
      <c r="AJ439">
        <v>0</v>
      </c>
      <c r="AK439">
        <v>22</v>
      </c>
      <c r="AL439" t="s">
        <v>8546</v>
      </c>
      <c r="AM439" t="s">
        <v>8547</v>
      </c>
      <c r="AN439" t="s">
        <v>8548</v>
      </c>
      <c r="AO439" t="s">
        <v>8549</v>
      </c>
      <c r="AP439" t="s">
        <v>8550</v>
      </c>
      <c r="AQ439" t="s">
        <v>74</v>
      </c>
      <c r="AR439" t="s">
        <v>8551</v>
      </c>
      <c r="AS439" t="s">
        <v>8552</v>
      </c>
      <c r="AT439" t="s">
        <v>8509</v>
      </c>
      <c r="AU439">
        <v>2017</v>
      </c>
      <c r="AV439">
        <v>15</v>
      </c>
      <c r="AW439">
        <v>2</v>
      </c>
      <c r="AX439" t="s">
        <v>74</v>
      </c>
      <c r="AY439" t="s">
        <v>74</v>
      </c>
      <c r="AZ439" t="s">
        <v>74</v>
      </c>
      <c r="BA439" t="s">
        <v>74</v>
      </c>
      <c r="BB439">
        <v>179</v>
      </c>
      <c r="BC439">
        <v>188</v>
      </c>
      <c r="BD439" t="s">
        <v>74</v>
      </c>
      <c r="BE439" t="s">
        <v>8553</v>
      </c>
      <c r="BF439" t="str">
        <f>HYPERLINK("http://dx.doi.org/10.4103/cs.cs_15_121","http://dx.doi.org/10.4103/cs.cs_15_121")</f>
        <v>http://dx.doi.org/10.4103/cs.cs_15_121</v>
      </c>
      <c r="BG439" t="s">
        <v>74</v>
      </c>
      <c r="BH439" t="s">
        <v>74</v>
      </c>
      <c r="BI439">
        <v>10</v>
      </c>
      <c r="BJ439" t="s">
        <v>8554</v>
      </c>
      <c r="BK439" t="s">
        <v>3321</v>
      </c>
      <c r="BL439" t="s">
        <v>326</v>
      </c>
      <c r="BM439" t="s">
        <v>8555</v>
      </c>
      <c r="BN439" t="s">
        <v>74</v>
      </c>
      <c r="BO439" t="s">
        <v>995</v>
      </c>
      <c r="BP439" t="s">
        <v>74</v>
      </c>
      <c r="BQ439" t="s">
        <v>74</v>
      </c>
      <c r="BR439" t="s">
        <v>106</v>
      </c>
      <c r="BS439" t="s">
        <v>8556</v>
      </c>
      <c r="BT439" t="str">
        <f>HYPERLINK("https%3A%2F%2Fwww.webofscience.com%2Fwos%2Fwoscc%2Ffull-record%2FWOS:000404486600006","View Full Record in Web of Science")</f>
        <v>View Full Record in Web of Science</v>
      </c>
    </row>
    <row r="440" spans="1:72" x14ac:dyDescent="0.15">
      <c r="A440" t="s">
        <v>72</v>
      </c>
      <c r="B440" t="s">
        <v>8557</v>
      </c>
      <c r="C440" t="s">
        <v>74</v>
      </c>
      <c r="D440" t="s">
        <v>74</v>
      </c>
      <c r="E440" t="s">
        <v>74</v>
      </c>
      <c r="F440" t="s">
        <v>8558</v>
      </c>
      <c r="G440" t="s">
        <v>74</v>
      </c>
      <c r="H440" t="s">
        <v>74</v>
      </c>
      <c r="I440" t="s">
        <v>8559</v>
      </c>
      <c r="J440" t="s">
        <v>8560</v>
      </c>
      <c r="K440" t="s">
        <v>74</v>
      </c>
      <c r="L440" t="s">
        <v>74</v>
      </c>
      <c r="M440" t="s">
        <v>78</v>
      </c>
      <c r="N440" t="s">
        <v>79</v>
      </c>
      <c r="O440" t="s">
        <v>74</v>
      </c>
      <c r="P440" t="s">
        <v>74</v>
      </c>
      <c r="Q440" t="s">
        <v>74</v>
      </c>
      <c r="R440" t="s">
        <v>74</v>
      </c>
      <c r="S440" t="s">
        <v>74</v>
      </c>
      <c r="T440" t="s">
        <v>8561</v>
      </c>
      <c r="U440" t="s">
        <v>8562</v>
      </c>
      <c r="V440" t="s">
        <v>8563</v>
      </c>
      <c r="W440" t="s">
        <v>8564</v>
      </c>
      <c r="X440" t="s">
        <v>8565</v>
      </c>
      <c r="Y440" t="s">
        <v>8566</v>
      </c>
      <c r="Z440" t="s">
        <v>8567</v>
      </c>
      <c r="AA440" t="s">
        <v>8568</v>
      </c>
      <c r="AB440" t="s">
        <v>8569</v>
      </c>
      <c r="AC440" t="s">
        <v>8570</v>
      </c>
      <c r="AD440" t="s">
        <v>8571</v>
      </c>
      <c r="AE440" t="s">
        <v>8572</v>
      </c>
      <c r="AF440" t="s">
        <v>74</v>
      </c>
      <c r="AG440">
        <v>60</v>
      </c>
      <c r="AH440">
        <v>13</v>
      </c>
      <c r="AI440">
        <v>13</v>
      </c>
      <c r="AJ440">
        <v>1</v>
      </c>
      <c r="AK440">
        <v>15</v>
      </c>
      <c r="AL440" t="s">
        <v>611</v>
      </c>
      <c r="AM440" t="s">
        <v>612</v>
      </c>
      <c r="AN440" t="s">
        <v>613</v>
      </c>
      <c r="AO440" t="s">
        <v>74</v>
      </c>
      <c r="AP440" t="s">
        <v>8573</v>
      </c>
      <c r="AQ440" t="s">
        <v>74</v>
      </c>
      <c r="AR440" t="s">
        <v>8574</v>
      </c>
      <c r="AS440" t="s">
        <v>8575</v>
      </c>
      <c r="AT440" t="s">
        <v>8336</v>
      </c>
      <c r="AU440">
        <v>2017</v>
      </c>
      <c r="AV440">
        <v>15</v>
      </c>
      <c r="AW440">
        <v>4</v>
      </c>
      <c r="AX440" t="s">
        <v>74</v>
      </c>
      <c r="AY440" t="s">
        <v>74</v>
      </c>
      <c r="AZ440" t="s">
        <v>74</v>
      </c>
      <c r="BA440" t="s">
        <v>74</v>
      </c>
      <c r="BB440" t="s">
        <v>74</v>
      </c>
      <c r="BC440" t="s">
        <v>74</v>
      </c>
      <c r="BD440">
        <v>114</v>
      </c>
      <c r="BE440" t="s">
        <v>8576</v>
      </c>
      <c r="BF440" t="str">
        <f>HYPERLINK("http://dx.doi.org/10.3390/md15040114","http://dx.doi.org/10.3390/md15040114")</f>
        <v>http://dx.doi.org/10.3390/md15040114</v>
      </c>
      <c r="BG440" t="s">
        <v>74</v>
      </c>
      <c r="BH440" t="s">
        <v>74</v>
      </c>
      <c r="BI440">
        <v>19</v>
      </c>
      <c r="BJ440" t="s">
        <v>8577</v>
      </c>
      <c r="BK440" t="s">
        <v>103</v>
      </c>
      <c r="BL440" t="s">
        <v>8578</v>
      </c>
      <c r="BM440" t="s">
        <v>8579</v>
      </c>
      <c r="BN440">
        <v>28397770</v>
      </c>
      <c r="BO440" t="s">
        <v>7299</v>
      </c>
      <c r="BP440" t="s">
        <v>74</v>
      </c>
      <c r="BQ440" t="s">
        <v>74</v>
      </c>
      <c r="BR440" t="s">
        <v>106</v>
      </c>
      <c r="BS440" t="s">
        <v>8580</v>
      </c>
      <c r="BT440" t="str">
        <f>HYPERLINK("https%3A%2F%2Fwww.webofscience.com%2Fwos%2Fwoscc%2Ffull-record%2FWOS:000404228300030","View Full Record in Web of Science")</f>
        <v>View Full Record in Web of Science</v>
      </c>
    </row>
    <row r="441" spans="1:72" x14ac:dyDescent="0.15">
      <c r="A441" t="s">
        <v>72</v>
      </c>
      <c r="B441" t="s">
        <v>8581</v>
      </c>
      <c r="C441" t="s">
        <v>74</v>
      </c>
      <c r="D441" t="s">
        <v>74</v>
      </c>
      <c r="E441" t="s">
        <v>74</v>
      </c>
      <c r="F441" t="s">
        <v>8582</v>
      </c>
      <c r="G441" t="s">
        <v>74</v>
      </c>
      <c r="H441" t="s">
        <v>74</v>
      </c>
      <c r="I441" t="s">
        <v>8583</v>
      </c>
      <c r="J441" t="s">
        <v>5121</v>
      </c>
      <c r="K441" t="s">
        <v>74</v>
      </c>
      <c r="L441" t="s">
        <v>74</v>
      </c>
      <c r="M441" t="s">
        <v>78</v>
      </c>
      <c r="N441" t="s">
        <v>79</v>
      </c>
      <c r="O441" t="s">
        <v>74</v>
      </c>
      <c r="P441" t="s">
        <v>74</v>
      </c>
      <c r="Q441" t="s">
        <v>74</v>
      </c>
      <c r="R441" t="s">
        <v>74</v>
      </c>
      <c r="S441" t="s">
        <v>74</v>
      </c>
      <c r="T441" t="s">
        <v>74</v>
      </c>
      <c r="U441" t="s">
        <v>8584</v>
      </c>
      <c r="V441" t="s">
        <v>8585</v>
      </c>
      <c r="W441" t="s">
        <v>8586</v>
      </c>
      <c r="X441" t="s">
        <v>8587</v>
      </c>
      <c r="Y441" t="s">
        <v>8588</v>
      </c>
      <c r="Z441" t="s">
        <v>8589</v>
      </c>
      <c r="AA441" t="s">
        <v>8590</v>
      </c>
      <c r="AB441" t="s">
        <v>8591</v>
      </c>
      <c r="AC441" t="s">
        <v>8592</v>
      </c>
      <c r="AD441" t="s">
        <v>8593</v>
      </c>
      <c r="AE441" t="s">
        <v>8594</v>
      </c>
      <c r="AF441" t="s">
        <v>74</v>
      </c>
      <c r="AG441">
        <v>49</v>
      </c>
      <c r="AH441">
        <v>11</v>
      </c>
      <c r="AI441">
        <v>12</v>
      </c>
      <c r="AJ441">
        <v>1</v>
      </c>
      <c r="AK441">
        <v>21</v>
      </c>
      <c r="AL441" t="s">
        <v>317</v>
      </c>
      <c r="AM441" t="s">
        <v>318</v>
      </c>
      <c r="AN441" t="s">
        <v>319</v>
      </c>
      <c r="AO441" t="s">
        <v>5134</v>
      </c>
      <c r="AP441" t="s">
        <v>5135</v>
      </c>
      <c r="AQ441" t="s">
        <v>74</v>
      </c>
      <c r="AR441" t="s">
        <v>5136</v>
      </c>
      <c r="AS441" t="s">
        <v>5137</v>
      </c>
      <c r="AT441" t="s">
        <v>8595</v>
      </c>
      <c r="AU441">
        <v>2017</v>
      </c>
      <c r="AV441">
        <v>386</v>
      </c>
      <c r="AW441" t="s">
        <v>74</v>
      </c>
      <c r="AX441" t="s">
        <v>74</v>
      </c>
      <c r="AY441" t="s">
        <v>74</v>
      </c>
      <c r="AZ441" t="s">
        <v>74</v>
      </c>
      <c r="BA441" t="s">
        <v>74</v>
      </c>
      <c r="BB441">
        <v>19</v>
      </c>
      <c r="BC441">
        <v>31</v>
      </c>
      <c r="BD441" t="s">
        <v>74</v>
      </c>
      <c r="BE441" t="s">
        <v>8596</v>
      </c>
      <c r="BF441" t="str">
        <f>HYPERLINK("http://dx.doi.org/10.1016/j.margeo.2017.02.006","http://dx.doi.org/10.1016/j.margeo.2017.02.006")</f>
        <v>http://dx.doi.org/10.1016/j.margeo.2017.02.006</v>
      </c>
      <c r="BG441" t="s">
        <v>74</v>
      </c>
      <c r="BH441" t="s">
        <v>74</v>
      </c>
      <c r="BI441">
        <v>13</v>
      </c>
      <c r="BJ441" t="s">
        <v>2433</v>
      </c>
      <c r="BK441" t="s">
        <v>103</v>
      </c>
      <c r="BL441" t="s">
        <v>2434</v>
      </c>
      <c r="BM441" t="s">
        <v>8597</v>
      </c>
      <c r="BN441" t="s">
        <v>74</v>
      </c>
      <c r="BO441" t="s">
        <v>2390</v>
      </c>
      <c r="BP441" t="s">
        <v>74</v>
      </c>
      <c r="BQ441" t="s">
        <v>74</v>
      </c>
      <c r="BR441" t="s">
        <v>106</v>
      </c>
      <c r="BS441" t="s">
        <v>8598</v>
      </c>
      <c r="BT441" t="str">
        <f>HYPERLINK("https%3A%2F%2Fwww.webofscience.com%2Fwos%2Fwoscc%2Ffull-record%2FWOS:000403512800002","View Full Record in Web of Science")</f>
        <v>View Full Record in Web of Science</v>
      </c>
    </row>
    <row r="442" spans="1:72" x14ac:dyDescent="0.15">
      <c r="A442" t="s">
        <v>72</v>
      </c>
      <c r="B442" t="s">
        <v>8599</v>
      </c>
      <c r="C442" t="s">
        <v>74</v>
      </c>
      <c r="D442" t="s">
        <v>74</v>
      </c>
      <c r="E442" t="s">
        <v>74</v>
      </c>
      <c r="F442" t="s">
        <v>8600</v>
      </c>
      <c r="G442" t="s">
        <v>74</v>
      </c>
      <c r="H442" t="s">
        <v>74</v>
      </c>
      <c r="I442" t="s">
        <v>8601</v>
      </c>
      <c r="J442" t="s">
        <v>5121</v>
      </c>
      <c r="K442" t="s">
        <v>74</v>
      </c>
      <c r="L442" t="s">
        <v>74</v>
      </c>
      <c r="M442" t="s">
        <v>78</v>
      </c>
      <c r="N442" t="s">
        <v>79</v>
      </c>
      <c r="O442" t="s">
        <v>74</v>
      </c>
      <c r="P442" t="s">
        <v>74</v>
      </c>
      <c r="Q442" t="s">
        <v>74</v>
      </c>
      <c r="R442" t="s">
        <v>74</v>
      </c>
      <c r="S442" t="s">
        <v>74</v>
      </c>
      <c r="T442" t="s">
        <v>8602</v>
      </c>
      <c r="U442" t="s">
        <v>8603</v>
      </c>
      <c r="V442" t="s">
        <v>8604</v>
      </c>
      <c r="W442" t="s">
        <v>8605</v>
      </c>
      <c r="X442" t="s">
        <v>8606</v>
      </c>
      <c r="Y442" t="s">
        <v>8607</v>
      </c>
      <c r="Z442" t="s">
        <v>8608</v>
      </c>
      <c r="AA442" t="s">
        <v>8609</v>
      </c>
      <c r="AB442" t="s">
        <v>8610</v>
      </c>
      <c r="AC442" t="s">
        <v>8611</v>
      </c>
      <c r="AD442" t="s">
        <v>8612</v>
      </c>
      <c r="AE442" t="s">
        <v>8613</v>
      </c>
      <c r="AF442" t="s">
        <v>74</v>
      </c>
      <c r="AG442">
        <v>54</v>
      </c>
      <c r="AH442">
        <v>32</v>
      </c>
      <c r="AI442">
        <v>36</v>
      </c>
      <c r="AJ442">
        <v>1</v>
      </c>
      <c r="AK442">
        <v>9</v>
      </c>
      <c r="AL442" t="s">
        <v>1141</v>
      </c>
      <c r="AM442" t="s">
        <v>318</v>
      </c>
      <c r="AN442" t="s">
        <v>1142</v>
      </c>
      <c r="AO442" t="s">
        <v>5134</v>
      </c>
      <c r="AP442" t="s">
        <v>5135</v>
      </c>
      <c r="AQ442" t="s">
        <v>74</v>
      </c>
      <c r="AR442" t="s">
        <v>5136</v>
      </c>
      <c r="AS442" t="s">
        <v>5137</v>
      </c>
      <c r="AT442" t="s">
        <v>8595</v>
      </c>
      <c r="AU442">
        <v>2017</v>
      </c>
      <c r="AV442">
        <v>386</v>
      </c>
      <c r="AW442" t="s">
        <v>74</v>
      </c>
      <c r="AX442" t="s">
        <v>74</v>
      </c>
      <c r="AY442" t="s">
        <v>74</v>
      </c>
      <c r="AZ442" t="s">
        <v>74</v>
      </c>
      <c r="BA442" t="s">
        <v>74</v>
      </c>
      <c r="BB442">
        <v>44</v>
      </c>
      <c r="BC442">
        <v>55</v>
      </c>
      <c r="BD442" t="s">
        <v>74</v>
      </c>
      <c r="BE442" t="s">
        <v>8614</v>
      </c>
      <c r="BF442" t="str">
        <f>HYPERLINK("http://dx.doi.org/10.1016/j.margeo.2017.01.010","http://dx.doi.org/10.1016/j.margeo.2017.01.010")</f>
        <v>http://dx.doi.org/10.1016/j.margeo.2017.01.010</v>
      </c>
      <c r="BG442" t="s">
        <v>74</v>
      </c>
      <c r="BH442" t="s">
        <v>74</v>
      </c>
      <c r="BI442">
        <v>12</v>
      </c>
      <c r="BJ442" t="s">
        <v>2433</v>
      </c>
      <c r="BK442" t="s">
        <v>103</v>
      </c>
      <c r="BL442" t="s">
        <v>2434</v>
      </c>
      <c r="BM442" t="s">
        <v>8597</v>
      </c>
      <c r="BN442" t="s">
        <v>74</v>
      </c>
      <c r="BO442" t="s">
        <v>74</v>
      </c>
      <c r="BP442" t="s">
        <v>74</v>
      </c>
      <c r="BQ442" t="s">
        <v>74</v>
      </c>
      <c r="BR442" t="s">
        <v>106</v>
      </c>
      <c r="BS442" t="s">
        <v>8615</v>
      </c>
      <c r="BT442" t="str">
        <f>HYPERLINK("https%3A%2F%2Fwww.webofscience.com%2Fwos%2Fwoscc%2Ffull-record%2FWOS:000403512800004","View Full Record in Web of Science")</f>
        <v>View Full Record in Web of Science</v>
      </c>
    </row>
    <row r="443" spans="1:72" x14ac:dyDescent="0.15">
      <c r="A443" t="s">
        <v>72</v>
      </c>
      <c r="B443" t="s">
        <v>8616</v>
      </c>
      <c r="C443" t="s">
        <v>74</v>
      </c>
      <c r="D443" t="s">
        <v>74</v>
      </c>
      <c r="E443" t="s">
        <v>74</v>
      </c>
      <c r="F443" t="s">
        <v>8617</v>
      </c>
      <c r="G443" t="s">
        <v>74</v>
      </c>
      <c r="H443" t="s">
        <v>74</v>
      </c>
      <c r="I443" t="s">
        <v>8618</v>
      </c>
      <c r="J443" t="s">
        <v>444</v>
      </c>
      <c r="K443" t="s">
        <v>74</v>
      </c>
      <c r="L443" t="s">
        <v>74</v>
      </c>
      <c r="M443" t="s">
        <v>78</v>
      </c>
      <c r="N443" t="s">
        <v>79</v>
      </c>
      <c r="O443" t="s">
        <v>74</v>
      </c>
      <c r="P443" t="s">
        <v>74</v>
      </c>
      <c r="Q443" t="s">
        <v>74</v>
      </c>
      <c r="R443" t="s">
        <v>74</v>
      </c>
      <c r="S443" t="s">
        <v>74</v>
      </c>
      <c r="T443" t="s">
        <v>74</v>
      </c>
      <c r="U443" t="s">
        <v>8619</v>
      </c>
      <c r="V443" t="s">
        <v>8620</v>
      </c>
      <c r="W443" t="s">
        <v>8621</v>
      </c>
      <c r="X443" t="s">
        <v>8622</v>
      </c>
      <c r="Y443" t="s">
        <v>8623</v>
      </c>
      <c r="Z443" t="s">
        <v>8624</v>
      </c>
      <c r="AA443" t="s">
        <v>8625</v>
      </c>
      <c r="AB443" t="s">
        <v>8626</v>
      </c>
      <c r="AC443" t="s">
        <v>8627</v>
      </c>
      <c r="AD443" t="s">
        <v>8628</v>
      </c>
      <c r="AE443" t="s">
        <v>8629</v>
      </c>
      <c r="AF443" t="s">
        <v>74</v>
      </c>
      <c r="AG443">
        <v>73</v>
      </c>
      <c r="AH443">
        <v>9</v>
      </c>
      <c r="AI443">
        <v>10</v>
      </c>
      <c r="AJ443">
        <v>2</v>
      </c>
      <c r="AK443">
        <v>39</v>
      </c>
      <c r="AL443" t="s">
        <v>222</v>
      </c>
      <c r="AM443" t="s">
        <v>223</v>
      </c>
      <c r="AN443" t="s">
        <v>224</v>
      </c>
      <c r="AO443" t="s">
        <v>74</v>
      </c>
      <c r="AP443" t="s">
        <v>452</v>
      </c>
      <c r="AQ443" t="s">
        <v>74</v>
      </c>
      <c r="AR443" t="s">
        <v>453</v>
      </c>
      <c r="AS443" t="s">
        <v>454</v>
      </c>
      <c r="AT443" t="s">
        <v>8336</v>
      </c>
      <c r="AU443">
        <v>2017</v>
      </c>
      <c r="AV443">
        <v>18</v>
      </c>
      <c r="AW443">
        <v>4</v>
      </c>
      <c r="AX443" t="s">
        <v>74</v>
      </c>
      <c r="AY443" t="s">
        <v>74</v>
      </c>
      <c r="AZ443" t="s">
        <v>74</v>
      </c>
      <c r="BA443" t="s">
        <v>74</v>
      </c>
      <c r="BB443">
        <v>1388</v>
      </c>
      <c r="BC443">
        <v>1403</v>
      </c>
      <c r="BD443" t="s">
        <v>74</v>
      </c>
      <c r="BE443" t="s">
        <v>8630</v>
      </c>
      <c r="BF443" t="str">
        <f>HYPERLINK("http://dx.doi.org/10.1002/2016GC006749","http://dx.doi.org/10.1002/2016GC006749")</f>
        <v>http://dx.doi.org/10.1002/2016GC006749</v>
      </c>
      <c r="BG443" t="s">
        <v>74</v>
      </c>
      <c r="BH443" t="s">
        <v>74</v>
      </c>
      <c r="BI443">
        <v>16</v>
      </c>
      <c r="BJ443" t="s">
        <v>176</v>
      </c>
      <c r="BK443" t="s">
        <v>103</v>
      </c>
      <c r="BL443" t="s">
        <v>176</v>
      </c>
      <c r="BM443" t="s">
        <v>8631</v>
      </c>
      <c r="BN443" t="s">
        <v>74</v>
      </c>
      <c r="BO443" t="s">
        <v>5593</v>
      </c>
      <c r="BP443" t="s">
        <v>74</v>
      </c>
      <c r="BQ443" t="s">
        <v>74</v>
      </c>
      <c r="BR443" t="s">
        <v>106</v>
      </c>
      <c r="BS443" t="s">
        <v>8632</v>
      </c>
      <c r="BT443" t="str">
        <f>HYPERLINK("https%3A%2F%2Fwww.webofscience.com%2Fwos%2Fwoscc%2Ffull-record%2FWOS:000403478500005","View Full Record in Web of Science")</f>
        <v>View Full Record in Web of Science</v>
      </c>
    </row>
    <row r="444" spans="1:72" x14ac:dyDescent="0.15">
      <c r="A444" t="s">
        <v>72</v>
      </c>
      <c r="B444" t="s">
        <v>8633</v>
      </c>
      <c r="C444" t="s">
        <v>74</v>
      </c>
      <c r="D444" t="s">
        <v>74</v>
      </c>
      <c r="E444" t="s">
        <v>74</v>
      </c>
      <c r="F444" t="s">
        <v>8634</v>
      </c>
      <c r="G444" t="s">
        <v>74</v>
      </c>
      <c r="H444" t="s">
        <v>74</v>
      </c>
      <c r="I444" t="s">
        <v>8635</v>
      </c>
      <c r="J444" t="s">
        <v>444</v>
      </c>
      <c r="K444" t="s">
        <v>74</v>
      </c>
      <c r="L444" t="s">
        <v>74</v>
      </c>
      <c r="M444" t="s">
        <v>78</v>
      </c>
      <c r="N444" t="s">
        <v>79</v>
      </c>
      <c r="O444" t="s">
        <v>74</v>
      </c>
      <c r="P444" t="s">
        <v>74</v>
      </c>
      <c r="Q444" t="s">
        <v>74</v>
      </c>
      <c r="R444" t="s">
        <v>74</v>
      </c>
      <c r="S444" t="s">
        <v>74</v>
      </c>
      <c r="T444" t="s">
        <v>74</v>
      </c>
      <c r="U444" t="s">
        <v>8636</v>
      </c>
      <c r="V444" t="s">
        <v>8637</v>
      </c>
      <c r="W444" t="s">
        <v>8638</v>
      </c>
      <c r="X444" t="s">
        <v>8639</v>
      </c>
      <c r="Y444" t="s">
        <v>8640</v>
      </c>
      <c r="Z444" t="s">
        <v>8641</v>
      </c>
      <c r="AA444" t="s">
        <v>8642</v>
      </c>
      <c r="AB444" t="s">
        <v>8643</v>
      </c>
      <c r="AC444" t="s">
        <v>8644</v>
      </c>
      <c r="AD444" t="s">
        <v>8645</v>
      </c>
      <c r="AE444" t="s">
        <v>8646</v>
      </c>
      <c r="AF444" t="s">
        <v>74</v>
      </c>
      <c r="AG444">
        <v>44</v>
      </c>
      <c r="AH444">
        <v>17</v>
      </c>
      <c r="AI444">
        <v>24</v>
      </c>
      <c r="AJ444">
        <v>1</v>
      </c>
      <c r="AK444">
        <v>12</v>
      </c>
      <c r="AL444" t="s">
        <v>222</v>
      </c>
      <c r="AM444" t="s">
        <v>223</v>
      </c>
      <c r="AN444" t="s">
        <v>224</v>
      </c>
      <c r="AO444" t="s">
        <v>452</v>
      </c>
      <c r="AP444" t="s">
        <v>74</v>
      </c>
      <c r="AQ444" t="s">
        <v>74</v>
      </c>
      <c r="AR444" t="s">
        <v>453</v>
      </c>
      <c r="AS444" t="s">
        <v>454</v>
      </c>
      <c r="AT444" t="s">
        <v>8336</v>
      </c>
      <c r="AU444">
        <v>2017</v>
      </c>
      <c r="AV444">
        <v>18</v>
      </c>
      <c r="AW444">
        <v>4</v>
      </c>
      <c r="AX444" t="s">
        <v>74</v>
      </c>
      <c r="AY444" t="s">
        <v>74</v>
      </c>
      <c r="AZ444" t="s">
        <v>74</v>
      </c>
      <c r="BA444" t="s">
        <v>74</v>
      </c>
      <c r="BB444">
        <v>1404</v>
      </c>
      <c r="BC444">
        <v>1418</v>
      </c>
      <c r="BD444" t="s">
        <v>74</v>
      </c>
      <c r="BE444" t="s">
        <v>8647</v>
      </c>
      <c r="BF444" t="str">
        <f>HYPERLINK("http://dx.doi.org/10.1002/2016GC006578","http://dx.doi.org/10.1002/2016GC006578")</f>
        <v>http://dx.doi.org/10.1002/2016GC006578</v>
      </c>
      <c r="BG444" t="s">
        <v>74</v>
      </c>
      <c r="BH444" t="s">
        <v>74</v>
      </c>
      <c r="BI444">
        <v>15</v>
      </c>
      <c r="BJ444" t="s">
        <v>176</v>
      </c>
      <c r="BK444" t="s">
        <v>103</v>
      </c>
      <c r="BL444" t="s">
        <v>176</v>
      </c>
      <c r="BM444" t="s">
        <v>8631</v>
      </c>
      <c r="BN444" t="s">
        <v>74</v>
      </c>
      <c r="BO444" t="s">
        <v>231</v>
      </c>
      <c r="BP444" t="s">
        <v>74</v>
      </c>
      <c r="BQ444" t="s">
        <v>74</v>
      </c>
      <c r="BR444" t="s">
        <v>106</v>
      </c>
      <c r="BS444" t="s">
        <v>8648</v>
      </c>
      <c r="BT444" t="str">
        <f>HYPERLINK("https%3A%2F%2Fwww.webofscience.com%2Fwos%2Fwoscc%2Ffull-record%2FWOS:000403478500006","View Full Record in Web of Science")</f>
        <v>View Full Record in Web of Science</v>
      </c>
    </row>
    <row r="445" spans="1:72" x14ac:dyDescent="0.15">
      <c r="A445" t="s">
        <v>72</v>
      </c>
      <c r="B445" t="s">
        <v>8649</v>
      </c>
      <c r="C445" t="s">
        <v>74</v>
      </c>
      <c r="D445" t="s">
        <v>74</v>
      </c>
      <c r="E445" t="s">
        <v>74</v>
      </c>
      <c r="F445" t="s">
        <v>8650</v>
      </c>
      <c r="G445" t="s">
        <v>74</v>
      </c>
      <c r="H445" t="s">
        <v>74</v>
      </c>
      <c r="I445" t="s">
        <v>8651</v>
      </c>
      <c r="J445" t="s">
        <v>8652</v>
      </c>
      <c r="K445" t="s">
        <v>74</v>
      </c>
      <c r="L445" t="s">
        <v>74</v>
      </c>
      <c r="M445" t="s">
        <v>78</v>
      </c>
      <c r="N445" t="s">
        <v>79</v>
      </c>
      <c r="O445" t="s">
        <v>74</v>
      </c>
      <c r="P445" t="s">
        <v>74</v>
      </c>
      <c r="Q445" t="s">
        <v>74</v>
      </c>
      <c r="R445" t="s">
        <v>74</v>
      </c>
      <c r="S445" t="s">
        <v>74</v>
      </c>
      <c r="T445" t="s">
        <v>8653</v>
      </c>
      <c r="U445" t="s">
        <v>8654</v>
      </c>
      <c r="V445" t="s">
        <v>8655</v>
      </c>
      <c r="W445" t="s">
        <v>8656</v>
      </c>
      <c r="X445" t="s">
        <v>8657</v>
      </c>
      <c r="Y445" t="s">
        <v>8658</v>
      </c>
      <c r="Z445" t="s">
        <v>8659</v>
      </c>
      <c r="AA445" t="s">
        <v>7593</v>
      </c>
      <c r="AB445" t="s">
        <v>7594</v>
      </c>
      <c r="AC445" t="s">
        <v>8660</v>
      </c>
      <c r="AD445" t="s">
        <v>8661</v>
      </c>
      <c r="AE445" t="s">
        <v>8662</v>
      </c>
      <c r="AF445" t="s">
        <v>74</v>
      </c>
      <c r="AG445">
        <v>41</v>
      </c>
      <c r="AH445">
        <v>5</v>
      </c>
      <c r="AI445">
        <v>5</v>
      </c>
      <c r="AJ445">
        <v>0</v>
      </c>
      <c r="AK445">
        <v>14</v>
      </c>
      <c r="AL445" t="s">
        <v>656</v>
      </c>
      <c r="AM445" t="s">
        <v>93</v>
      </c>
      <c r="AN445" t="s">
        <v>657</v>
      </c>
      <c r="AO445" t="s">
        <v>8663</v>
      </c>
      <c r="AP445" t="s">
        <v>74</v>
      </c>
      <c r="AQ445" t="s">
        <v>74</v>
      </c>
      <c r="AR445" t="s">
        <v>8664</v>
      </c>
      <c r="AS445" t="s">
        <v>8665</v>
      </c>
      <c r="AT445" t="s">
        <v>8336</v>
      </c>
      <c r="AU445">
        <v>2017</v>
      </c>
      <c r="AV445">
        <v>106</v>
      </c>
      <c r="AW445" t="s">
        <v>74</v>
      </c>
      <c r="AX445" t="s">
        <v>74</v>
      </c>
      <c r="AY445" t="s">
        <v>74</v>
      </c>
      <c r="AZ445" t="s">
        <v>74</v>
      </c>
      <c r="BA445" t="s">
        <v>74</v>
      </c>
      <c r="BB445">
        <v>68</v>
      </c>
      <c r="BC445">
        <v>75</v>
      </c>
      <c r="BD445" t="s">
        <v>74</v>
      </c>
      <c r="BE445" t="s">
        <v>8666</v>
      </c>
      <c r="BF445" t="str">
        <f>HYPERLINK("http://dx.doi.org/10.1016/j.orggeochem.2017.01.003","http://dx.doi.org/10.1016/j.orggeochem.2017.01.003")</f>
        <v>http://dx.doi.org/10.1016/j.orggeochem.2017.01.003</v>
      </c>
      <c r="BG445" t="s">
        <v>74</v>
      </c>
      <c r="BH445" t="s">
        <v>74</v>
      </c>
      <c r="BI445">
        <v>8</v>
      </c>
      <c r="BJ445" t="s">
        <v>176</v>
      </c>
      <c r="BK445" t="s">
        <v>103</v>
      </c>
      <c r="BL445" t="s">
        <v>176</v>
      </c>
      <c r="BM445" t="s">
        <v>8667</v>
      </c>
      <c r="BN445" t="s">
        <v>74</v>
      </c>
      <c r="BO445" t="s">
        <v>74</v>
      </c>
      <c r="BP445" t="s">
        <v>74</v>
      </c>
      <c r="BQ445" t="s">
        <v>74</v>
      </c>
      <c r="BR445" t="s">
        <v>106</v>
      </c>
      <c r="BS445" t="s">
        <v>8668</v>
      </c>
      <c r="BT445" t="str">
        <f>HYPERLINK("https%3A%2F%2Fwww.webofscience.com%2Fwos%2Fwoscc%2Ffull-record%2FWOS:000402483700007","View Full Record in Web of Science")</f>
        <v>View Full Record in Web of Science</v>
      </c>
    </row>
    <row r="446" spans="1:72" x14ac:dyDescent="0.15">
      <c r="A446" t="s">
        <v>72</v>
      </c>
      <c r="B446" t="s">
        <v>8669</v>
      </c>
      <c r="C446" t="s">
        <v>74</v>
      </c>
      <c r="D446" t="s">
        <v>74</v>
      </c>
      <c r="E446" t="s">
        <v>74</v>
      </c>
      <c r="F446" t="s">
        <v>8670</v>
      </c>
      <c r="G446" t="s">
        <v>74</v>
      </c>
      <c r="H446" t="s">
        <v>74</v>
      </c>
      <c r="I446" t="s">
        <v>8671</v>
      </c>
      <c r="J446" t="s">
        <v>8672</v>
      </c>
      <c r="K446" t="s">
        <v>74</v>
      </c>
      <c r="L446" t="s">
        <v>74</v>
      </c>
      <c r="M446" t="s">
        <v>78</v>
      </c>
      <c r="N446" t="s">
        <v>79</v>
      </c>
      <c r="O446" t="s">
        <v>74</v>
      </c>
      <c r="P446" t="s">
        <v>74</v>
      </c>
      <c r="Q446" t="s">
        <v>74</v>
      </c>
      <c r="R446" t="s">
        <v>74</v>
      </c>
      <c r="S446" t="s">
        <v>74</v>
      </c>
      <c r="T446" t="s">
        <v>74</v>
      </c>
      <c r="U446" t="s">
        <v>8673</v>
      </c>
      <c r="V446" t="s">
        <v>8674</v>
      </c>
      <c r="W446" t="s">
        <v>8675</v>
      </c>
      <c r="X446" t="s">
        <v>8676</v>
      </c>
      <c r="Y446" t="s">
        <v>8677</v>
      </c>
      <c r="Z446" t="s">
        <v>4307</v>
      </c>
      <c r="AA446" t="s">
        <v>8678</v>
      </c>
      <c r="AB446" t="s">
        <v>8679</v>
      </c>
      <c r="AC446" t="s">
        <v>8680</v>
      </c>
      <c r="AD446" t="s">
        <v>8681</v>
      </c>
      <c r="AE446" t="s">
        <v>8682</v>
      </c>
      <c r="AF446" t="s">
        <v>74</v>
      </c>
      <c r="AG446">
        <v>27</v>
      </c>
      <c r="AH446">
        <v>0</v>
      </c>
      <c r="AI446">
        <v>0</v>
      </c>
      <c r="AJ446">
        <v>0</v>
      </c>
      <c r="AK446">
        <v>6</v>
      </c>
      <c r="AL446" t="s">
        <v>222</v>
      </c>
      <c r="AM446" t="s">
        <v>223</v>
      </c>
      <c r="AN446" t="s">
        <v>224</v>
      </c>
      <c r="AO446" t="s">
        <v>8683</v>
      </c>
      <c r="AP446" t="s">
        <v>8684</v>
      </c>
      <c r="AQ446" t="s">
        <v>74</v>
      </c>
      <c r="AR446" t="s">
        <v>8685</v>
      </c>
      <c r="AS446" t="s">
        <v>8686</v>
      </c>
      <c r="AT446" t="s">
        <v>8336</v>
      </c>
      <c r="AU446">
        <v>2017</v>
      </c>
      <c r="AV446">
        <v>52</v>
      </c>
      <c r="AW446">
        <v>4</v>
      </c>
      <c r="AX446" t="s">
        <v>74</v>
      </c>
      <c r="AY446" t="s">
        <v>74</v>
      </c>
      <c r="AZ446" t="s">
        <v>74</v>
      </c>
      <c r="BA446" t="s">
        <v>74</v>
      </c>
      <c r="BB446">
        <v>498</v>
      </c>
      <c r="BC446">
        <v>510</v>
      </c>
      <c r="BD446" t="s">
        <v>74</v>
      </c>
      <c r="BE446" t="s">
        <v>8687</v>
      </c>
      <c r="BF446" t="str">
        <f>HYPERLINK("http://dx.doi.org/10.1002/2016RS006232","http://dx.doi.org/10.1002/2016RS006232")</f>
        <v>http://dx.doi.org/10.1002/2016RS006232</v>
      </c>
      <c r="BG446" t="s">
        <v>74</v>
      </c>
      <c r="BH446" t="s">
        <v>74</v>
      </c>
      <c r="BI446">
        <v>13</v>
      </c>
      <c r="BJ446" t="s">
        <v>8688</v>
      </c>
      <c r="BK446" t="s">
        <v>103</v>
      </c>
      <c r="BL446" t="s">
        <v>8688</v>
      </c>
      <c r="BM446" t="s">
        <v>8689</v>
      </c>
      <c r="BN446" t="s">
        <v>74</v>
      </c>
      <c r="BO446" t="s">
        <v>74</v>
      </c>
      <c r="BP446" t="s">
        <v>74</v>
      </c>
      <c r="BQ446" t="s">
        <v>74</v>
      </c>
      <c r="BR446" t="s">
        <v>106</v>
      </c>
      <c r="BS446" t="s">
        <v>8690</v>
      </c>
      <c r="BT446" t="str">
        <f>HYPERLINK("https%3A%2F%2Fwww.webofscience.com%2Fwos%2Fwoscc%2Ffull-record%2FWOS:000403287200007","View Full Record in Web of Science")</f>
        <v>View Full Record in Web of Science</v>
      </c>
    </row>
    <row r="447" spans="1:72" x14ac:dyDescent="0.15">
      <c r="A447" t="s">
        <v>72</v>
      </c>
      <c r="B447" t="s">
        <v>8691</v>
      </c>
      <c r="C447" t="s">
        <v>74</v>
      </c>
      <c r="D447" t="s">
        <v>74</v>
      </c>
      <c r="E447" t="s">
        <v>74</v>
      </c>
      <c r="F447" t="s">
        <v>8692</v>
      </c>
      <c r="G447" t="s">
        <v>74</v>
      </c>
      <c r="H447" t="s">
        <v>74</v>
      </c>
      <c r="I447" t="s">
        <v>8693</v>
      </c>
      <c r="J447" t="s">
        <v>8694</v>
      </c>
      <c r="K447" t="s">
        <v>74</v>
      </c>
      <c r="L447" t="s">
        <v>74</v>
      </c>
      <c r="M447" t="s">
        <v>78</v>
      </c>
      <c r="N447" t="s">
        <v>79</v>
      </c>
      <c r="O447" t="s">
        <v>74</v>
      </c>
      <c r="P447" t="s">
        <v>74</v>
      </c>
      <c r="Q447" t="s">
        <v>74</v>
      </c>
      <c r="R447" t="s">
        <v>74</v>
      </c>
      <c r="S447" t="s">
        <v>74</v>
      </c>
      <c r="T447" t="s">
        <v>8695</v>
      </c>
      <c r="U447" t="s">
        <v>8696</v>
      </c>
      <c r="V447" t="s">
        <v>8697</v>
      </c>
      <c r="W447" t="s">
        <v>8698</v>
      </c>
      <c r="X447" t="s">
        <v>8699</v>
      </c>
      <c r="Y447" t="s">
        <v>8700</v>
      </c>
      <c r="Z447" t="s">
        <v>8701</v>
      </c>
      <c r="AA447" t="s">
        <v>8702</v>
      </c>
      <c r="AB447" t="s">
        <v>8703</v>
      </c>
      <c r="AC447" t="s">
        <v>8704</v>
      </c>
      <c r="AD447" t="s">
        <v>8705</v>
      </c>
      <c r="AE447" t="s">
        <v>8706</v>
      </c>
      <c r="AF447" t="s">
        <v>74</v>
      </c>
      <c r="AG447">
        <v>46</v>
      </c>
      <c r="AH447">
        <v>26</v>
      </c>
      <c r="AI447">
        <v>30</v>
      </c>
      <c r="AJ447">
        <v>1</v>
      </c>
      <c r="AK447">
        <v>13</v>
      </c>
      <c r="AL447" t="s">
        <v>681</v>
      </c>
      <c r="AM447" t="s">
        <v>682</v>
      </c>
      <c r="AN447" t="s">
        <v>683</v>
      </c>
      <c r="AO447" t="s">
        <v>8707</v>
      </c>
      <c r="AP447" t="s">
        <v>8708</v>
      </c>
      <c r="AQ447" t="s">
        <v>74</v>
      </c>
      <c r="AR447" t="s">
        <v>8709</v>
      </c>
      <c r="AS447" t="s">
        <v>8710</v>
      </c>
      <c r="AT447" t="s">
        <v>8336</v>
      </c>
      <c r="AU447">
        <v>2017</v>
      </c>
      <c r="AV447">
        <v>143</v>
      </c>
      <c r="AW447">
        <v>704</v>
      </c>
      <c r="AX447" t="s">
        <v>380</v>
      </c>
      <c r="AY447" t="s">
        <v>74</v>
      </c>
      <c r="AZ447" t="s">
        <v>74</v>
      </c>
      <c r="BA447" t="s">
        <v>74</v>
      </c>
      <c r="BB447">
        <v>1211</v>
      </c>
      <c r="BC447">
        <v>1226</v>
      </c>
      <c r="BD447" t="s">
        <v>74</v>
      </c>
      <c r="BE447" t="s">
        <v>8711</v>
      </c>
      <c r="BF447" t="str">
        <f>HYPERLINK("http://dx.doi.org/10.1002/qj.2938","http://dx.doi.org/10.1002/qj.2938")</f>
        <v>http://dx.doi.org/10.1002/qj.2938</v>
      </c>
      <c r="BG447" t="s">
        <v>74</v>
      </c>
      <c r="BH447" t="s">
        <v>74</v>
      </c>
      <c r="BI447">
        <v>16</v>
      </c>
      <c r="BJ447" t="s">
        <v>1261</v>
      </c>
      <c r="BK447" t="s">
        <v>103</v>
      </c>
      <c r="BL447" t="s">
        <v>1261</v>
      </c>
      <c r="BM447" t="s">
        <v>8712</v>
      </c>
      <c r="BN447" t="s">
        <v>74</v>
      </c>
      <c r="BO447" t="s">
        <v>74</v>
      </c>
      <c r="BP447" t="s">
        <v>74</v>
      </c>
      <c r="BQ447" t="s">
        <v>74</v>
      </c>
      <c r="BR447" t="s">
        <v>106</v>
      </c>
      <c r="BS447" t="s">
        <v>8713</v>
      </c>
      <c r="BT447" t="str">
        <f>HYPERLINK("https%3A%2F%2Fwww.webofscience.com%2Fwos%2Fwoscc%2Ffull-record%2FWOS:000402539500003","View Full Record in Web of Science")</f>
        <v>View Full Record in Web of Science</v>
      </c>
    </row>
    <row r="448" spans="1:72" x14ac:dyDescent="0.15">
      <c r="A448" t="s">
        <v>72</v>
      </c>
      <c r="B448" t="s">
        <v>8714</v>
      </c>
      <c r="C448" t="s">
        <v>74</v>
      </c>
      <c r="D448" t="s">
        <v>74</v>
      </c>
      <c r="E448" t="s">
        <v>74</v>
      </c>
      <c r="F448" t="s">
        <v>8715</v>
      </c>
      <c r="G448" t="s">
        <v>74</v>
      </c>
      <c r="H448" t="s">
        <v>74</v>
      </c>
      <c r="I448" t="s">
        <v>8716</v>
      </c>
      <c r="J448" t="s">
        <v>8694</v>
      </c>
      <c r="K448" t="s">
        <v>74</v>
      </c>
      <c r="L448" t="s">
        <v>74</v>
      </c>
      <c r="M448" t="s">
        <v>78</v>
      </c>
      <c r="N448" t="s">
        <v>79</v>
      </c>
      <c r="O448" t="s">
        <v>74</v>
      </c>
      <c r="P448" t="s">
        <v>74</v>
      </c>
      <c r="Q448" t="s">
        <v>74</v>
      </c>
      <c r="R448" t="s">
        <v>74</v>
      </c>
      <c r="S448" t="s">
        <v>74</v>
      </c>
      <c r="T448" t="s">
        <v>8717</v>
      </c>
      <c r="U448" t="s">
        <v>8718</v>
      </c>
      <c r="V448" t="s">
        <v>8719</v>
      </c>
      <c r="W448" t="s">
        <v>8720</v>
      </c>
      <c r="X448" t="s">
        <v>8721</v>
      </c>
      <c r="Y448" t="s">
        <v>8722</v>
      </c>
      <c r="Z448" t="s">
        <v>8723</v>
      </c>
      <c r="AA448" t="s">
        <v>8724</v>
      </c>
      <c r="AB448" t="s">
        <v>8725</v>
      </c>
      <c r="AC448" t="s">
        <v>8726</v>
      </c>
      <c r="AD448" t="s">
        <v>8727</v>
      </c>
      <c r="AE448" t="s">
        <v>8728</v>
      </c>
      <c r="AF448" t="s">
        <v>74</v>
      </c>
      <c r="AG448">
        <v>72</v>
      </c>
      <c r="AH448">
        <v>56</v>
      </c>
      <c r="AI448">
        <v>58</v>
      </c>
      <c r="AJ448">
        <v>0</v>
      </c>
      <c r="AK448">
        <v>17</v>
      </c>
      <c r="AL448" t="s">
        <v>681</v>
      </c>
      <c r="AM448" t="s">
        <v>682</v>
      </c>
      <c r="AN448" t="s">
        <v>683</v>
      </c>
      <c r="AO448" t="s">
        <v>8707</v>
      </c>
      <c r="AP448" t="s">
        <v>8708</v>
      </c>
      <c r="AQ448" t="s">
        <v>74</v>
      </c>
      <c r="AR448" t="s">
        <v>8709</v>
      </c>
      <c r="AS448" t="s">
        <v>8710</v>
      </c>
      <c r="AT448" t="s">
        <v>8336</v>
      </c>
      <c r="AU448">
        <v>2017</v>
      </c>
      <c r="AV448">
        <v>143</v>
      </c>
      <c r="AW448">
        <v>704</v>
      </c>
      <c r="AX448" t="s">
        <v>380</v>
      </c>
      <c r="AY448" t="s">
        <v>74</v>
      </c>
      <c r="AZ448" t="s">
        <v>74</v>
      </c>
      <c r="BA448" t="s">
        <v>74</v>
      </c>
      <c r="BB448">
        <v>1241</v>
      </c>
      <c r="BC448">
        <v>1253</v>
      </c>
      <c r="BD448" t="s">
        <v>74</v>
      </c>
      <c r="BE448" t="s">
        <v>8729</v>
      </c>
      <c r="BF448" t="str">
        <f>HYPERLINK("http://dx.doi.org/10.1002/qj.2998","http://dx.doi.org/10.1002/qj.2998")</f>
        <v>http://dx.doi.org/10.1002/qj.2998</v>
      </c>
      <c r="BG448" t="s">
        <v>74</v>
      </c>
      <c r="BH448" t="s">
        <v>74</v>
      </c>
      <c r="BI448">
        <v>13</v>
      </c>
      <c r="BJ448" t="s">
        <v>1261</v>
      </c>
      <c r="BK448" t="s">
        <v>103</v>
      </c>
      <c r="BL448" t="s">
        <v>1261</v>
      </c>
      <c r="BM448" t="s">
        <v>8712</v>
      </c>
      <c r="BN448" t="s">
        <v>74</v>
      </c>
      <c r="BO448" t="s">
        <v>74</v>
      </c>
      <c r="BP448" t="s">
        <v>74</v>
      </c>
      <c r="BQ448" t="s">
        <v>74</v>
      </c>
      <c r="BR448" t="s">
        <v>106</v>
      </c>
      <c r="BS448" t="s">
        <v>8730</v>
      </c>
      <c r="BT448" t="str">
        <f>HYPERLINK("https%3A%2F%2Fwww.webofscience.com%2Fwos%2Fwoscc%2Ffull-record%2FWOS:000402539500005","View Full Record in Web of Science")</f>
        <v>View Full Record in Web of Science</v>
      </c>
    </row>
    <row r="449" spans="1:72" x14ac:dyDescent="0.15">
      <c r="A449" t="s">
        <v>72</v>
      </c>
      <c r="B449" t="s">
        <v>8731</v>
      </c>
      <c r="C449" t="s">
        <v>74</v>
      </c>
      <c r="D449" t="s">
        <v>74</v>
      </c>
      <c r="E449" t="s">
        <v>74</v>
      </c>
      <c r="F449" t="s">
        <v>8732</v>
      </c>
      <c r="G449" t="s">
        <v>74</v>
      </c>
      <c r="H449" t="s">
        <v>74</v>
      </c>
      <c r="I449" t="s">
        <v>8733</v>
      </c>
      <c r="J449" t="s">
        <v>389</v>
      </c>
      <c r="K449" t="s">
        <v>74</v>
      </c>
      <c r="L449" t="s">
        <v>74</v>
      </c>
      <c r="M449" t="s">
        <v>78</v>
      </c>
      <c r="N449" t="s">
        <v>79</v>
      </c>
      <c r="O449" t="s">
        <v>74</v>
      </c>
      <c r="P449" t="s">
        <v>74</v>
      </c>
      <c r="Q449" t="s">
        <v>74</v>
      </c>
      <c r="R449" t="s">
        <v>74</v>
      </c>
      <c r="S449" t="s">
        <v>74</v>
      </c>
      <c r="T449" t="s">
        <v>8734</v>
      </c>
      <c r="U449" t="s">
        <v>8735</v>
      </c>
      <c r="V449" t="s">
        <v>8736</v>
      </c>
      <c r="W449" t="s">
        <v>8737</v>
      </c>
      <c r="X449" t="s">
        <v>8738</v>
      </c>
      <c r="Y449" t="s">
        <v>8739</v>
      </c>
      <c r="Z449" t="s">
        <v>8740</v>
      </c>
      <c r="AA449" t="s">
        <v>8741</v>
      </c>
      <c r="AB449" t="s">
        <v>74</v>
      </c>
      <c r="AC449" t="s">
        <v>8742</v>
      </c>
      <c r="AD449" t="s">
        <v>8743</v>
      </c>
      <c r="AE449" t="s">
        <v>8744</v>
      </c>
      <c r="AF449" t="s">
        <v>74</v>
      </c>
      <c r="AG449">
        <v>35</v>
      </c>
      <c r="AH449">
        <v>20</v>
      </c>
      <c r="AI449">
        <v>20</v>
      </c>
      <c r="AJ449">
        <v>0</v>
      </c>
      <c r="AK449">
        <v>11</v>
      </c>
      <c r="AL449" t="s">
        <v>402</v>
      </c>
      <c r="AM449" t="s">
        <v>403</v>
      </c>
      <c r="AN449" t="s">
        <v>5114</v>
      </c>
      <c r="AO449" t="s">
        <v>405</v>
      </c>
      <c r="AP449" t="s">
        <v>406</v>
      </c>
      <c r="AQ449" t="s">
        <v>74</v>
      </c>
      <c r="AR449" t="s">
        <v>407</v>
      </c>
      <c r="AS449" t="s">
        <v>408</v>
      </c>
      <c r="AT449" t="s">
        <v>8336</v>
      </c>
      <c r="AU449">
        <v>2017</v>
      </c>
      <c r="AV449">
        <v>67</v>
      </c>
      <c r="AW449">
        <v>4</v>
      </c>
      <c r="AX449" t="s">
        <v>74</v>
      </c>
      <c r="AY449" t="s">
        <v>74</v>
      </c>
      <c r="AZ449" t="s">
        <v>74</v>
      </c>
      <c r="BA449" t="s">
        <v>74</v>
      </c>
      <c r="BB449">
        <v>1070</v>
      </c>
      <c r="BC449">
        <v>1074</v>
      </c>
      <c r="BD449" t="s">
        <v>74</v>
      </c>
      <c r="BE449" t="s">
        <v>8745</v>
      </c>
      <c r="BF449" t="str">
        <f>HYPERLINK("http://dx.doi.org/10.1099/ijsem.0.001804","http://dx.doi.org/10.1099/ijsem.0.001804")</f>
        <v>http://dx.doi.org/10.1099/ijsem.0.001804</v>
      </c>
      <c r="BG449" t="s">
        <v>74</v>
      </c>
      <c r="BH449" t="s">
        <v>74</v>
      </c>
      <c r="BI449">
        <v>5</v>
      </c>
      <c r="BJ449" t="s">
        <v>410</v>
      </c>
      <c r="BK449" t="s">
        <v>103</v>
      </c>
      <c r="BL449" t="s">
        <v>410</v>
      </c>
      <c r="BM449" t="s">
        <v>8746</v>
      </c>
      <c r="BN449">
        <v>28100315</v>
      </c>
      <c r="BO449" t="s">
        <v>412</v>
      </c>
      <c r="BP449" t="s">
        <v>74</v>
      </c>
      <c r="BQ449" t="s">
        <v>74</v>
      </c>
      <c r="BR449" t="s">
        <v>106</v>
      </c>
      <c r="BS449" t="s">
        <v>8747</v>
      </c>
      <c r="BT449" t="str">
        <f>HYPERLINK("https%3A%2F%2Fwww.webofscience.com%2Fwos%2Fwoscc%2Ffull-record%2FWOS:000401992800051","View Full Record in Web of Science")</f>
        <v>View Full Record in Web of Science</v>
      </c>
    </row>
    <row r="450" spans="1:72" x14ac:dyDescent="0.15">
      <c r="A450" t="s">
        <v>72</v>
      </c>
      <c r="B450" t="s">
        <v>8748</v>
      </c>
      <c r="C450" t="s">
        <v>74</v>
      </c>
      <c r="D450" t="s">
        <v>74</v>
      </c>
      <c r="E450" t="s">
        <v>74</v>
      </c>
      <c r="F450" t="s">
        <v>8749</v>
      </c>
      <c r="G450" t="s">
        <v>74</v>
      </c>
      <c r="H450" t="s">
        <v>74</v>
      </c>
      <c r="I450" t="s">
        <v>8750</v>
      </c>
      <c r="J450" t="s">
        <v>8751</v>
      </c>
      <c r="K450" t="s">
        <v>74</v>
      </c>
      <c r="L450" t="s">
        <v>74</v>
      </c>
      <c r="M450" t="s">
        <v>78</v>
      </c>
      <c r="N450" t="s">
        <v>79</v>
      </c>
      <c r="O450" t="s">
        <v>74</v>
      </c>
      <c r="P450" t="s">
        <v>74</v>
      </c>
      <c r="Q450" t="s">
        <v>74</v>
      </c>
      <c r="R450" t="s">
        <v>74</v>
      </c>
      <c r="S450" t="s">
        <v>74</v>
      </c>
      <c r="T450" t="s">
        <v>74</v>
      </c>
      <c r="U450" t="s">
        <v>8752</v>
      </c>
      <c r="V450" t="s">
        <v>8753</v>
      </c>
      <c r="W450" t="s">
        <v>8754</v>
      </c>
      <c r="X450" t="s">
        <v>8755</v>
      </c>
      <c r="Y450" t="s">
        <v>8756</v>
      </c>
      <c r="Z450" t="s">
        <v>8757</v>
      </c>
      <c r="AA450" t="s">
        <v>74</v>
      </c>
      <c r="AB450" t="s">
        <v>8758</v>
      </c>
      <c r="AC450" t="s">
        <v>8759</v>
      </c>
      <c r="AD450" t="s">
        <v>8760</v>
      </c>
      <c r="AE450" t="s">
        <v>8761</v>
      </c>
      <c r="AF450" t="s">
        <v>74</v>
      </c>
      <c r="AG450">
        <v>26</v>
      </c>
      <c r="AH450">
        <v>3</v>
      </c>
      <c r="AI450">
        <v>5</v>
      </c>
      <c r="AJ450">
        <v>1</v>
      </c>
      <c r="AK450">
        <v>8</v>
      </c>
      <c r="AL450" t="s">
        <v>8762</v>
      </c>
      <c r="AM450" t="s">
        <v>8763</v>
      </c>
      <c r="AN450" t="s">
        <v>8764</v>
      </c>
      <c r="AO450" t="s">
        <v>8765</v>
      </c>
      <c r="AP450" t="s">
        <v>8766</v>
      </c>
      <c r="AQ450" t="s">
        <v>74</v>
      </c>
      <c r="AR450" t="s">
        <v>8767</v>
      </c>
      <c r="AS450" t="s">
        <v>8768</v>
      </c>
      <c r="AT450" t="s">
        <v>8336</v>
      </c>
      <c r="AU450">
        <v>2017</v>
      </c>
      <c r="AV450">
        <v>107</v>
      </c>
      <c r="AW450">
        <v>2</v>
      </c>
      <c r="AX450" t="s">
        <v>74</v>
      </c>
      <c r="AY450" t="s">
        <v>74</v>
      </c>
      <c r="AZ450" t="s">
        <v>74</v>
      </c>
      <c r="BA450" t="s">
        <v>74</v>
      </c>
      <c r="BB450">
        <v>639</v>
      </c>
      <c r="BC450">
        <v>651</v>
      </c>
      <c r="BD450" t="s">
        <v>74</v>
      </c>
      <c r="BE450" t="s">
        <v>8769</v>
      </c>
      <c r="BF450" t="str">
        <f>HYPERLINK("http://dx.doi.org/10.1785/0120160262","http://dx.doi.org/10.1785/0120160262")</f>
        <v>http://dx.doi.org/10.1785/0120160262</v>
      </c>
      <c r="BG450" t="s">
        <v>74</v>
      </c>
      <c r="BH450" t="s">
        <v>74</v>
      </c>
      <c r="BI450">
        <v>13</v>
      </c>
      <c r="BJ450" t="s">
        <v>176</v>
      </c>
      <c r="BK450" t="s">
        <v>103</v>
      </c>
      <c r="BL450" t="s">
        <v>176</v>
      </c>
      <c r="BM450" t="s">
        <v>8770</v>
      </c>
      <c r="BN450" t="s">
        <v>74</v>
      </c>
      <c r="BO450" t="s">
        <v>74</v>
      </c>
      <c r="BP450" t="s">
        <v>74</v>
      </c>
      <c r="BQ450" t="s">
        <v>74</v>
      </c>
      <c r="BR450" t="s">
        <v>106</v>
      </c>
      <c r="BS450" t="s">
        <v>8771</v>
      </c>
      <c r="BT450" t="str">
        <f>HYPERLINK("https%3A%2F%2Fwww.webofscience.com%2Fwos%2Fwoscc%2Ffull-record%2FWOS:000402373000012","View Full Record in Web of Science")</f>
        <v>View Full Record in Web of Science</v>
      </c>
    </row>
    <row r="451" spans="1:72" x14ac:dyDescent="0.15">
      <c r="A451" t="s">
        <v>72</v>
      </c>
      <c r="B451" t="s">
        <v>8772</v>
      </c>
      <c r="C451" t="s">
        <v>74</v>
      </c>
      <c r="D451" t="s">
        <v>74</v>
      </c>
      <c r="E451" t="s">
        <v>74</v>
      </c>
      <c r="F451" t="s">
        <v>8773</v>
      </c>
      <c r="G451" t="s">
        <v>74</v>
      </c>
      <c r="H451" t="s">
        <v>74</v>
      </c>
      <c r="I451" t="s">
        <v>8774</v>
      </c>
      <c r="J451" t="s">
        <v>210</v>
      </c>
      <c r="K451" t="s">
        <v>74</v>
      </c>
      <c r="L451" t="s">
        <v>74</v>
      </c>
      <c r="M451" t="s">
        <v>78</v>
      </c>
      <c r="N451" t="s">
        <v>79</v>
      </c>
      <c r="O451" t="s">
        <v>74</v>
      </c>
      <c r="P451" t="s">
        <v>74</v>
      </c>
      <c r="Q451" t="s">
        <v>74</v>
      </c>
      <c r="R451" t="s">
        <v>74</v>
      </c>
      <c r="S451" t="s">
        <v>74</v>
      </c>
      <c r="T451" t="s">
        <v>8775</v>
      </c>
      <c r="U451" t="s">
        <v>8776</v>
      </c>
      <c r="V451" t="s">
        <v>8777</v>
      </c>
      <c r="W451" t="s">
        <v>8778</v>
      </c>
      <c r="X451" t="s">
        <v>8779</v>
      </c>
      <c r="Y451" t="s">
        <v>8780</v>
      </c>
      <c r="Z451" t="s">
        <v>8781</v>
      </c>
      <c r="AA451" t="s">
        <v>8782</v>
      </c>
      <c r="AB451" t="s">
        <v>8783</v>
      </c>
      <c r="AC451" t="s">
        <v>8784</v>
      </c>
      <c r="AD451" t="s">
        <v>8785</v>
      </c>
      <c r="AE451" t="s">
        <v>8786</v>
      </c>
      <c r="AF451" t="s">
        <v>74</v>
      </c>
      <c r="AG451">
        <v>42</v>
      </c>
      <c r="AH451">
        <v>12</v>
      </c>
      <c r="AI451">
        <v>13</v>
      </c>
      <c r="AJ451">
        <v>1</v>
      </c>
      <c r="AK451">
        <v>14</v>
      </c>
      <c r="AL451" t="s">
        <v>222</v>
      </c>
      <c r="AM451" t="s">
        <v>223</v>
      </c>
      <c r="AN451" t="s">
        <v>224</v>
      </c>
      <c r="AO451" t="s">
        <v>225</v>
      </c>
      <c r="AP451" t="s">
        <v>226</v>
      </c>
      <c r="AQ451" t="s">
        <v>74</v>
      </c>
      <c r="AR451" t="s">
        <v>227</v>
      </c>
      <c r="AS451" t="s">
        <v>228</v>
      </c>
      <c r="AT451" t="s">
        <v>8336</v>
      </c>
      <c r="AU451">
        <v>2017</v>
      </c>
      <c r="AV451">
        <v>122</v>
      </c>
      <c r="AW451">
        <v>4</v>
      </c>
      <c r="AX451" t="s">
        <v>74</v>
      </c>
      <c r="AY451" t="s">
        <v>74</v>
      </c>
      <c r="AZ451" t="s">
        <v>74</v>
      </c>
      <c r="BA451" t="s">
        <v>74</v>
      </c>
      <c r="BB451">
        <v>2724</v>
      </c>
      <c r="BC451">
        <v>2741</v>
      </c>
      <c r="BD451" t="s">
        <v>74</v>
      </c>
      <c r="BE451" t="s">
        <v>8787</v>
      </c>
      <c r="BF451" t="str">
        <f>HYPERLINK("http://dx.doi.org/10.1002/2016JC012292","http://dx.doi.org/10.1002/2016JC012292")</f>
        <v>http://dx.doi.org/10.1002/2016JC012292</v>
      </c>
      <c r="BG451" t="s">
        <v>74</v>
      </c>
      <c r="BH451" t="s">
        <v>74</v>
      </c>
      <c r="BI451">
        <v>18</v>
      </c>
      <c r="BJ451" t="s">
        <v>127</v>
      </c>
      <c r="BK451" t="s">
        <v>103</v>
      </c>
      <c r="BL451" t="s">
        <v>127</v>
      </c>
      <c r="BM451" t="s">
        <v>8788</v>
      </c>
      <c r="BN451" t="s">
        <v>74</v>
      </c>
      <c r="BO451" t="s">
        <v>5576</v>
      </c>
      <c r="BP451" t="s">
        <v>74</v>
      </c>
      <c r="BQ451" t="s">
        <v>74</v>
      </c>
      <c r="BR451" t="s">
        <v>106</v>
      </c>
      <c r="BS451" t="s">
        <v>8789</v>
      </c>
      <c r="BT451" t="str">
        <f>HYPERLINK("https%3A%2F%2Fwww.webofscience.com%2Fwos%2Fwoscc%2Ffull-record%2FWOS:000402139900006","View Full Record in Web of Science")</f>
        <v>View Full Record in Web of Science</v>
      </c>
    </row>
    <row r="452" spans="1:72" x14ac:dyDescent="0.15">
      <c r="A452" t="s">
        <v>72</v>
      </c>
      <c r="B452" t="s">
        <v>8790</v>
      </c>
      <c r="C452" t="s">
        <v>74</v>
      </c>
      <c r="D452" t="s">
        <v>74</v>
      </c>
      <c r="E452" t="s">
        <v>74</v>
      </c>
      <c r="F452" t="s">
        <v>8791</v>
      </c>
      <c r="G452" t="s">
        <v>74</v>
      </c>
      <c r="H452" t="s">
        <v>74</v>
      </c>
      <c r="I452" t="s">
        <v>8792</v>
      </c>
      <c r="J452" t="s">
        <v>210</v>
      </c>
      <c r="K452" t="s">
        <v>74</v>
      </c>
      <c r="L452" t="s">
        <v>74</v>
      </c>
      <c r="M452" t="s">
        <v>78</v>
      </c>
      <c r="N452" t="s">
        <v>79</v>
      </c>
      <c r="O452" t="s">
        <v>74</v>
      </c>
      <c r="P452" t="s">
        <v>74</v>
      </c>
      <c r="Q452" t="s">
        <v>74</v>
      </c>
      <c r="R452" t="s">
        <v>74</v>
      </c>
      <c r="S452" t="s">
        <v>74</v>
      </c>
      <c r="T452" t="s">
        <v>8793</v>
      </c>
      <c r="U452" t="s">
        <v>8794</v>
      </c>
      <c r="V452" t="s">
        <v>8795</v>
      </c>
      <c r="W452" t="s">
        <v>8796</v>
      </c>
      <c r="X452" t="s">
        <v>8797</v>
      </c>
      <c r="Y452" t="s">
        <v>8798</v>
      </c>
      <c r="Z452" t="s">
        <v>8799</v>
      </c>
      <c r="AA452" t="s">
        <v>8800</v>
      </c>
      <c r="AB452" t="s">
        <v>8801</v>
      </c>
      <c r="AC452" t="s">
        <v>8802</v>
      </c>
      <c r="AD452" t="s">
        <v>8803</v>
      </c>
      <c r="AE452" t="s">
        <v>8804</v>
      </c>
      <c r="AF452" t="s">
        <v>74</v>
      </c>
      <c r="AG452">
        <v>97</v>
      </c>
      <c r="AH452">
        <v>49</v>
      </c>
      <c r="AI452">
        <v>53</v>
      </c>
      <c r="AJ452">
        <v>3</v>
      </c>
      <c r="AK452">
        <v>24</v>
      </c>
      <c r="AL452" t="s">
        <v>222</v>
      </c>
      <c r="AM452" t="s">
        <v>223</v>
      </c>
      <c r="AN452" t="s">
        <v>224</v>
      </c>
      <c r="AO452" t="s">
        <v>225</v>
      </c>
      <c r="AP452" t="s">
        <v>226</v>
      </c>
      <c r="AQ452" t="s">
        <v>74</v>
      </c>
      <c r="AR452" t="s">
        <v>227</v>
      </c>
      <c r="AS452" t="s">
        <v>228</v>
      </c>
      <c r="AT452" t="s">
        <v>8336</v>
      </c>
      <c r="AU452">
        <v>2017</v>
      </c>
      <c r="AV452">
        <v>122</v>
      </c>
      <c r="AW452">
        <v>4</v>
      </c>
      <c r="AX452" t="s">
        <v>74</v>
      </c>
      <c r="AY452" t="s">
        <v>74</v>
      </c>
      <c r="AZ452" t="s">
        <v>74</v>
      </c>
      <c r="BA452" t="s">
        <v>74</v>
      </c>
      <c r="BB452">
        <v>3329</v>
      </c>
      <c r="BC452">
        <v>3357</v>
      </c>
      <c r="BD452" t="s">
        <v>74</v>
      </c>
      <c r="BE452" t="s">
        <v>8805</v>
      </c>
      <c r="BF452" t="str">
        <f>HYPERLINK("http://dx.doi.org/10.1002/2016JC012611","http://dx.doi.org/10.1002/2016JC012611")</f>
        <v>http://dx.doi.org/10.1002/2016JC012611</v>
      </c>
      <c r="BG452" t="s">
        <v>74</v>
      </c>
      <c r="BH452" t="s">
        <v>74</v>
      </c>
      <c r="BI452">
        <v>29</v>
      </c>
      <c r="BJ452" t="s">
        <v>127</v>
      </c>
      <c r="BK452" t="s">
        <v>103</v>
      </c>
      <c r="BL452" t="s">
        <v>127</v>
      </c>
      <c r="BM452" t="s">
        <v>8788</v>
      </c>
      <c r="BN452" t="s">
        <v>74</v>
      </c>
      <c r="BO452" t="s">
        <v>5576</v>
      </c>
      <c r="BP452" t="s">
        <v>74</v>
      </c>
      <c r="BQ452" t="s">
        <v>74</v>
      </c>
      <c r="BR452" t="s">
        <v>106</v>
      </c>
      <c r="BS452" t="s">
        <v>8806</v>
      </c>
      <c r="BT452" t="str">
        <f>HYPERLINK("https%3A%2F%2Fwww.webofscience.com%2Fwos%2Fwoscc%2Ffull-record%2FWOS:000402139900039","View Full Record in Web of Science")</f>
        <v>View Full Record in Web of Science</v>
      </c>
    </row>
    <row r="453" spans="1:72" x14ac:dyDescent="0.15">
      <c r="A453" t="s">
        <v>72</v>
      </c>
      <c r="B453" t="s">
        <v>8807</v>
      </c>
      <c r="C453" t="s">
        <v>74</v>
      </c>
      <c r="D453" t="s">
        <v>74</v>
      </c>
      <c r="E453" t="s">
        <v>74</v>
      </c>
      <c r="F453" t="s">
        <v>8808</v>
      </c>
      <c r="G453" t="s">
        <v>74</v>
      </c>
      <c r="H453" t="s">
        <v>74</v>
      </c>
      <c r="I453" t="s">
        <v>8809</v>
      </c>
      <c r="J453" t="s">
        <v>895</v>
      </c>
      <c r="K453" t="s">
        <v>74</v>
      </c>
      <c r="L453" t="s">
        <v>74</v>
      </c>
      <c r="M453" t="s">
        <v>78</v>
      </c>
      <c r="N453" t="s">
        <v>79</v>
      </c>
      <c r="O453" t="s">
        <v>74</v>
      </c>
      <c r="P453" t="s">
        <v>74</v>
      </c>
      <c r="Q453" t="s">
        <v>74</v>
      </c>
      <c r="R453" t="s">
        <v>74</v>
      </c>
      <c r="S453" t="s">
        <v>74</v>
      </c>
      <c r="T453" t="s">
        <v>8810</v>
      </c>
      <c r="U453" t="s">
        <v>8811</v>
      </c>
      <c r="V453" t="s">
        <v>8812</v>
      </c>
      <c r="W453" t="s">
        <v>8813</v>
      </c>
      <c r="X453" t="s">
        <v>8814</v>
      </c>
      <c r="Y453" t="s">
        <v>8815</v>
      </c>
      <c r="Z453" t="s">
        <v>8816</v>
      </c>
      <c r="AA453" t="s">
        <v>8817</v>
      </c>
      <c r="AB453" t="s">
        <v>8818</v>
      </c>
      <c r="AC453" t="s">
        <v>8819</v>
      </c>
      <c r="AD453" t="s">
        <v>8820</v>
      </c>
      <c r="AE453" t="s">
        <v>8821</v>
      </c>
      <c r="AF453" t="s">
        <v>74</v>
      </c>
      <c r="AG453">
        <v>84</v>
      </c>
      <c r="AH453">
        <v>39</v>
      </c>
      <c r="AI453">
        <v>41</v>
      </c>
      <c r="AJ453">
        <v>1</v>
      </c>
      <c r="AK453">
        <v>47</v>
      </c>
      <c r="AL453" t="s">
        <v>656</v>
      </c>
      <c r="AM453" t="s">
        <v>93</v>
      </c>
      <c r="AN453" t="s">
        <v>657</v>
      </c>
      <c r="AO453" t="s">
        <v>911</v>
      </c>
      <c r="AP453" t="s">
        <v>912</v>
      </c>
      <c r="AQ453" t="s">
        <v>74</v>
      </c>
      <c r="AR453" t="s">
        <v>913</v>
      </c>
      <c r="AS453" t="s">
        <v>914</v>
      </c>
      <c r="AT453" t="s">
        <v>8336</v>
      </c>
      <c r="AU453">
        <v>2017</v>
      </c>
      <c r="AV453">
        <v>138</v>
      </c>
      <c r="AW453" t="s">
        <v>74</v>
      </c>
      <c r="AX453" t="s">
        <v>74</v>
      </c>
      <c r="AY453" t="s">
        <v>74</v>
      </c>
      <c r="AZ453" t="s">
        <v>74</v>
      </c>
      <c r="BA453" t="s">
        <v>74</v>
      </c>
      <c r="BB453">
        <v>63</v>
      </c>
      <c r="BC453">
        <v>73</v>
      </c>
      <c r="BD453" t="s">
        <v>74</v>
      </c>
      <c r="BE453" t="s">
        <v>8822</v>
      </c>
      <c r="BF453" t="str">
        <f>HYPERLINK("http://dx.doi.org/10.1016/j.dsr2.2015.10.005","http://dx.doi.org/10.1016/j.dsr2.2015.10.005")</f>
        <v>http://dx.doi.org/10.1016/j.dsr2.2015.10.005</v>
      </c>
      <c r="BG453" t="s">
        <v>74</v>
      </c>
      <c r="BH453" t="s">
        <v>74</v>
      </c>
      <c r="BI453">
        <v>11</v>
      </c>
      <c r="BJ453" t="s">
        <v>127</v>
      </c>
      <c r="BK453" t="s">
        <v>103</v>
      </c>
      <c r="BL453" t="s">
        <v>127</v>
      </c>
      <c r="BM453" t="s">
        <v>8823</v>
      </c>
      <c r="BN453">
        <v>28515575</v>
      </c>
      <c r="BO453" t="s">
        <v>8824</v>
      </c>
      <c r="BP453" t="s">
        <v>74</v>
      </c>
      <c r="BQ453" t="s">
        <v>74</v>
      </c>
      <c r="BR453" t="s">
        <v>106</v>
      </c>
      <c r="BS453" t="s">
        <v>8825</v>
      </c>
      <c r="BT453" t="str">
        <f>HYPERLINK("https%3A%2F%2Fwww.webofscience.com%2Fwos%2Fwoscc%2Ffull-record%2FWOS:000401211100006","View Full Record in Web of Science")</f>
        <v>View Full Record in Web of Science</v>
      </c>
    </row>
    <row r="454" spans="1:72" x14ac:dyDescent="0.15">
      <c r="A454" t="s">
        <v>72</v>
      </c>
      <c r="B454" t="s">
        <v>8826</v>
      </c>
      <c r="C454" t="s">
        <v>74</v>
      </c>
      <c r="D454" t="s">
        <v>74</v>
      </c>
      <c r="E454" t="s">
        <v>74</v>
      </c>
      <c r="F454" t="s">
        <v>8827</v>
      </c>
      <c r="G454" t="s">
        <v>74</v>
      </c>
      <c r="H454" t="s">
        <v>74</v>
      </c>
      <c r="I454" t="s">
        <v>8828</v>
      </c>
      <c r="J454" t="s">
        <v>895</v>
      </c>
      <c r="K454" t="s">
        <v>74</v>
      </c>
      <c r="L454" t="s">
        <v>74</v>
      </c>
      <c r="M454" t="s">
        <v>78</v>
      </c>
      <c r="N454" t="s">
        <v>79</v>
      </c>
      <c r="O454" t="s">
        <v>74</v>
      </c>
      <c r="P454" t="s">
        <v>74</v>
      </c>
      <c r="Q454" t="s">
        <v>74</v>
      </c>
      <c r="R454" t="s">
        <v>74</v>
      </c>
      <c r="S454" t="s">
        <v>74</v>
      </c>
      <c r="T454" t="s">
        <v>8829</v>
      </c>
      <c r="U454" t="s">
        <v>8830</v>
      </c>
      <c r="V454" t="s">
        <v>8831</v>
      </c>
      <c r="W454" t="s">
        <v>8832</v>
      </c>
      <c r="X454" t="s">
        <v>8833</v>
      </c>
      <c r="Y454" t="s">
        <v>8834</v>
      </c>
      <c r="Z454" t="s">
        <v>8835</v>
      </c>
      <c r="AA454" t="s">
        <v>8836</v>
      </c>
      <c r="AB454" t="s">
        <v>8837</v>
      </c>
      <c r="AC454" t="s">
        <v>8838</v>
      </c>
      <c r="AD454" t="s">
        <v>8839</v>
      </c>
      <c r="AE454" t="s">
        <v>8840</v>
      </c>
      <c r="AF454" t="s">
        <v>74</v>
      </c>
      <c r="AG454">
        <v>61</v>
      </c>
      <c r="AH454">
        <v>11</v>
      </c>
      <c r="AI454">
        <v>12</v>
      </c>
      <c r="AJ454">
        <v>0</v>
      </c>
      <c r="AK454">
        <v>32</v>
      </c>
      <c r="AL454" t="s">
        <v>656</v>
      </c>
      <c r="AM454" t="s">
        <v>93</v>
      </c>
      <c r="AN454" t="s">
        <v>657</v>
      </c>
      <c r="AO454" t="s">
        <v>911</v>
      </c>
      <c r="AP454" t="s">
        <v>912</v>
      </c>
      <c r="AQ454" t="s">
        <v>74</v>
      </c>
      <c r="AR454" t="s">
        <v>913</v>
      </c>
      <c r="AS454" t="s">
        <v>914</v>
      </c>
      <c r="AT454" t="s">
        <v>8336</v>
      </c>
      <c r="AU454">
        <v>2017</v>
      </c>
      <c r="AV454">
        <v>138</v>
      </c>
      <c r="AW454" t="s">
        <v>74</v>
      </c>
      <c r="AX454" t="s">
        <v>74</v>
      </c>
      <c r="AY454" t="s">
        <v>74</v>
      </c>
      <c r="AZ454" t="s">
        <v>74</v>
      </c>
      <c r="BA454" t="s">
        <v>74</v>
      </c>
      <c r="BB454">
        <v>74</v>
      </c>
      <c r="BC454">
        <v>85</v>
      </c>
      <c r="BD454" t="s">
        <v>74</v>
      </c>
      <c r="BE454" t="s">
        <v>8841</v>
      </c>
      <c r="BF454" t="str">
        <f>HYPERLINK("http://dx.doi.org/10.1016/j.dsr2.2016.05.019","http://dx.doi.org/10.1016/j.dsr2.2016.05.019")</f>
        <v>http://dx.doi.org/10.1016/j.dsr2.2016.05.019</v>
      </c>
      <c r="BG454" t="s">
        <v>74</v>
      </c>
      <c r="BH454" t="s">
        <v>74</v>
      </c>
      <c r="BI454">
        <v>12</v>
      </c>
      <c r="BJ454" t="s">
        <v>127</v>
      </c>
      <c r="BK454" t="s">
        <v>103</v>
      </c>
      <c r="BL454" t="s">
        <v>127</v>
      </c>
      <c r="BM454" t="s">
        <v>8823</v>
      </c>
      <c r="BN454" t="s">
        <v>74</v>
      </c>
      <c r="BO454" t="s">
        <v>8824</v>
      </c>
      <c r="BP454" t="s">
        <v>74</v>
      </c>
      <c r="BQ454" t="s">
        <v>74</v>
      </c>
      <c r="BR454" t="s">
        <v>106</v>
      </c>
      <c r="BS454" t="s">
        <v>8842</v>
      </c>
      <c r="BT454" t="str">
        <f>HYPERLINK("https%3A%2F%2Fwww.webofscience.com%2Fwos%2Fwoscc%2Ffull-record%2FWOS:000401211100007","View Full Record in Web of Science")</f>
        <v>View Full Record in Web of Science</v>
      </c>
    </row>
    <row r="455" spans="1:72" x14ac:dyDescent="0.15">
      <c r="A455" t="s">
        <v>72</v>
      </c>
      <c r="B455" t="s">
        <v>8843</v>
      </c>
      <c r="C455" t="s">
        <v>74</v>
      </c>
      <c r="D455" t="s">
        <v>74</v>
      </c>
      <c r="E455" t="s">
        <v>74</v>
      </c>
      <c r="F455" t="s">
        <v>8844</v>
      </c>
      <c r="G455" t="s">
        <v>74</v>
      </c>
      <c r="H455" t="s">
        <v>74</v>
      </c>
      <c r="I455" t="s">
        <v>8845</v>
      </c>
      <c r="J455" t="s">
        <v>895</v>
      </c>
      <c r="K455" t="s">
        <v>74</v>
      </c>
      <c r="L455" t="s">
        <v>74</v>
      </c>
      <c r="M455" t="s">
        <v>78</v>
      </c>
      <c r="N455" t="s">
        <v>79</v>
      </c>
      <c r="O455" t="s">
        <v>74</v>
      </c>
      <c r="P455" t="s">
        <v>74</v>
      </c>
      <c r="Q455" t="s">
        <v>74</v>
      </c>
      <c r="R455" t="s">
        <v>74</v>
      </c>
      <c r="S455" t="s">
        <v>74</v>
      </c>
      <c r="T455" t="s">
        <v>8846</v>
      </c>
      <c r="U455" t="s">
        <v>8847</v>
      </c>
      <c r="V455" t="s">
        <v>8848</v>
      </c>
      <c r="W455" t="s">
        <v>8849</v>
      </c>
      <c r="X455" t="s">
        <v>8850</v>
      </c>
      <c r="Y455" t="s">
        <v>8851</v>
      </c>
      <c r="Z455" t="s">
        <v>8852</v>
      </c>
      <c r="AA455" t="s">
        <v>8853</v>
      </c>
      <c r="AB455" t="s">
        <v>8854</v>
      </c>
      <c r="AC455" t="s">
        <v>8855</v>
      </c>
      <c r="AD455" t="s">
        <v>8856</v>
      </c>
      <c r="AE455" t="s">
        <v>8857</v>
      </c>
      <c r="AF455" t="s">
        <v>74</v>
      </c>
      <c r="AG455">
        <v>118</v>
      </c>
      <c r="AH455">
        <v>19</v>
      </c>
      <c r="AI455">
        <v>19</v>
      </c>
      <c r="AJ455">
        <v>1</v>
      </c>
      <c r="AK455">
        <v>25</v>
      </c>
      <c r="AL455" t="s">
        <v>656</v>
      </c>
      <c r="AM455" t="s">
        <v>93</v>
      </c>
      <c r="AN455" t="s">
        <v>657</v>
      </c>
      <c r="AO455" t="s">
        <v>911</v>
      </c>
      <c r="AP455" t="s">
        <v>912</v>
      </c>
      <c r="AQ455" t="s">
        <v>74</v>
      </c>
      <c r="AR455" t="s">
        <v>913</v>
      </c>
      <c r="AS455" t="s">
        <v>914</v>
      </c>
      <c r="AT455" t="s">
        <v>8336</v>
      </c>
      <c r="AU455">
        <v>2017</v>
      </c>
      <c r="AV455">
        <v>138</v>
      </c>
      <c r="AW455" t="s">
        <v>74</v>
      </c>
      <c r="AX455" t="s">
        <v>74</v>
      </c>
      <c r="AY455" t="s">
        <v>74</v>
      </c>
      <c r="AZ455" t="s">
        <v>74</v>
      </c>
      <c r="BA455" t="s">
        <v>74</v>
      </c>
      <c r="BB455">
        <v>86</v>
      </c>
      <c r="BC455">
        <v>101</v>
      </c>
      <c r="BD455" t="s">
        <v>74</v>
      </c>
      <c r="BE455" t="s">
        <v>8858</v>
      </c>
      <c r="BF455" t="str">
        <f>HYPERLINK("http://dx.doi.org/10.1016/j.dsr2.2016.05.016","http://dx.doi.org/10.1016/j.dsr2.2016.05.016")</f>
        <v>http://dx.doi.org/10.1016/j.dsr2.2016.05.016</v>
      </c>
      <c r="BG455" t="s">
        <v>74</v>
      </c>
      <c r="BH455" t="s">
        <v>74</v>
      </c>
      <c r="BI455">
        <v>16</v>
      </c>
      <c r="BJ455" t="s">
        <v>127</v>
      </c>
      <c r="BK455" t="s">
        <v>103</v>
      </c>
      <c r="BL455" t="s">
        <v>127</v>
      </c>
      <c r="BM455" t="s">
        <v>8823</v>
      </c>
      <c r="BN455" t="s">
        <v>74</v>
      </c>
      <c r="BO455" t="s">
        <v>1538</v>
      </c>
      <c r="BP455" t="s">
        <v>74</v>
      </c>
      <c r="BQ455" t="s">
        <v>74</v>
      </c>
      <c r="BR455" t="s">
        <v>106</v>
      </c>
      <c r="BS455" t="s">
        <v>8859</v>
      </c>
      <c r="BT455" t="str">
        <f>HYPERLINK("https%3A%2F%2Fwww.webofscience.com%2Fwos%2Fwoscc%2Ffull-record%2FWOS:000401211100008","View Full Record in Web of Science")</f>
        <v>View Full Record in Web of Science</v>
      </c>
    </row>
    <row r="456" spans="1:72" x14ac:dyDescent="0.15">
      <c r="A456" t="s">
        <v>72</v>
      </c>
      <c r="B456" t="s">
        <v>8860</v>
      </c>
      <c r="C456" t="s">
        <v>74</v>
      </c>
      <c r="D456" t="s">
        <v>74</v>
      </c>
      <c r="E456" t="s">
        <v>74</v>
      </c>
      <c r="F456" t="s">
        <v>8861</v>
      </c>
      <c r="G456" t="s">
        <v>74</v>
      </c>
      <c r="H456" t="s">
        <v>74</v>
      </c>
      <c r="I456" t="s">
        <v>8862</v>
      </c>
      <c r="J456" t="s">
        <v>895</v>
      </c>
      <c r="K456" t="s">
        <v>74</v>
      </c>
      <c r="L456" t="s">
        <v>74</v>
      </c>
      <c r="M456" t="s">
        <v>78</v>
      </c>
      <c r="N456" t="s">
        <v>79</v>
      </c>
      <c r="O456" t="s">
        <v>74</v>
      </c>
      <c r="P456" t="s">
        <v>74</v>
      </c>
      <c r="Q456" t="s">
        <v>74</v>
      </c>
      <c r="R456" t="s">
        <v>74</v>
      </c>
      <c r="S456" t="s">
        <v>74</v>
      </c>
      <c r="T456" t="s">
        <v>8863</v>
      </c>
      <c r="U456" t="s">
        <v>8864</v>
      </c>
      <c r="V456" t="s">
        <v>8865</v>
      </c>
      <c r="W456" t="s">
        <v>8866</v>
      </c>
      <c r="X456" t="s">
        <v>8867</v>
      </c>
      <c r="Y456" t="s">
        <v>8868</v>
      </c>
      <c r="Z456" t="s">
        <v>8869</v>
      </c>
      <c r="AA456" t="s">
        <v>8870</v>
      </c>
      <c r="AB456" t="s">
        <v>8871</v>
      </c>
      <c r="AC456" t="s">
        <v>8872</v>
      </c>
      <c r="AD456" t="s">
        <v>8873</v>
      </c>
      <c r="AE456" t="s">
        <v>8874</v>
      </c>
      <c r="AF456" t="s">
        <v>74</v>
      </c>
      <c r="AG456">
        <v>78</v>
      </c>
      <c r="AH456">
        <v>33</v>
      </c>
      <c r="AI456">
        <v>33</v>
      </c>
      <c r="AJ456">
        <v>3</v>
      </c>
      <c r="AK456">
        <v>61</v>
      </c>
      <c r="AL456" t="s">
        <v>656</v>
      </c>
      <c r="AM456" t="s">
        <v>93</v>
      </c>
      <c r="AN456" t="s">
        <v>657</v>
      </c>
      <c r="AO456" t="s">
        <v>911</v>
      </c>
      <c r="AP456" t="s">
        <v>912</v>
      </c>
      <c r="AQ456" t="s">
        <v>74</v>
      </c>
      <c r="AR456" t="s">
        <v>913</v>
      </c>
      <c r="AS456" t="s">
        <v>914</v>
      </c>
      <c r="AT456" t="s">
        <v>8336</v>
      </c>
      <c r="AU456">
        <v>2017</v>
      </c>
      <c r="AV456">
        <v>138</v>
      </c>
      <c r="AW456" t="s">
        <v>74</v>
      </c>
      <c r="AX456" t="s">
        <v>74</v>
      </c>
      <c r="AY456" t="s">
        <v>74</v>
      </c>
      <c r="AZ456" t="s">
        <v>74</v>
      </c>
      <c r="BA456" t="s">
        <v>74</v>
      </c>
      <c r="BB456">
        <v>102</v>
      </c>
      <c r="BC456">
        <v>115</v>
      </c>
      <c r="BD456" t="s">
        <v>74</v>
      </c>
      <c r="BE456" t="s">
        <v>8875</v>
      </c>
      <c r="BF456" t="str">
        <f>HYPERLINK("http://dx.doi.org/10.1016/j.dsr2.2015.12.007","http://dx.doi.org/10.1016/j.dsr2.2015.12.007")</f>
        <v>http://dx.doi.org/10.1016/j.dsr2.2015.12.007</v>
      </c>
      <c r="BG456" t="s">
        <v>74</v>
      </c>
      <c r="BH456" t="s">
        <v>74</v>
      </c>
      <c r="BI456">
        <v>14</v>
      </c>
      <c r="BJ456" t="s">
        <v>127</v>
      </c>
      <c r="BK456" t="s">
        <v>103</v>
      </c>
      <c r="BL456" t="s">
        <v>127</v>
      </c>
      <c r="BM456" t="s">
        <v>8823</v>
      </c>
      <c r="BN456" t="s">
        <v>74</v>
      </c>
      <c r="BO456" t="s">
        <v>231</v>
      </c>
      <c r="BP456" t="s">
        <v>74</v>
      </c>
      <c r="BQ456" t="s">
        <v>74</v>
      </c>
      <c r="BR456" t="s">
        <v>106</v>
      </c>
      <c r="BS456" t="s">
        <v>8876</v>
      </c>
      <c r="BT456" t="str">
        <f>HYPERLINK("https%3A%2F%2Fwww.webofscience.com%2Fwos%2Fwoscc%2Ffull-record%2FWOS:000401211100009","View Full Record in Web of Science")</f>
        <v>View Full Record in Web of Science</v>
      </c>
    </row>
    <row r="457" spans="1:72" x14ac:dyDescent="0.15">
      <c r="A457" t="s">
        <v>72</v>
      </c>
      <c r="B457" t="s">
        <v>8877</v>
      </c>
      <c r="C457" t="s">
        <v>74</v>
      </c>
      <c r="D457" t="s">
        <v>74</v>
      </c>
      <c r="E457" t="s">
        <v>74</v>
      </c>
      <c r="F457" t="s">
        <v>8878</v>
      </c>
      <c r="G457" t="s">
        <v>74</v>
      </c>
      <c r="H457" t="s">
        <v>74</v>
      </c>
      <c r="I457" t="s">
        <v>8879</v>
      </c>
      <c r="J457" t="s">
        <v>895</v>
      </c>
      <c r="K457" t="s">
        <v>74</v>
      </c>
      <c r="L457" t="s">
        <v>74</v>
      </c>
      <c r="M457" t="s">
        <v>78</v>
      </c>
      <c r="N457" t="s">
        <v>79</v>
      </c>
      <c r="O457" t="s">
        <v>74</v>
      </c>
      <c r="P457" t="s">
        <v>74</v>
      </c>
      <c r="Q457" t="s">
        <v>74</v>
      </c>
      <c r="R457" t="s">
        <v>74</v>
      </c>
      <c r="S457" t="s">
        <v>74</v>
      </c>
      <c r="T457" t="s">
        <v>74</v>
      </c>
      <c r="U457" t="s">
        <v>8880</v>
      </c>
      <c r="V457" t="s">
        <v>8881</v>
      </c>
      <c r="W457" t="s">
        <v>8882</v>
      </c>
      <c r="X457" t="s">
        <v>8883</v>
      </c>
      <c r="Y457" t="s">
        <v>8884</v>
      </c>
      <c r="Z457" t="s">
        <v>8885</v>
      </c>
      <c r="AA457" t="s">
        <v>74</v>
      </c>
      <c r="AB457" t="s">
        <v>74</v>
      </c>
      <c r="AC457" t="s">
        <v>8886</v>
      </c>
      <c r="AD457" t="s">
        <v>8887</v>
      </c>
      <c r="AE457" t="s">
        <v>8888</v>
      </c>
      <c r="AF457" t="s">
        <v>74</v>
      </c>
      <c r="AG457">
        <v>50</v>
      </c>
      <c r="AH457">
        <v>23</v>
      </c>
      <c r="AI457">
        <v>25</v>
      </c>
      <c r="AJ457">
        <v>1</v>
      </c>
      <c r="AK457">
        <v>20</v>
      </c>
      <c r="AL457" t="s">
        <v>656</v>
      </c>
      <c r="AM457" t="s">
        <v>93</v>
      </c>
      <c r="AN457" t="s">
        <v>657</v>
      </c>
      <c r="AO457" t="s">
        <v>911</v>
      </c>
      <c r="AP457" t="s">
        <v>912</v>
      </c>
      <c r="AQ457" t="s">
        <v>74</v>
      </c>
      <c r="AR457" t="s">
        <v>913</v>
      </c>
      <c r="AS457" t="s">
        <v>914</v>
      </c>
      <c r="AT457" t="s">
        <v>8336</v>
      </c>
      <c r="AU457">
        <v>2017</v>
      </c>
      <c r="AV457">
        <v>138</v>
      </c>
      <c r="AW457" t="s">
        <v>74</v>
      </c>
      <c r="AX457" t="s">
        <v>74</v>
      </c>
      <c r="AY457" t="s">
        <v>74</v>
      </c>
      <c r="AZ457" t="s">
        <v>74</v>
      </c>
      <c r="BA457" t="s">
        <v>74</v>
      </c>
      <c r="BB457">
        <v>126</v>
      </c>
      <c r="BC457">
        <v>140</v>
      </c>
      <c r="BD457" t="s">
        <v>74</v>
      </c>
      <c r="BE457" t="s">
        <v>8889</v>
      </c>
      <c r="BF457" t="str">
        <f>HYPERLINK("http://dx.doi.org/10.1016/j.dsr2.2017.03.001","http://dx.doi.org/10.1016/j.dsr2.2017.03.001")</f>
        <v>http://dx.doi.org/10.1016/j.dsr2.2017.03.001</v>
      </c>
      <c r="BG457" t="s">
        <v>74</v>
      </c>
      <c r="BH457" t="s">
        <v>74</v>
      </c>
      <c r="BI457">
        <v>15</v>
      </c>
      <c r="BJ457" t="s">
        <v>127</v>
      </c>
      <c r="BK457" t="s">
        <v>103</v>
      </c>
      <c r="BL457" t="s">
        <v>127</v>
      </c>
      <c r="BM457" t="s">
        <v>8823</v>
      </c>
      <c r="BN457" t="s">
        <v>74</v>
      </c>
      <c r="BO457" t="s">
        <v>74</v>
      </c>
      <c r="BP457" t="s">
        <v>74</v>
      </c>
      <c r="BQ457" t="s">
        <v>74</v>
      </c>
      <c r="BR457" t="s">
        <v>106</v>
      </c>
      <c r="BS457" t="s">
        <v>8890</v>
      </c>
      <c r="BT457" t="str">
        <f>HYPERLINK("https%3A%2F%2Fwww.webofscience.com%2Fwos%2Fwoscc%2Ffull-record%2FWOS:000401211100011","View Full Record in Web of Science")</f>
        <v>View Full Record in Web of Science</v>
      </c>
    </row>
    <row r="458" spans="1:72" x14ac:dyDescent="0.15">
      <c r="A458" t="s">
        <v>72</v>
      </c>
      <c r="B458" t="s">
        <v>8891</v>
      </c>
      <c r="C458" t="s">
        <v>74</v>
      </c>
      <c r="D458" t="s">
        <v>74</v>
      </c>
      <c r="E458" t="s">
        <v>74</v>
      </c>
      <c r="F458" t="s">
        <v>8892</v>
      </c>
      <c r="G458" t="s">
        <v>74</v>
      </c>
      <c r="H458" t="s">
        <v>74</v>
      </c>
      <c r="I458" t="s">
        <v>8893</v>
      </c>
      <c r="J458" t="s">
        <v>6747</v>
      </c>
      <c r="K458" t="s">
        <v>74</v>
      </c>
      <c r="L458" t="s">
        <v>74</v>
      </c>
      <c r="M458" t="s">
        <v>78</v>
      </c>
      <c r="N458" t="s">
        <v>79</v>
      </c>
      <c r="O458" t="s">
        <v>74</v>
      </c>
      <c r="P458" t="s">
        <v>74</v>
      </c>
      <c r="Q458" t="s">
        <v>74</v>
      </c>
      <c r="R458" t="s">
        <v>74</v>
      </c>
      <c r="S458" t="s">
        <v>74</v>
      </c>
      <c r="T458" t="s">
        <v>8894</v>
      </c>
      <c r="U458" t="s">
        <v>8895</v>
      </c>
      <c r="V458" t="s">
        <v>8896</v>
      </c>
      <c r="W458" t="s">
        <v>8897</v>
      </c>
      <c r="X458" t="s">
        <v>8898</v>
      </c>
      <c r="Y458" t="s">
        <v>8899</v>
      </c>
      <c r="Z458" t="s">
        <v>8900</v>
      </c>
      <c r="AA458" t="s">
        <v>74</v>
      </c>
      <c r="AB458" t="s">
        <v>8901</v>
      </c>
      <c r="AC458" t="s">
        <v>8902</v>
      </c>
      <c r="AD458" t="s">
        <v>8903</v>
      </c>
      <c r="AE458" t="s">
        <v>8904</v>
      </c>
      <c r="AF458" t="s">
        <v>74</v>
      </c>
      <c r="AG458">
        <v>119</v>
      </c>
      <c r="AH458">
        <v>38</v>
      </c>
      <c r="AI458">
        <v>44</v>
      </c>
      <c r="AJ458">
        <v>0</v>
      </c>
      <c r="AK458">
        <v>20</v>
      </c>
      <c r="AL458" t="s">
        <v>222</v>
      </c>
      <c r="AM458" t="s">
        <v>223</v>
      </c>
      <c r="AN458" t="s">
        <v>224</v>
      </c>
      <c r="AO458" t="s">
        <v>6760</v>
      </c>
      <c r="AP458" t="s">
        <v>6761</v>
      </c>
      <c r="AQ458" t="s">
        <v>74</v>
      </c>
      <c r="AR458" t="s">
        <v>6762</v>
      </c>
      <c r="AS458" t="s">
        <v>6763</v>
      </c>
      <c r="AT458" t="s">
        <v>8336</v>
      </c>
      <c r="AU458">
        <v>2017</v>
      </c>
      <c r="AV458">
        <v>122</v>
      </c>
      <c r="AW458">
        <v>4</v>
      </c>
      <c r="AX458" t="s">
        <v>74</v>
      </c>
      <c r="AY458" t="s">
        <v>74</v>
      </c>
      <c r="AZ458" t="s">
        <v>74</v>
      </c>
      <c r="BA458" t="s">
        <v>74</v>
      </c>
      <c r="BB458">
        <v>973</v>
      </c>
      <c r="BC458">
        <v>1003</v>
      </c>
      <c r="BD458" t="s">
        <v>74</v>
      </c>
      <c r="BE458" t="s">
        <v>8905</v>
      </c>
      <c r="BF458" t="str">
        <f>HYPERLINK("http://dx.doi.org/10.1002/2016JF004183","http://dx.doi.org/10.1002/2016JF004183")</f>
        <v>http://dx.doi.org/10.1002/2016JF004183</v>
      </c>
      <c r="BG458" t="s">
        <v>74</v>
      </c>
      <c r="BH458" t="s">
        <v>74</v>
      </c>
      <c r="BI458">
        <v>31</v>
      </c>
      <c r="BJ458" t="s">
        <v>437</v>
      </c>
      <c r="BK458" t="s">
        <v>103</v>
      </c>
      <c r="BL458" t="s">
        <v>438</v>
      </c>
      <c r="BM458" t="s">
        <v>8906</v>
      </c>
      <c r="BN458" t="s">
        <v>74</v>
      </c>
      <c r="BO458" t="s">
        <v>412</v>
      </c>
      <c r="BP458" t="s">
        <v>74</v>
      </c>
      <c r="BQ458" t="s">
        <v>74</v>
      </c>
      <c r="BR458" t="s">
        <v>106</v>
      </c>
      <c r="BS458" t="s">
        <v>8907</v>
      </c>
      <c r="BT458" t="str">
        <f>HYPERLINK("https%3A%2F%2Fwww.webofscience.com%2Fwos%2Fwoscc%2Ffull-record%2FWOS:000401157700011","View Full Record in Web of Science")</f>
        <v>View Full Record in Web of Science</v>
      </c>
    </row>
    <row r="459" spans="1:72" x14ac:dyDescent="0.15">
      <c r="A459" t="s">
        <v>72</v>
      </c>
      <c r="B459" t="s">
        <v>8908</v>
      </c>
      <c r="C459" t="s">
        <v>74</v>
      </c>
      <c r="D459" t="s">
        <v>74</v>
      </c>
      <c r="E459" t="s">
        <v>74</v>
      </c>
      <c r="F459" t="s">
        <v>8909</v>
      </c>
      <c r="G459" t="s">
        <v>74</v>
      </c>
      <c r="H459" t="s">
        <v>74</v>
      </c>
      <c r="I459" t="s">
        <v>8910</v>
      </c>
      <c r="J459" t="s">
        <v>477</v>
      </c>
      <c r="K459" t="s">
        <v>74</v>
      </c>
      <c r="L459" t="s">
        <v>74</v>
      </c>
      <c r="M459" t="s">
        <v>78</v>
      </c>
      <c r="N459" t="s">
        <v>79</v>
      </c>
      <c r="O459" t="s">
        <v>74</v>
      </c>
      <c r="P459" t="s">
        <v>74</v>
      </c>
      <c r="Q459" t="s">
        <v>74</v>
      </c>
      <c r="R459" t="s">
        <v>74</v>
      </c>
      <c r="S459" t="s">
        <v>74</v>
      </c>
      <c r="T459" t="s">
        <v>74</v>
      </c>
      <c r="U459" t="s">
        <v>8911</v>
      </c>
      <c r="V459" t="s">
        <v>8912</v>
      </c>
      <c r="W459" t="s">
        <v>8913</v>
      </c>
      <c r="X459" t="s">
        <v>8914</v>
      </c>
      <c r="Y459" t="s">
        <v>8915</v>
      </c>
      <c r="Z459" t="s">
        <v>8916</v>
      </c>
      <c r="AA459" t="s">
        <v>74</v>
      </c>
      <c r="AB459" t="s">
        <v>8917</v>
      </c>
      <c r="AC459" t="s">
        <v>8918</v>
      </c>
      <c r="AD459" t="s">
        <v>8919</v>
      </c>
      <c r="AE459" t="s">
        <v>8920</v>
      </c>
      <c r="AF459" t="s">
        <v>74</v>
      </c>
      <c r="AG459">
        <v>25</v>
      </c>
      <c r="AH459">
        <v>3</v>
      </c>
      <c r="AI459">
        <v>3</v>
      </c>
      <c r="AJ459">
        <v>0</v>
      </c>
      <c r="AK459">
        <v>8</v>
      </c>
      <c r="AL459" t="s">
        <v>222</v>
      </c>
      <c r="AM459" t="s">
        <v>223</v>
      </c>
      <c r="AN459" t="s">
        <v>224</v>
      </c>
      <c r="AO459" t="s">
        <v>489</v>
      </c>
      <c r="AP459" t="s">
        <v>490</v>
      </c>
      <c r="AQ459" t="s">
        <v>74</v>
      </c>
      <c r="AR459" t="s">
        <v>491</v>
      </c>
      <c r="AS459" t="s">
        <v>492</v>
      </c>
      <c r="AT459" t="s">
        <v>8336</v>
      </c>
      <c r="AU459">
        <v>2017</v>
      </c>
      <c r="AV459">
        <v>122</v>
      </c>
      <c r="AW459">
        <v>4</v>
      </c>
      <c r="AX459" t="s">
        <v>74</v>
      </c>
      <c r="AY459" t="s">
        <v>74</v>
      </c>
      <c r="AZ459" t="s">
        <v>74</v>
      </c>
      <c r="BA459" t="s">
        <v>74</v>
      </c>
      <c r="BB459">
        <v>4037</v>
      </c>
      <c r="BC459">
        <v>4050</v>
      </c>
      <c r="BD459" t="s">
        <v>74</v>
      </c>
      <c r="BE459" t="s">
        <v>8921</v>
      </c>
      <c r="BF459" t="str">
        <f>HYPERLINK("http://dx.doi.org/10.1002/2016JA023426","http://dx.doi.org/10.1002/2016JA023426")</f>
        <v>http://dx.doi.org/10.1002/2016JA023426</v>
      </c>
      <c r="BG459" t="s">
        <v>74</v>
      </c>
      <c r="BH459" t="s">
        <v>74</v>
      </c>
      <c r="BI459">
        <v>14</v>
      </c>
      <c r="BJ459" t="s">
        <v>494</v>
      </c>
      <c r="BK459" t="s">
        <v>103</v>
      </c>
      <c r="BL459" t="s">
        <v>494</v>
      </c>
      <c r="BM459" t="s">
        <v>8922</v>
      </c>
      <c r="BN459" t="s">
        <v>74</v>
      </c>
      <c r="BO459" t="s">
        <v>412</v>
      </c>
      <c r="BP459" t="s">
        <v>74</v>
      </c>
      <c r="BQ459" t="s">
        <v>74</v>
      </c>
      <c r="BR459" t="s">
        <v>106</v>
      </c>
      <c r="BS459" t="s">
        <v>8923</v>
      </c>
      <c r="BT459" t="str">
        <f>HYPERLINK("https%3A%2F%2Fwww.webofscience.com%2Fwos%2Fwoscc%2Ffull-record%2FWOS:000401340800013","View Full Record in Web of Science")</f>
        <v>View Full Record in Web of Science</v>
      </c>
    </row>
    <row r="460" spans="1:72" x14ac:dyDescent="0.15">
      <c r="A460" t="s">
        <v>72</v>
      </c>
      <c r="B460" t="s">
        <v>8924</v>
      </c>
      <c r="C460" t="s">
        <v>74</v>
      </c>
      <c r="D460" t="s">
        <v>74</v>
      </c>
      <c r="E460" t="s">
        <v>74</v>
      </c>
      <c r="F460" t="s">
        <v>8925</v>
      </c>
      <c r="G460" t="s">
        <v>74</v>
      </c>
      <c r="H460" t="s">
        <v>74</v>
      </c>
      <c r="I460" t="s">
        <v>8926</v>
      </c>
      <c r="J460" t="s">
        <v>8927</v>
      </c>
      <c r="K460" t="s">
        <v>74</v>
      </c>
      <c r="L460" t="s">
        <v>74</v>
      </c>
      <c r="M460" t="s">
        <v>78</v>
      </c>
      <c r="N460" t="s">
        <v>79</v>
      </c>
      <c r="O460" t="s">
        <v>74</v>
      </c>
      <c r="P460" t="s">
        <v>74</v>
      </c>
      <c r="Q460" t="s">
        <v>74</v>
      </c>
      <c r="R460" t="s">
        <v>74</v>
      </c>
      <c r="S460" t="s">
        <v>74</v>
      </c>
      <c r="T460" t="s">
        <v>8928</v>
      </c>
      <c r="U460" t="s">
        <v>8929</v>
      </c>
      <c r="V460" t="s">
        <v>8930</v>
      </c>
      <c r="W460" t="s">
        <v>8931</v>
      </c>
      <c r="X460" t="s">
        <v>8932</v>
      </c>
      <c r="Y460" t="s">
        <v>8933</v>
      </c>
      <c r="Z460" t="s">
        <v>8934</v>
      </c>
      <c r="AA460" t="s">
        <v>74</v>
      </c>
      <c r="AB460" t="s">
        <v>74</v>
      </c>
      <c r="AC460" t="s">
        <v>74</v>
      </c>
      <c r="AD460" t="s">
        <v>74</v>
      </c>
      <c r="AE460" t="s">
        <v>74</v>
      </c>
      <c r="AF460" t="s">
        <v>74</v>
      </c>
      <c r="AG460">
        <v>253</v>
      </c>
      <c r="AH460">
        <v>44</v>
      </c>
      <c r="AI460">
        <v>50</v>
      </c>
      <c r="AJ460">
        <v>2</v>
      </c>
      <c r="AK460">
        <v>21</v>
      </c>
      <c r="AL460" t="s">
        <v>8935</v>
      </c>
      <c r="AM460" t="s">
        <v>5778</v>
      </c>
      <c r="AN460" t="s">
        <v>8936</v>
      </c>
      <c r="AO460" t="s">
        <v>8937</v>
      </c>
      <c r="AP460" t="s">
        <v>74</v>
      </c>
      <c r="AQ460" t="s">
        <v>74</v>
      </c>
      <c r="AR460" t="s">
        <v>8938</v>
      </c>
      <c r="AS460" t="s">
        <v>8939</v>
      </c>
      <c r="AT460" t="s">
        <v>8336</v>
      </c>
      <c r="AU460">
        <v>2017</v>
      </c>
      <c r="AV460">
        <v>44</v>
      </c>
      <c r="AW460">
        <v>2</v>
      </c>
      <c r="AX460" t="s">
        <v>74</v>
      </c>
      <c r="AY460" t="s">
        <v>74</v>
      </c>
      <c r="AZ460" t="s">
        <v>74</v>
      </c>
      <c r="BA460" t="s">
        <v>74</v>
      </c>
      <c r="BB460">
        <v>183</v>
      </c>
      <c r="BC460">
        <v>216</v>
      </c>
      <c r="BD460" t="s">
        <v>74</v>
      </c>
      <c r="BE460" t="s">
        <v>8940</v>
      </c>
      <c r="BF460" t="str">
        <f>HYPERLINK("http://dx.doi.org/10.1016/S1876-3804(17)30023-X","http://dx.doi.org/10.1016/S1876-3804(17)30023-X")</f>
        <v>http://dx.doi.org/10.1016/S1876-3804(17)30023-X</v>
      </c>
      <c r="BG460" t="s">
        <v>74</v>
      </c>
      <c r="BH460" t="s">
        <v>74</v>
      </c>
      <c r="BI460">
        <v>34</v>
      </c>
      <c r="BJ460" t="s">
        <v>8941</v>
      </c>
      <c r="BK460" t="s">
        <v>103</v>
      </c>
      <c r="BL460" t="s">
        <v>8942</v>
      </c>
      <c r="BM460" t="s">
        <v>8943</v>
      </c>
      <c r="BN460" t="s">
        <v>74</v>
      </c>
      <c r="BO460" t="s">
        <v>131</v>
      </c>
      <c r="BP460" t="s">
        <v>74</v>
      </c>
      <c r="BQ460" t="s">
        <v>74</v>
      </c>
      <c r="BR460" t="s">
        <v>106</v>
      </c>
      <c r="BS460" t="s">
        <v>8944</v>
      </c>
      <c r="BT460" t="str">
        <f>HYPERLINK("https%3A%2F%2Fwww.webofscience.com%2Fwos%2Fwoscc%2Ffull-record%2FWOS:000401277400002","View Full Record in Web of Science")</f>
        <v>View Full Record in Web of Science</v>
      </c>
    </row>
    <row r="461" spans="1:72" x14ac:dyDescent="0.15">
      <c r="A461" t="s">
        <v>72</v>
      </c>
      <c r="B461" t="s">
        <v>8945</v>
      </c>
      <c r="C461" t="s">
        <v>74</v>
      </c>
      <c r="D461" t="s">
        <v>74</v>
      </c>
      <c r="E461" t="s">
        <v>74</v>
      </c>
      <c r="F461" t="s">
        <v>8946</v>
      </c>
      <c r="G461" t="s">
        <v>74</v>
      </c>
      <c r="H461" t="s">
        <v>74</v>
      </c>
      <c r="I461" t="s">
        <v>8947</v>
      </c>
      <c r="J461" t="s">
        <v>8948</v>
      </c>
      <c r="K461" t="s">
        <v>74</v>
      </c>
      <c r="L461" t="s">
        <v>74</v>
      </c>
      <c r="M461" t="s">
        <v>78</v>
      </c>
      <c r="N461" t="s">
        <v>79</v>
      </c>
      <c r="O461" t="s">
        <v>74</v>
      </c>
      <c r="P461" t="s">
        <v>74</v>
      </c>
      <c r="Q461" t="s">
        <v>74</v>
      </c>
      <c r="R461" t="s">
        <v>74</v>
      </c>
      <c r="S461" t="s">
        <v>74</v>
      </c>
      <c r="T461" t="s">
        <v>8949</v>
      </c>
      <c r="U461" t="s">
        <v>8950</v>
      </c>
      <c r="V461" t="s">
        <v>8951</v>
      </c>
      <c r="W461" t="s">
        <v>8952</v>
      </c>
      <c r="X461" t="s">
        <v>8953</v>
      </c>
      <c r="Y461" t="s">
        <v>8954</v>
      </c>
      <c r="Z461" t="s">
        <v>8955</v>
      </c>
      <c r="AA461" t="s">
        <v>8956</v>
      </c>
      <c r="AB461" t="s">
        <v>8957</v>
      </c>
      <c r="AC461" t="s">
        <v>8958</v>
      </c>
      <c r="AD461" t="s">
        <v>8959</v>
      </c>
      <c r="AE461" t="s">
        <v>8960</v>
      </c>
      <c r="AF461" t="s">
        <v>74</v>
      </c>
      <c r="AG461">
        <v>74</v>
      </c>
      <c r="AH461">
        <v>7</v>
      </c>
      <c r="AI461">
        <v>9</v>
      </c>
      <c r="AJ461">
        <v>1</v>
      </c>
      <c r="AK461">
        <v>30</v>
      </c>
      <c r="AL461" t="s">
        <v>656</v>
      </c>
      <c r="AM461" t="s">
        <v>93</v>
      </c>
      <c r="AN461" t="s">
        <v>657</v>
      </c>
      <c r="AO461" t="s">
        <v>8961</v>
      </c>
      <c r="AP461" t="s">
        <v>8962</v>
      </c>
      <c r="AQ461" t="s">
        <v>74</v>
      </c>
      <c r="AR461" t="s">
        <v>8963</v>
      </c>
      <c r="AS461" t="s">
        <v>8964</v>
      </c>
      <c r="AT461" t="s">
        <v>8336</v>
      </c>
      <c r="AU461">
        <v>2017</v>
      </c>
      <c r="AV461">
        <v>98</v>
      </c>
      <c r="AW461" t="s">
        <v>74</v>
      </c>
      <c r="AX461" t="s">
        <v>74</v>
      </c>
      <c r="AY461" t="s">
        <v>74</v>
      </c>
      <c r="AZ461" t="s">
        <v>74</v>
      </c>
      <c r="BA461" t="s">
        <v>74</v>
      </c>
      <c r="BB461">
        <v>108</v>
      </c>
      <c r="BC461">
        <v>116</v>
      </c>
      <c r="BD461" t="s">
        <v>74</v>
      </c>
      <c r="BE461" t="s">
        <v>8965</v>
      </c>
      <c r="BF461" t="str">
        <f>HYPERLINK("http://dx.doi.org/10.1016/j.jinsphys.2016.12.006","http://dx.doi.org/10.1016/j.jinsphys.2016.12.006")</f>
        <v>http://dx.doi.org/10.1016/j.jinsphys.2016.12.006</v>
      </c>
      <c r="BG461" t="s">
        <v>74</v>
      </c>
      <c r="BH461" t="s">
        <v>74</v>
      </c>
      <c r="BI461">
        <v>9</v>
      </c>
      <c r="BJ461" t="s">
        <v>8966</v>
      </c>
      <c r="BK461" t="s">
        <v>103</v>
      </c>
      <c r="BL461" t="s">
        <v>8966</v>
      </c>
      <c r="BM461" t="s">
        <v>8967</v>
      </c>
      <c r="BN461">
        <v>28034677</v>
      </c>
      <c r="BO461" t="s">
        <v>1538</v>
      </c>
      <c r="BP461" t="s">
        <v>74</v>
      </c>
      <c r="BQ461" t="s">
        <v>74</v>
      </c>
      <c r="BR461" t="s">
        <v>106</v>
      </c>
      <c r="BS461" t="s">
        <v>8968</v>
      </c>
      <c r="BT461" t="str">
        <f>HYPERLINK("https%3A%2F%2Fwww.webofscience.com%2Fwos%2Fwoscc%2Ffull-record%2FWOS:000400715400015","View Full Record in Web of Science")</f>
        <v>View Full Record in Web of Science</v>
      </c>
    </row>
    <row r="462" spans="1:72" x14ac:dyDescent="0.15">
      <c r="A462" t="s">
        <v>72</v>
      </c>
      <c r="B462" t="s">
        <v>8969</v>
      </c>
      <c r="C462" t="s">
        <v>74</v>
      </c>
      <c r="D462" t="s">
        <v>74</v>
      </c>
      <c r="E462" t="s">
        <v>74</v>
      </c>
      <c r="F462" t="s">
        <v>8970</v>
      </c>
      <c r="G462" t="s">
        <v>74</v>
      </c>
      <c r="H462" t="s">
        <v>74</v>
      </c>
      <c r="I462" t="s">
        <v>8971</v>
      </c>
      <c r="J462" t="s">
        <v>7106</v>
      </c>
      <c r="K462" t="s">
        <v>74</v>
      </c>
      <c r="L462" t="s">
        <v>74</v>
      </c>
      <c r="M462" t="s">
        <v>78</v>
      </c>
      <c r="N462" t="s">
        <v>79</v>
      </c>
      <c r="O462" t="s">
        <v>74</v>
      </c>
      <c r="P462" t="s">
        <v>74</v>
      </c>
      <c r="Q462" t="s">
        <v>74</v>
      </c>
      <c r="R462" t="s">
        <v>74</v>
      </c>
      <c r="S462" t="s">
        <v>74</v>
      </c>
      <c r="T462" t="s">
        <v>8972</v>
      </c>
      <c r="U462" t="s">
        <v>8973</v>
      </c>
      <c r="V462" t="s">
        <v>8974</v>
      </c>
      <c r="W462" t="s">
        <v>8975</v>
      </c>
      <c r="X462" t="s">
        <v>8976</v>
      </c>
      <c r="Y462" t="s">
        <v>8977</v>
      </c>
      <c r="Z462" t="s">
        <v>8978</v>
      </c>
      <c r="AA462" t="s">
        <v>8979</v>
      </c>
      <c r="AB462" t="s">
        <v>6124</v>
      </c>
      <c r="AC462" t="s">
        <v>8980</v>
      </c>
      <c r="AD462" t="s">
        <v>8981</v>
      </c>
      <c r="AE462" t="s">
        <v>8982</v>
      </c>
      <c r="AF462" t="s">
        <v>74</v>
      </c>
      <c r="AG462">
        <v>67</v>
      </c>
      <c r="AH462">
        <v>2</v>
      </c>
      <c r="AI462">
        <v>4</v>
      </c>
      <c r="AJ462">
        <v>2</v>
      </c>
      <c r="AK462">
        <v>30</v>
      </c>
      <c r="AL462" t="s">
        <v>5777</v>
      </c>
      <c r="AM462" t="s">
        <v>5778</v>
      </c>
      <c r="AN462" t="s">
        <v>5779</v>
      </c>
      <c r="AO462" t="s">
        <v>7117</v>
      </c>
      <c r="AP462" t="s">
        <v>7118</v>
      </c>
      <c r="AQ462" t="s">
        <v>74</v>
      </c>
      <c r="AR462" t="s">
        <v>7119</v>
      </c>
      <c r="AS462" t="s">
        <v>7120</v>
      </c>
      <c r="AT462" t="s">
        <v>8336</v>
      </c>
      <c r="AU462">
        <v>2017</v>
      </c>
      <c r="AV462">
        <v>60</v>
      </c>
      <c r="AW462">
        <v>4</v>
      </c>
      <c r="AX462" t="s">
        <v>74</v>
      </c>
      <c r="AY462" t="s">
        <v>74</v>
      </c>
      <c r="AZ462" t="s">
        <v>100</v>
      </c>
      <c r="BA462" t="s">
        <v>74</v>
      </c>
      <c r="BB462">
        <v>672</v>
      </c>
      <c r="BC462">
        <v>685</v>
      </c>
      <c r="BD462" t="s">
        <v>74</v>
      </c>
      <c r="BE462" t="s">
        <v>8983</v>
      </c>
      <c r="BF462" t="str">
        <f>HYPERLINK("http://dx.doi.org/10.1007/s11430-016-0008-4","http://dx.doi.org/10.1007/s11430-016-0008-4")</f>
        <v>http://dx.doi.org/10.1007/s11430-016-0008-4</v>
      </c>
      <c r="BG462" t="s">
        <v>74</v>
      </c>
      <c r="BH462" t="s">
        <v>74</v>
      </c>
      <c r="BI462">
        <v>14</v>
      </c>
      <c r="BJ462" t="s">
        <v>437</v>
      </c>
      <c r="BK462" t="s">
        <v>103</v>
      </c>
      <c r="BL462" t="s">
        <v>438</v>
      </c>
      <c r="BM462" t="s">
        <v>8984</v>
      </c>
      <c r="BN462" t="s">
        <v>74</v>
      </c>
      <c r="BO462" t="s">
        <v>74</v>
      </c>
      <c r="BP462" t="s">
        <v>74</v>
      </c>
      <c r="BQ462" t="s">
        <v>74</v>
      </c>
      <c r="BR462" t="s">
        <v>106</v>
      </c>
      <c r="BS462" t="s">
        <v>8985</v>
      </c>
      <c r="BT462" t="str">
        <f>HYPERLINK("https%3A%2F%2Fwww.webofscience.com%2Fwos%2Fwoscc%2Ffull-record%2FWOS:000400551300006","View Full Record in Web of Science")</f>
        <v>View Full Record in Web of Science</v>
      </c>
    </row>
    <row r="463" spans="1:72" x14ac:dyDescent="0.15">
      <c r="A463" t="s">
        <v>72</v>
      </c>
      <c r="B463" t="s">
        <v>8986</v>
      </c>
      <c r="C463" t="s">
        <v>74</v>
      </c>
      <c r="D463" t="s">
        <v>74</v>
      </c>
      <c r="E463" t="s">
        <v>74</v>
      </c>
      <c r="F463" t="s">
        <v>8987</v>
      </c>
      <c r="G463" t="s">
        <v>74</v>
      </c>
      <c r="H463" t="s">
        <v>74</v>
      </c>
      <c r="I463" t="s">
        <v>8988</v>
      </c>
      <c r="J463" t="s">
        <v>7106</v>
      </c>
      <c r="K463" t="s">
        <v>74</v>
      </c>
      <c r="L463" t="s">
        <v>74</v>
      </c>
      <c r="M463" t="s">
        <v>78</v>
      </c>
      <c r="N463" t="s">
        <v>79</v>
      </c>
      <c r="O463" t="s">
        <v>74</v>
      </c>
      <c r="P463" t="s">
        <v>74</v>
      </c>
      <c r="Q463" t="s">
        <v>74</v>
      </c>
      <c r="R463" t="s">
        <v>74</v>
      </c>
      <c r="S463" t="s">
        <v>74</v>
      </c>
      <c r="T463" t="s">
        <v>8989</v>
      </c>
      <c r="U463" t="s">
        <v>8990</v>
      </c>
      <c r="V463" t="s">
        <v>8991</v>
      </c>
      <c r="W463" t="s">
        <v>8992</v>
      </c>
      <c r="X463" t="s">
        <v>8993</v>
      </c>
      <c r="Y463" t="s">
        <v>3090</v>
      </c>
      <c r="Z463" t="s">
        <v>8994</v>
      </c>
      <c r="AA463" t="s">
        <v>8995</v>
      </c>
      <c r="AB463" t="s">
        <v>8996</v>
      </c>
      <c r="AC463" t="s">
        <v>8997</v>
      </c>
      <c r="AD463" t="s">
        <v>8998</v>
      </c>
      <c r="AE463" t="s">
        <v>8999</v>
      </c>
      <c r="AF463" t="s">
        <v>74</v>
      </c>
      <c r="AG463">
        <v>59</v>
      </c>
      <c r="AH463">
        <v>13</v>
      </c>
      <c r="AI463">
        <v>14</v>
      </c>
      <c r="AJ463">
        <v>3</v>
      </c>
      <c r="AK463">
        <v>34</v>
      </c>
      <c r="AL463" t="s">
        <v>5777</v>
      </c>
      <c r="AM463" t="s">
        <v>5778</v>
      </c>
      <c r="AN463" t="s">
        <v>5779</v>
      </c>
      <c r="AO463" t="s">
        <v>7117</v>
      </c>
      <c r="AP463" t="s">
        <v>7118</v>
      </c>
      <c r="AQ463" t="s">
        <v>74</v>
      </c>
      <c r="AR463" t="s">
        <v>7119</v>
      </c>
      <c r="AS463" t="s">
        <v>7120</v>
      </c>
      <c r="AT463" t="s">
        <v>8336</v>
      </c>
      <c r="AU463">
        <v>2017</v>
      </c>
      <c r="AV463">
        <v>60</v>
      </c>
      <c r="AW463">
        <v>4</v>
      </c>
      <c r="AX463" t="s">
        <v>74</v>
      </c>
      <c r="AY463" t="s">
        <v>74</v>
      </c>
      <c r="AZ463" t="s">
        <v>100</v>
      </c>
      <c r="BA463" t="s">
        <v>74</v>
      </c>
      <c r="BB463">
        <v>686</v>
      </c>
      <c r="BC463">
        <v>696</v>
      </c>
      <c r="BD463" t="s">
        <v>74</v>
      </c>
      <c r="BE463" t="s">
        <v>9000</v>
      </c>
      <c r="BF463" t="str">
        <f>HYPERLINK("http://dx.doi.org/10.1007/s11430-016-0029-2","http://dx.doi.org/10.1007/s11430-016-0029-2")</f>
        <v>http://dx.doi.org/10.1007/s11430-016-0029-2</v>
      </c>
      <c r="BG463" t="s">
        <v>74</v>
      </c>
      <c r="BH463" t="s">
        <v>74</v>
      </c>
      <c r="BI463">
        <v>11</v>
      </c>
      <c r="BJ463" t="s">
        <v>437</v>
      </c>
      <c r="BK463" t="s">
        <v>103</v>
      </c>
      <c r="BL463" t="s">
        <v>438</v>
      </c>
      <c r="BM463" t="s">
        <v>8984</v>
      </c>
      <c r="BN463" t="s">
        <v>74</v>
      </c>
      <c r="BO463" t="s">
        <v>74</v>
      </c>
      <c r="BP463" t="s">
        <v>74</v>
      </c>
      <c r="BQ463" t="s">
        <v>74</v>
      </c>
      <c r="BR463" t="s">
        <v>106</v>
      </c>
      <c r="BS463" t="s">
        <v>9001</v>
      </c>
      <c r="BT463" t="str">
        <f>HYPERLINK("https%3A%2F%2Fwww.webofscience.com%2Fwos%2Fwoscc%2Ffull-record%2FWOS:000400551300007","View Full Record in Web of Science")</f>
        <v>View Full Record in Web of Science</v>
      </c>
    </row>
    <row r="464" spans="1:72" x14ac:dyDescent="0.15">
      <c r="A464" t="s">
        <v>72</v>
      </c>
      <c r="B464" t="s">
        <v>9002</v>
      </c>
      <c r="C464" t="s">
        <v>74</v>
      </c>
      <c r="D464" t="s">
        <v>74</v>
      </c>
      <c r="E464" t="s">
        <v>74</v>
      </c>
      <c r="F464" t="s">
        <v>9003</v>
      </c>
      <c r="G464" t="s">
        <v>74</v>
      </c>
      <c r="H464" t="s">
        <v>74</v>
      </c>
      <c r="I464" t="s">
        <v>9004</v>
      </c>
      <c r="J464" t="s">
        <v>7106</v>
      </c>
      <c r="K464" t="s">
        <v>74</v>
      </c>
      <c r="L464" t="s">
        <v>74</v>
      </c>
      <c r="M464" t="s">
        <v>78</v>
      </c>
      <c r="N464" t="s">
        <v>79</v>
      </c>
      <c r="O464" t="s">
        <v>74</v>
      </c>
      <c r="P464" t="s">
        <v>74</v>
      </c>
      <c r="Q464" t="s">
        <v>74</v>
      </c>
      <c r="R464" t="s">
        <v>74</v>
      </c>
      <c r="S464" t="s">
        <v>74</v>
      </c>
      <c r="T464" t="s">
        <v>9005</v>
      </c>
      <c r="U464" t="s">
        <v>9006</v>
      </c>
      <c r="V464" t="s">
        <v>9007</v>
      </c>
      <c r="W464" t="s">
        <v>9008</v>
      </c>
      <c r="X464" t="s">
        <v>9009</v>
      </c>
      <c r="Y464" t="s">
        <v>9010</v>
      </c>
      <c r="Z464" t="s">
        <v>8994</v>
      </c>
      <c r="AA464" t="s">
        <v>9011</v>
      </c>
      <c r="AB464" t="s">
        <v>9012</v>
      </c>
      <c r="AC464" t="s">
        <v>9013</v>
      </c>
      <c r="AD464" t="s">
        <v>9014</v>
      </c>
      <c r="AE464" t="s">
        <v>9015</v>
      </c>
      <c r="AF464" t="s">
        <v>74</v>
      </c>
      <c r="AG464">
        <v>29</v>
      </c>
      <c r="AH464">
        <v>3</v>
      </c>
      <c r="AI464">
        <v>3</v>
      </c>
      <c r="AJ464">
        <v>1</v>
      </c>
      <c r="AK464">
        <v>22</v>
      </c>
      <c r="AL464" t="s">
        <v>5777</v>
      </c>
      <c r="AM464" t="s">
        <v>5778</v>
      </c>
      <c r="AN464" t="s">
        <v>5779</v>
      </c>
      <c r="AO464" t="s">
        <v>7117</v>
      </c>
      <c r="AP464" t="s">
        <v>7118</v>
      </c>
      <c r="AQ464" t="s">
        <v>74</v>
      </c>
      <c r="AR464" t="s">
        <v>7119</v>
      </c>
      <c r="AS464" t="s">
        <v>7120</v>
      </c>
      <c r="AT464" t="s">
        <v>8336</v>
      </c>
      <c r="AU464">
        <v>2017</v>
      </c>
      <c r="AV464">
        <v>60</v>
      </c>
      <c r="AW464">
        <v>4</v>
      </c>
      <c r="AX464" t="s">
        <v>74</v>
      </c>
      <c r="AY464" t="s">
        <v>74</v>
      </c>
      <c r="AZ464" t="s">
        <v>100</v>
      </c>
      <c r="BA464" t="s">
        <v>74</v>
      </c>
      <c r="BB464">
        <v>697</v>
      </c>
      <c r="BC464">
        <v>706</v>
      </c>
      <c r="BD464" t="s">
        <v>74</v>
      </c>
      <c r="BE464" t="s">
        <v>9016</v>
      </c>
      <c r="BF464" t="str">
        <f>HYPERLINK("http://dx.doi.org/10.1007/s11430-016-9014-5","http://dx.doi.org/10.1007/s11430-016-9014-5")</f>
        <v>http://dx.doi.org/10.1007/s11430-016-9014-5</v>
      </c>
      <c r="BG464" t="s">
        <v>74</v>
      </c>
      <c r="BH464" t="s">
        <v>74</v>
      </c>
      <c r="BI464">
        <v>10</v>
      </c>
      <c r="BJ464" t="s">
        <v>437</v>
      </c>
      <c r="BK464" t="s">
        <v>103</v>
      </c>
      <c r="BL464" t="s">
        <v>438</v>
      </c>
      <c r="BM464" t="s">
        <v>8984</v>
      </c>
      <c r="BN464" t="s">
        <v>74</v>
      </c>
      <c r="BO464" t="s">
        <v>74</v>
      </c>
      <c r="BP464" t="s">
        <v>74</v>
      </c>
      <c r="BQ464" t="s">
        <v>74</v>
      </c>
      <c r="BR464" t="s">
        <v>106</v>
      </c>
      <c r="BS464" t="s">
        <v>9017</v>
      </c>
      <c r="BT464" t="str">
        <f>HYPERLINK("https%3A%2F%2Fwww.webofscience.com%2Fwos%2Fwoscc%2Ffull-record%2FWOS:000400551300008","View Full Record in Web of Science")</f>
        <v>View Full Record in Web of Science</v>
      </c>
    </row>
    <row r="465" spans="1:72" x14ac:dyDescent="0.15">
      <c r="A465" t="s">
        <v>72</v>
      </c>
      <c r="B465" t="s">
        <v>9018</v>
      </c>
      <c r="C465" t="s">
        <v>74</v>
      </c>
      <c r="D465" t="s">
        <v>74</v>
      </c>
      <c r="E465" t="s">
        <v>74</v>
      </c>
      <c r="F465" t="s">
        <v>9019</v>
      </c>
      <c r="G465" t="s">
        <v>74</v>
      </c>
      <c r="H465" t="s">
        <v>74</v>
      </c>
      <c r="I465" t="s">
        <v>9020</v>
      </c>
      <c r="J465" t="s">
        <v>361</v>
      </c>
      <c r="K465" t="s">
        <v>74</v>
      </c>
      <c r="L465" t="s">
        <v>74</v>
      </c>
      <c r="M465" t="s">
        <v>78</v>
      </c>
      <c r="N465" t="s">
        <v>79</v>
      </c>
      <c r="O465" t="s">
        <v>74</v>
      </c>
      <c r="P465" t="s">
        <v>74</v>
      </c>
      <c r="Q465" t="s">
        <v>74</v>
      </c>
      <c r="R465" t="s">
        <v>74</v>
      </c>
      <c r="S465" t="s">
        <v>74</v>
      </c>
      <c r="T465" t="s">
        <v>9021</v>
      </c>
      <c r="U465" t="s">
        <v>9022</v>
      </c>
      <c r="V465" t="s">
        <v>9023</v>
      </c>
      <c r="W465" t="s">
        <v>9024</v>
      </c>
      <c r="X465" t="s">
        <v>309</v>
      </c>
      <c r="Y465" t="s">
        <v>9025</v>
      </c>
      <c r="Z465" t="s">
        <v>3855</v>
      </c>
      <c r="AA465" t="s">
        <v>9026</v>
      </c>
      <c r="AB465" t="s">
        <v>9027</v>
      </c>
      <c r="AC465" t="s">
        <v>9028</v>
      </c>
      <c r="AD465" t="s">
        <v>9029</v>
      </c>
      <c r="AE465" t="s">
        <v>9030</v>
      </c>
      <c r="AF465" t="s">
        <v>74</v>
      </c>
      <c r="AG465">
        <v>43</v>
      </c>
      <c r="AH465">
        <v>18</v>
      </c>
      <c r="AI465">
        <v>19</v>
      </c>
      <c r="AJ465">
        <v>2</v>
      </c>
      <c r="AK465">
        <v>39</v>
      </c>
      <c r="AL465" t="s">
        <v>374</v>
      </c>
      <c r="AM465" t="s">
        <v>93</v>
      </c>
      <c r="AN465" t="s">
        <v>375</v>
      </c>
      <c r="AO465" t="s">
        <v>376</v>
      </c>
      <c r="AP465" t="s">
        <v>377</v>
      </c>
      <c r="AQ465" t="s">
        <v>74</v>
      </c>
      <c r="AR465" t="s">
        <v>378</v>
      </c>
      <c r="AS465" t="s">
        <v>379</v>
      </c>
      <c r="AT465" t="s">
        <v>8336</v>
      </c>
      <c r="AU465">
        <v>2017</v>
      </c>
      <c r="AV465">
        <v>208</v>
      </c>
      <c r="AW465" t="s">
        <v>74</v>
      </c>
      <c r="AX465" t="s">
        <v>74</v>
      </c>
      <c r="AY465" t="s">
        <v>74</v>
      </c>
      <c r="AZ465" t="s">
        <v>100</v>
      </c>
      <c r="BA465" t="s">
        <v>74</v>
      </c>
      <c r="BB465">
        <v>174</v>
      </c>
      <c r="BC465">
        <v>182</v>
      </c>
      <c r="BD465" t="s">
        <v>74</v>
      </c>
      <c r="BE465" t="s">
        <v>9031</v>
      </c>
      <c r="BF465" t="str">
        <f>HYPERLINK("http://dx.doi.org/10.1016/j.biocon.2016.07.028","http://dx.doi.org/10.1016/j.biocon.2016.07.028")</f>
        <v>http://dx.doi.org/10.1016/j.biocon.2016.07.028</v>
      </c>
      <c r="BG465" t="s">
        <v>74</v>
      </c>
      <c r="BH465" t="s">
        <v>74</v>
      </c>
      <c r="BI465">
        <v>9</v>
      </c>
      <c r="BJ465" t="s">
        <v>382</v>
      </c>
      <c r="BK465" t="s">
        <v>103</v>
      </c>
      <c r="BL465" t="s">
        <v>326</v>
      </c>
      <c r="BM465" t="s">
        <v>9032</v>
      </c>
      <c r="BN465" t="s">
        <v>74</v>
      </c>
      <c r="BO465" t="s">
        <v>74</v>
      </c>
      <c r="BP465" t="s">
        <v>74</v>
      </c>
      <c r="BQ465" t="s">
        <v>74</v>
      </c>
      <c r="BR465" t="s">
        <v>106</v>
      </c>
      <c r="BS465" t="s">
        <v>9033</v>
      </c>
      <c r="BT465" t="str">
        <f>HYPERLINK("https%3A%2F%2Fwww.webofscience.com%2Fwos%2Fwoscc%2Ffull-record%2FWOS:000399859000020","View Full Record in Web of Science")</f>
        <v>View Full Record in Web of Science</v>
      </c>
    </row>
    <row r="466" spans="1:72" x14ac:dyDescent="0.15">
      <c r="A466" t="s">
        <v>72</v>
      </c>
      <c r="B466" t="s">
        <v>9034</v>
      </c>
      <c r="C466" t="s">
        <v>74</v>
      </c>
      <c r="D466" t="s">
        <v>74</v>
      </c>
      <c r="E466" t="s">
        <v>74</v>
      </c>
      <c r="F466" t="s">
        <v>9035</v>
      </c>
      <c r="G466" t="s">
        <v>74</v>
      </c>
      <c r="H466" t="s">
        <v>74</v>
      </c>
      <c r="I466" t="s">
        <v>9036</v>
      </c>
      <c r="J466" t="s">
        <v>5768</v>
      </c>
      <c r="K466" t="s">
        <v>74</v>
      </c>
      <c r="L466" t="s">
        <v>74</v>
      </c>
      <c r="M466" t="s">
        <v>5769</v>
      </c>
      <c r="N466" t="s">
        <v>79</v>
      </c>
      <c r="O466" t="s">
        <v>74</v>
      </c>
      <c r="P466" t="s">
        <v>74</v>
      </c>
      <c r="Q466" t="s">
        <v>74</v>
      </c>
      <c r="R466" t="s">
        <v>74</v>
      </c>
      <c r="S466" t="s">
        <v>74</v>
      </c>
      <c r="T466" t="s">
        <v>9037</v>
      </c>
      <c r="U466" t="s">
        <v>9038</v>
      </c>
      <c r="V466" t="s">
        <v>9039</v>
      </c>
      <c r="W466" t="s">
        <v>9040</v>
      </c>
      <c r="X466" t="s">
        <v>9041</v>
      </c>
      <c r="Y466" t="s">
        <v>9042</v>
      </c>
      <c r="Z466" t="s">
        <v>9043</v>
      </c>
      <c r="AA466" t="s">
        <v>74</v>
      </c>
      <c r="AB466" t="s">
        <v>9044</v>
      </c>
      <c r="AC466" t="s">
        <v>74</v>
      </c>
      <c r="AD466" t="s">
        <v>74</v>
      </c>
      <c r="AE466" t="s">
        <v>74</v>
      </c>
      <c r="AF466" t="s">
        <v>74</v>
      </c>
      <c r="AG466">
        <v>38</v>
      </c>
      <c r="AH466">
        <v>0</v>
      </c>
      <c r="AI466">
        <v>0</v>
      </c>
      <c r="AJ466">
        <v>3</v>
      </c>
      <c r="AK466">
        <v>18</v>
      </c>
      <c r="AL466" t="s">
        <v>5777</v>
      </c>
      <c r="AM466" t="s">
        <v>5778</v>
      </c>
      <c r="AN466" t="s">
        <v>5779</v>
      </c>
      <c r="AO466" t="s">
        <v>5780</v>
      </c>
      <c r="AP466" t="s">
        <v>74</v>
      </c>
      <c r="AQ466" t="s">
        <v>74</v>
      </c>
      <c r="AR466" t="s">
        <v>5781</v>
      </c>
      <c r="AS466" t="s">
        <v>5782</v>
      </c>
      <c r="AT466" t="s">
        <v>8336</v>
      </c>
      <c r="AU466">
        <v>2017</v>
      </c>
      <c r="AV466">
        <v>60</v>
      </c>
      <c r="AW466">
        <v>4</v>
      </c>
      <c r="AX466" t="s">
        <v>74</v>
      </c>
      <c r="AY466" t="s">
        <v>74</v>
      </c>
      <c r="AZ466" t="s">
        <v>74</v>
      </c>
      <c r="BA466" t="s">
        <v>74</v>
      </c>
      <c r="BB466">
        <v>1321</v>
      </c>
      <c r="BC466">
        <v>1331</v>
      </c>
      <c r="BD466" t="s">
        <v>74</v>
      </c>
      <c r="BE466" t="s">
        <v>9045</v>
      </c>
      <c r="BF466" t="str">
        <f>HYPERLINK("http://dx.doi.org/10.6038/cjg20170408","http://dx.doi.org/10.6038/cjg20170408")</f>
        <v>http://dx.doi.org/10.6038/cjg20170408</v>
      </c>
      <c r="BG466" t="s">
        <v>74</v>
      </c>
      <c r="BH466" t="s">
        <v>74</v>
      </c>
      <c r="BI466">
        <v>11</v>
      </c>
      <c r="BJ466" t="s">
        <v>176</v>
      </c>
      <c r="BK466" t="s">
        <v>103</v>
      </c>
      <c r="BL466" t="s">
        <v>176</v>
      </c>
      <c r="BM466" t="s">
        <v>9046</v>
      </c>
      <c r="BN466" t="s">
        <v>74</v>
      </c>
      <c r="BO466" t="s">
        <v>74</v>
      </c>
      <c r="BP466" t="s">
        <v>74</v>
      </c>
      <c r="BQ466" t="s">
        <v>74</v>
      </c>
      <c r="BR466" t="s">
        <v>106</v>
      </c>
      <c r="BS466" t="s">
        <v>9047</v>
      </c>
      <c r="BT466" t="str">
        <f>HYPERLINK("https%3A%2F%2Fwww.webofscience.com%2Fwos%2Fwoscc%2Ffull-record%2FWOS:000399967500008","View Full Record in Web of Science")</f>
        <v>View Full Record in Web of Science</v>
      </c>
    </row>
    <row r="467" spans="1:72" x14ac:dyDescent="0.15">
      <c r="A467" t="s">
        <v>72</v>
      </c>
      <c r="B467" t="s">
        <v>9048</v>
      </c>
      <c r="C467" t="s">
        <v>74</v>
      </c>
      <c r="D467" t="s">
        <v>74</v>
      </c>
      <c r="E467" t="s">
        <v>74</v>
      </c>
      <c r="F467" t="s">
        <v>9049</v>
      </c>
      <c r="G467" t="s">
        <v>74</v>
      </c>
      <c r="H467" t="s">
        <v>74</v>
      </c>
      <c r="I467" t="s">
        <v>9050</v>
      </c>
      <c r="J467" t="s">
        <v>1521</v>
      </c>
      <c r="K467" t="s">
        <v>74</v>
      </c>
      <c r="L467" t="s">
        <v>74</v>
      </c>
      <c r="M467" t="s">
        <v>78</v>
      </c>
      <c r="N467" t="s">
        <v>79</v>
      </c>
      <c r="O467" t="s">
        <v>74</v>
      </c>
      <c r="P467" t="s">
        <v>74</v>
      </c>
      <c r="Q467" t="s">
        <v>74</v>
      </c>
      <c r="R467" t="s">
        <v>74</v>
      </c>
      <c r="S467" t="s">
        <v>74</v>
      </c>
      <c r="T467" t="s">
        <v>74</v>
      </c>
      <c r="U467" t="s">
        <v>9051</v>
      </c>
      <c r="V467" t="s">
        <v>9052</v>
      </c>
      <c r="W467" t="s">
        <v>9053</v>
      </c>
      <c r="X467" t="s">
        <v>9054</v>
      </c>
      <c r="Y467" t="s">
        <v>9055</v>
      </c>
      <c r="Z467" t="s">
        <v>9056</v>
      </c>
      <c r="AA467" t="s">
        <v>9057</v>
      </c>
      <c r="AB467" t="s">
        <v>9058</v>
      </c>
      <c r="AC467" t="s">
        <v>9059</v>
      </c>
      <c r="AD467" t="s">
        <v>9060</v>
      </c>
      <c r="AE467" t="s">
        <v>9061</v>
      </c>
      <c r="AF467" t="s">
        <v>74</v>
      </c>
      <c r="AG467">
        <v>38</v>
      </c>
      <c r="AH467">
        <v>19</v>
      </c>
      <c r="AI467">
        <v>19</v>
      </c>
      <c r="AJ467">
        <v>0</v>
      </c>
      <c r="AK467">
        <v>5</v>
      </c>
      <c r="AL467" t="s">
        <v>1115</v>
      </c>
      <c r="AM467" t="s">
        <v>1116</v>
      </c>
      <c r="AN467" t="s">
        <v>1117</v>
      </c>
      <c r="AO467" t="s">
        <v>1532</v>
      </c>
      <c r="AP467" t="s">
        <v>1533</v>
      </c>
      <c r="AQ467" t="s">
        <v>74</v>
      </c>
      <c r="AR467" t="s">
        <v>1534</v>
      </c>
      <c r="AS467" t="s">
        <v>1535</v>
      </c>
      <c r="AT467" t="s">
        <v>8336</v>
      </c>
      <c r="AU467">
        <v>2017</v>
      </c>
      <c r="AV467">
        <v>30</v>
      </c>
      <c r="AW467">
        <v>7</v>
      </c>
      <c r="AX467" t="s">
        <v>74</v>
      </c>
      <c r="AY467" t="s">
        <v>74</v>
      </c>
      <c r="AZ467" t="s">
        <v>74</v>
      </c>
      <c r="BA467" t="s">
        <v>74</v>
      </c>
      <c r="BB467">
        <v>2463</v>
      </c>
      <c r="BC467">
        <v>2480</v>
      </c>
      <c r="BD467" t="s">
        <v>74</v>
      </c>
      <c r="BE467" t="s">
        <v>9062</v>
      </c>
      <c r="BF467" t="str">
        <f>HYPERLINK("http://dx.doi.org/10.1175/JCLI-D-16-0474.1","http://dx.doi.org/10.1175/JCLI-D-16-0474.1")</f>
        <v>http://dx.doi.org/10.1175/JCLI-D-16-0474.1</v>
      </c>
      <c r="BG467" t="s">
        <v>74</v>
      </c>
      <c r="BH467" t="s">
        <v>74</v>
      </c>
      <c r="BI467">
        <v>18</v>
      </c>
      <c r="BJ467" t="s">
        <v>1261</v>
      </c>
      <c r="BK467" t="s">
        <v>103</v>
      </c>
      <c r="BL467" t="s">
        <v>1261</v>
      </c>
      <c r="BM467" t="s">
        <v>9063</v>
      </c>
      <c r="BN467" t="s">
        <v>74</v>
      </c>
      <c r="BO467" t="s">
        <v>384</v>
      </c>
      <c r="BP467" t="s">
        <v>74</v>
      </c>
      <c r="BQ467" t="s">
        <v>74</v>
      </c>
      <c r="BR467" t="s">
        <v>106</v>
      </c>
      <c r="BS467" t="s">
        <v>9064</v>
      </c>
      <c r="BT467" t="str">
        <f>HYPERLINK("https%3A%2F%2Fwww.webofscience.com%2Fwos%2Fwoscc%2Ffull-record%2FWOS:000399678400010","View Full Record in Web of Science")</f>
        <v>View Full Record in Web of Science</v>
      </c>
    </row>
    <row r="468" spans="1:72" x14ac:dyDescent="0.15">
      <c r="A468" t="s">
        <v>72</v>
      </c>
      <c r="B468" t="s">
        <v>9065</v>
      </c>
      <c r="C468" t="s">
        <v>74</v>
      </c>
      <c r="D468" t="s">
        <v>74</v>
      </c>
      <c r="E468" t="s">
        <v>74</v>
      </c>
      <c r="F468" t="s">
        <v>9066</v>
      </c>
      <c r="G468" t="s">
        <v>74</v>
      </c>
      <c r="H468" t="s">
        <v>74</v>
      </c>
      <c r="I468" t="s">
        <v>9067</v>
      </c>
      <c r="J468" t="s">
        <v>1521</v>
      </c>
      <c r="K468" t="s">
        <v>74</v>
      </c>
      <c r="L468" t="s">
        <v>74</v>
      </c>
      <c r="M468" t="s">
        <v>78</v>
      </c>
      <c r="N468" t="s">
        <v>79</v>
      </c>
      <c r="O468" t="s">
        <v>74</v>
      </c>
      <c r="P468" t="s">
        <v>74</v>
      </c>
      <c r="Q468" t="s">
        <v>74</v>
      </c>
      <c r="R468" t="s">
        <v>74</v>
      </c>
      <c r="S468" t="s">
        <v>74</v>
      </c>
      <c r="T468" t="s">
        <v>74</v>
      </c>
      <c r="U468" t="s">
        <v>9068</v>
      </c>
      <c r="V468" t="s">
        <v>9069</v>
      </c>
      <c r="W468" t="s">
        <v>9070</v>
      </c>
      <c r="X468" t="s">
        <v>9071</v>
      </c>
      <c r="Y468" t="s">
        <v>9072</v>
      </c>
      <c r="Z468" t="s">
        <v>9073</v>
      </c>
      <c r="AA468" t="s">
        <v>9074</v>
      </c>
      <c r="AB468" t="s">
        <v>9075</v>
      </c>
      <c r="AC468" t="s">
        <v>9076</v>
      </c>
      <c r="AD468" t="s">
        <v>9077</v>
      </c>
      <c r="AE468" t="s">
        <v>9078</v>
      </c>
      <c r="AF468" t="s">
        <v>74</v>
      </c>
      <c r="AG468">
        <v>89</v>
      </c>
      <c r="AH468">
        <v>13</v>
      </c>
      <c r="AI468">
        <v>14</v>
      </c>
      <c r="AJ468">
        <v>4</v>
      </c>
      <c r="AK468">
        <v>35</v>
      </c>
      <c r="AL468" t="s">
        <v>1115</v>
      </c>
      <c r="AM468" t="s">
        <v>1116</v>
      </c>
      <c r="AN468" t="s">
        <v>1117</v>
      </c>
      <c r="AO468" t="s">
        <v>1532</v>
      </c>
      <c r="AP468" t="s">
        <v>1533</v>
      </c>
      <c r="AQ468" t="s">
        <v>74</v>
      </c>
      <c r="AR468" t="s">
        <v>1534</v>
      </c>
      <c r="AS468" t="s">
        <v>1535</v>
      </c>
      <c r="AT468" t="s">
        <v>8336</v>
      </c>
      <c r="AU468">
        <v>2017</v>
      </c>
      <c r="AV468">
        <v>30</v>
      </c>
      <c r="AW468">
        <v>8</v>
      </c>
      <c r="AX468" t="s">
        <v>74</v>
      </c>
      <c r="AY468" t="s">
        <v>74</v>
      </c>
      <c r="AZ468" t="s">
        <v>74</v>
      </c>
      <c r="BA468" t="s">
        <v>74</v>
      </c>
      <c r="BB468">
        <v>2905</v>
      </c>
      <c r="BC468">
        <v>2919</v>
      </c>
      <c r="BD468" t="s">
        <v>74</v>
      </c>
      <c r="BE468" t="s">
        <v>9079</v>
      </c>
      <c r="BF468" t="str">
        <f>HYPERLINK("http://dx.doi.org/10.1175/JCLI-D-16-0651.1","http://dx.doi.org/10.1175/JCLI-D-16-0651.1")</f>
        <v>http://dx.doi.org/10.1175/JCLI-D-16-0651.1</v>
      </c>
      <c r="BG468" t="s">
        <v>74</v>
      </c>
      <c r="BH468" t="s">
        <v>74</v>
      </c>
      <c r="BI468">
        <v>15</v>
      </c>
      <c r="BJ468" t="s">
        <v>1261</v>
      </c>
      <c r="BK468" t="s">
        <v>103</v>
      </c>
      <c r="BL468" t="s">
        <v>1261</v>
      </c>
      <c r="BM468" t="s">
        <v>9080</v>
      </c>
      <c r="BN468" t="s">
        <v>74</v>
      </c>
      <c r="BO468" t="s">
        <v>231</v>
      </c>
      <c r="BP468" t="s">
        <v>74</v>
      </c>
      <c r="BQ468" t="s">
        <v>74</v>
      </c>
      <c r="BR468" t="s">
        <v>106</v>
      </c>
      <c r="BS468" t="s">
        <v>9081</v>
      </c>
      <c r="BT468" t="str">
        <f>HYPERLINK("https%3A%2F%2Fwww.webofscience.com%2Fwos%2Fwoscc%2Ffull-record%2FWOS:000399679900011","View Full Record in Web of Science")</f>
        <v>View Full Record in Web of Science</v>
      </c>
    </row>
    <row r="469" spans="1:72" x14ac:dyDescent="0.15">
      <c r="A469" t="s">
        <v>72</v>
      </c>
      <c r="B469" t="s">
        <v>9082</v>
      </c>
      <c r="C469" t="s">
        <v>74</v>
      </c>
      <c r="D469" t="s">
        <v>74</v>
      </c>
      <c r="E469" t="s">
        <v>74</v>
      </c>
      <c r="F469" t="s">
        <v>9083</v>
      </c>
      <c r="G469" t="s">
        <v>74</v>
      </c>
      <c r="H469" t="s">
        <v>74</v>
      </c>
      <c r="I469" t="s">
        <v>9084</v>
      </c>
      <c r="J469" t="s">
        <v>1521</v>
      </c>
      <c r="K469" t="s">
        <v>74</v>
      </c>
      <c r="L469" t="s">
        <v>74</v>
      </c>
      <c r="M469" t="s">
        <v>78</v>
      </c>
      <c r="N469" t="s">
        <v>79</v>
      </c>
      <c r="O469" t="s">
        <v>74</v>
      </c>
      <c r="P469" t="s">
        <v>74</v>
      </c>
      <c r="Q469" t="s">
        <v>74</v>
      </c>
      <c r="R469" t="s">
        <v>74</v>
      </c>
      <c r="S469" t="s">
        <v>74</v>
      </c>
      <c r="T469" t="s">
        <v>74</v>
      </c>
      <c r="U469" t="s">
        <v>9085</v>
      </c>
      <c r="V469" t="s">
        <v>9086</v>
      </c>
      <c r="W469" t="s">
        <v>9087</v>
      </c>
      <c r="X469" t="s">
        <v>9088</v>
      </c>
      <c r="Y469" t="s">
        <v>9089</v>
      </c>
      <c r="Z469" t="s">
        <v>9090</v>
      </c>
      <c r="AA469" t="s">
        <v>9091</v>
      </c>
      <c r="AB469" t="s">
        <v>9092</v>
      </c>
      <c r="AC469" t="s">
        <v>9093</v>
      </c>
      <c r="AD469" t="s">
        <v>8136</v>
      </c>
      <c r="AE469" t="s">
        <v>9094</v>
      </c>
      <c r="AF469" t="s">
        <v>74</v>
      </c>
      <c r="AG469">
        <v>95</v>
      </c>
      <c r="AH469">
        <v>29</v>
      </c>
      <c r="AI469">
        <v>32</v>
      </c>
      <c r="AJ469">
        <v>1</v>
      </c>
      <c r="AK469">
        <v>21</v>
      </c>
      <c r="AL469" t="s">
        <v>1115</v>
      </c>
      <c r="AM469" t="s">
        <v>1116</v>
      </c>
      <c r="AN469" t="s">
        <v>1117</v>
      </c>
      <c r="AO469" t="s">
        <v>1532</v>
      </c>
      <c r="AP469" t="s">
        <v>1533</v>
      </c>
      <c r="AQ469" t="s">
        <v>74</v>
      </c>
      <c r="AR469" t="s">
        <v>1534</v>
      </c>
      <c r="AS469" t="s">
        <v>1535</v>
      </c>
      <c r="AT469" t="s">
        <v>8336</v>
      </c>
      <c r="AU469">
        <v>2017</v>
      </c>
      <c r="AV469">
        <v>30</v>
      </c>
      <c r="AW469">
        <v>8</v>
      </c>
      <c r="AX469" t="s">
        <v>74</v>
      </c>
      <c r="AY469" t="s">
        <v>74</v>
      </c>
      <c r="AZ469" t="s">
        <v>74</v>
      </c>
      <c r="BA469" t="s">
        <v>74</v>
      </c>
      <c r="BB469">
        <v>3055</v>
      </c>
      <c r="BC469">
        <v>3072</v>
      </c>
      <c r="BD469" t="s">
        <v>74</v>
      </c>
      <c r="BE469" t="s">
        <v>9095</v>
      </c>
      <c r="BF469" t="str">
        <f>HYPERLINK("http://dx.doi.org/10.1175/JCLI-D-16-0439.1","http://dx.doi.org/10.1175/JCLI-D-16-0439.1")</f>
        <v>http://dx.doi.org/10.1175/JCLI-D-16-0439.1</v>
      </c>
      <c r="BG469" t="s">
        <v>74</v>
      </c>
      <c r="BH469" t="s">
        <v>74</v>
      </c>
      <c r="BI469">
        <v>18</v>
      </c>
      <c r="BJ469" t="s">
        <v>1261</v>
      </c>
      <c r="BK469" t="s">
        <v>103</v>
      </c>
      <c r="BL469" t="s">
        <v>1261</v>
      </c>
      <c r="BM469" t="s">
        <v>9080</v>
      </c>
      <c r="BN469" t="s">
        <v>74</v>
      </c>
      <c r="BO469" t="s">
        <v>74</v>
      </c>
      <c r="BP469" t="s">
        <v>74</v>
      </c>
      <c r="BQ469" t="s">
        <v>74</v>
      </c>
      <c r="BR469" t="s">
        <v>106</v>
      </c>
      <c r="BS469" t="s">
        <v>9096</v>
      </c>
      <c r="BT469" t="str">
        <f>HYPERLINK("https%3A%2F%2Fwww.webofscience.com%2Fwos%2Fwoscc%2Ffull-record%2FWOS:000399679900019","View Full Record in Web of Science")</f>
        <v>View Full Record in Web of Science</v>
      </c>
    </row>
    <row r="470" spans="1:72" x14ac:dyDescent="0.15">
      <c r="A470" t="s">
        <v>72</v>
      </c>
      <c r="B470" t="s">
        <v>9097</v>
      </c>
      <c r="C470" t="s">
        <v>74</v>
      </c>
      <c r="D470" t="s">
        <v>74</v>
      </c>
      <c r="E470" t="s">
        <v>74</v>
      </c>
      <c r="F470" t="s">
        <v>9098</v>
      </c>
      <c r="G470" t="s">
        <v>74</v>
      </c>
      <c r="H470" t="s">
        <v>74</v>
      </c>
      <c r="I470" t="s">
        <v>9099</v>
      </c>
      <c r="J470" t="s">
        <v>5839</v>
      </c>
      <c r="K470" t="s">
        <v>74</v>
      </c>
      <c r="L470" t="s">
        <v>74</v>
      </c>
      <c r="M470" t="s">
        <v>78</v>
      </c>
      <c r="N470" t="s">
        <v>79</v>
      </c>
      <c r="O470" t="s">
        <v>74</v>
      </c>
      <c r="P470" t="s">
        <v>74</v>
      </c>
      <c r="Q470" t="s">
        <v>74</v>
      </c>
      <c r="R470" t="s">
        <v>74</v>
      </c>
      <c r="S470" t="s">
        <v>74</v>
      </c>
      <c r="T470" t="s">
        <v>9100</v>
      </c>
      <c r="U470" t="s">
        <v>9101</v>
      </c>
      <c r="V470" t="s">
        <v>9102</v>
      </c>
      <c r="W470" t="s">
        <v>9103</v>
      </c>
      <c r="X470" t="s">
        <v>9104</v>
      </c>
      <c r="Y470" t="s">
        <v>9105</v>
      </c>
      <c r="Z470" t="s">
        <v>74</v>
      </c>
      <c r="AA470" t="s">
        <v>9106</v>
      </c>
      <c r="AB470" t="s">
        <v>9107</v>
      </c>
      <c r="AC470" t="s">
        <v>9108</v>
      </c>
      <c r="AD470" t="s">
        <v>9109</v>
      </c>
      <c r="AE470" t="s">
        <v>9110</v>
      </c>
      <c r="AF470" t="s">
        <v>74</v>
      </c>
      <c r="AG470">
        <v>25</v>
      </c>
      <c r="AH470">
        <v>9</v>
      </c>
      <c r="AI470">
        <v>11</v>
      </c>
      <c r="AJ470">
        <v>2</v>
      </c>
      <c r="AK470">
        <v>36</v>
      </c>
      <c r="AL470" t="s">
        <v>5852</v>
      </c>
      <c r="AM470" t="s">
        <v>5853</v>
      </c>
      <c r="AN470" t="s">
        <v>5854</v>
      </c>
      <c r="AO470" t="s">
        <v>5855</v>
      </c>
      <c r="AP470" t="s">
        <v>5856</v>
      </c>
      <c r="AQ470" t="s">
        <v>74</v>
      </c>
      <c r="AR470" t="s">
        <v>5857</v>
      </c>
      <c r="AS470" t="s">
        <v>5858</v>
      </c>
      <c r="AT470" t="s">
        <v>8336</v>
      </c>
      <c r="AU470">
        <v>2017</v>
      </c>
      <c r="AV470">
        <v>228</v>
      </c>
      <c r="AW470">
        <v>4</v>
      </c>
      <c r="AX470" t="s">
        <v>74</v>
      </c>
      <c r="AY470" t="s">
        <v>74</v>
      </c>
      <c r="AZ470" t="s">
        <v>74</v>
      </c>
      <c r="BA470" t="s">
        <v>74</v>
      </c>
      <c r="BB470" t="s">
        <v>74</v>
      </c>
      <c r="BC470" t="s">
        <v>74</v>
      </c>
      <c r="BD470">
        <v>149</v>
      </c>
      <c r="BE470" t="s">
        <v>9111</v>
      </c>
      <c r="BF470" t="str">
        <f>HYPERLINK("http://dx.doi.org/10.1007/s11270-017-3325-5","http://dx.doi.org/10.1007/s11270-017-3325-5")</f>
        <v>http://dx.doi.org/10.1007/s11270-017-3325-5</v>
      </c>
      <c r="BG470" t="s">
        <v>74</v>
      </c>
      <c r="BH470" t="s">
        <v>74</v>
      </c>
      <c r="BI470">
        <v>7</v>
      </c>
      <c r="BJ470" t="s">
        <v>5860</v>
      </c>
      <c r="BK470" t="s">
        <v>103</v>
      </c>
      <c r="BL470" t="s">
        <v>5861</v>
      </c>
      <c r="BM470" t="s">
        <v>9112</v>
      </c>
      <c r="BN470" t="s">
        <v>74</v>
      </c>
      <c r="BO470" t="s">
        <v>74</v>
      </c>
      <c r="BP470" t="s">
        <v>74</v>
      </c>
      <c r="BQ470" t="s">
        <v>74</v>
      </c>
      <c r="BR470" t="s">
        <v>106</v>
      </c>
      <c r="BS470" t="s">
        <v>9113</v>
      </c>
      <c r="BT470" t="str">
        <f>HYPERLINK("https%3A%2F%2Fwww.webofscience.com%2Fwos%2Fwoscc%2Ffull-record%2FWOS:000399872600028","View Full Record in Web of Science")</f>
        <v>View Full Record in Web of Science</v>
      </c>
    </row>
    <row r="471" spans="1:72" x14ac:dyDescent="0.15">
      <c r="A471" t="s">
        <v>72</v>
      </c>
      <c r="B471" t="s">
        <v>9114</v>
      </c>
      <c r="C471" t="s">
        <v>74</v>
      </c>
      <c r="D471" t="s">
        <v>74</v>
      </c>
      <c r="E471" t="s">
        <v>74</v>
      </c>
      <c r="F471" t="s">
        <v>9115</v>
      </c>
      <c r="G471" t="s">
        <v>74</v>
      </c>
      <c r="H471" t="s">
        <v>74</v>
      </c>
      <c r="I471" t="s">
        <v>9116</v>
      </c>
      <c r="J471" t="s">
        <v>695</v>
      </c>
      <c r="K471" t="s">
        <v>74</v>
      </c>
      <c r="L471" t="s">
        <v>74</v>
      </c>
      <c r="M471" t="s">
        <v>78</v>
      </c>
      <c r="N471" t="s">
        <v>79</v>
      </c>
      <c r="O471" t="s">
        <v>74</v>
      </c>
      <c r="P471" t="s">
        <v>74</v>
      </c>
      <c r="Q471" t="s">
        <v>74</v>
      </c>
      <c r="R471" t="s">
        <v>74</v>
      </c>
      <c r="S471" t="s">
        <v>74</v>
      </c>
      <c r="T471" t="s">
        <v>9117</v>
      </c>
      <c r="U471" t="s">
        <v>9118</v>
      </c>
      <c r="V471" t="s">
        <v>9119</v>
      </c>
      <c r="W471" t="s">
        <v>9120</v>
      </c>
      <c r="X471" t="s">
        <v>9121</v>
      </c>
      <c r="Y471" t="s">
        <v>9122</v>
      </c>
      <c r="Z471" t="s">
        <v>9123</v>
      </c>
      <c r="AA471" t="s">
        <v>9124</v>
      </c>
      <c r="AB471" t="s">
        <v>9125</v>
      </c>
      <c r="AC471" t="s">
        <v>9126</v>
      </c>
      <c r="AD471" t="s">
        <v>9127</v>
      </c>
      <c r="AE471" t="s">
        <v>9128</v>
      </c>
      <c r="AF471" t="s">
        <v>74</v>
      </c>
      <c r="AG471">
        <v>72</v>
      </c>
      <c r="AH471">
        <v>7</v>
      </c>
      <c r="AI471">
        <v>7</v>
      </c>
      <c r="AJ471">
        <v>1</v>
      </c>
      <c r="AK471">
        <v>17</v>
      </c>
      <c r="AL471" t="s">
        <v>656</v>
      </c>
      <c r="AM471" t="s">
        <v>93</v>
      </c>
      <c r="AN471" t="s">
        <v>657</v>
      </c>
      <c r="AO471" t="s">
        <v>708</v>
      </c>
      <c r="AP471" t="s">
        <v>709</v>
      </c>
      <c r="AQ471" t="s">
        <v>74</v>
      </c>
      <c r="AR471" t="s">
        <v>710</v>
      </c>
      <c r="AS471" t="s">
        <v>711</v>
      </c>
      <c r="AT471" t="s">
        <v>8595</v>
      </c>
      <c r="AU471">
        <v>2017</v>
      </c>
      <c r="AV471">
        <v>137</v>
      </c>
      <c r="AW471" t="s">
        <v>74</v>
      </c>
      <c r="AX471" t="s">
        <v>74</v>
      </c>
      <c r="AY471" t="s">
        <v>74</v>
      </c>
      <c r="AZ471" t="s">
        <v>74</v>
      </c>
      <c r="BA471" t="s">
        <v>74</v>
      </c>
      <c r="BB471">
        <v>131</v>
      </c>
      <c r="BC471">
        <v>141</v>
      </c>
      <c r="BD471" t="s">
        <v>74</v>
      </c>
      <c r="BE471" t="s">
        <v>9129</v>
      </c>
      <c r="BF471" t="str">
        <f>HYPERLINK("http://dx.doi.org/10.1016/j.csr.2016.12.010","http://dx.doi.org/10.1016/j.csr.2016.12.010")</f>
        <v>http://dx.doi.org/10.1016/j.csr.2016.12.010</v>
      </c>
      <c r="BG471" t="s">
        <v>74</v>
      </c>
      <c r="BH471" t="s">
        <v>74</v>
      </c>
      <c r="BI471">
        <v>11</v>
      </c>
      <c r="BJ471" t="s">
        <v>127</v>
      </c>
      <c r="BK471" t="s">
        <v>103</v>
      </c>
      <c r="BL471" t="s">
        <v>127</v>
      </c>
      <c r="BM471" t="s">
        <v>9130</v>
      </c>
      <c r="BN471" t="s">
        <v>74</v>
      </c>
      <c r="BO471" t="s">
        <v>74</v>
      </c>
      <c r="BP471" t="s">
        <v>74</v>
      </c>
      <c r="BQ471" t="s">
        <v>74</v>
      </c>
      <c r="BR471" t="s">
        <v>106</v>
      </c>
      <c r="BS471" t="s">
        <v>9131</v>
      </c>
      <c r="BT471" t="str">
        <f>HYPERLINK("https%3A%2F%2Fwww.webofscience.com%2Fwos%2Fwoscc%2Ffull-record%2FWOS:000399268600011","View Full Record in Web of Science")</f>
        <v>View Full Record in Web of Science</v>
      </c>
    </row>
    <row r="472" spans="1:72" x14ac:dyDescent="0.15">
      <c r="A472" t="s">
        <v>72</v>
      </c>
      <c r="B472" t="s">
        <v>9132</v>
      </c>
      <c r="C472" t="s">
        <v>74</v>
      </c>
      <c r="D472" t="s">
        <v>74</v>
      </c>
      <c r="E472" t="s">
        <v>74</v>
      </c>
      <c r="F472" t="s">
        <v>9133</v>
      </c>
      <c r="G472" t="s">
        <v>74</v>
      </c>
      <c r="H472" t="s">
        <v>74</v>
      </c>
      <c r="I472" t="s">
        <v>9134</v>
      </c>
      <c r="J472" t="s">
        <v>9135</v>
      </c>
      <c r="K472" t="s">
        <v>74</v>
      </c>
      <c r="L472" t="s">
        <v>74</v>
      </c>
      <c r="M472" t="s">
        <v>78</v>
      </c>
      <c r="N472" t="s">
        <v>79</v>
      </c>
      <c r="O472" t="s">
        <v>74</v>
      </c>
      <c r="P472" t="s">
        <v>74</v>
      </c>
      <c r="Q472" t="s">
        <v>74</v>
      </c>
      <c r="R472" t="s">
        <v>74</v>
      </c>
      <c r="S472" t="s">
        <v>74</v>
      </c>
      <c r="T472" t="s">
        <v>9136</v>
      </c>
      <c r="U472" t="s">
        <v>9137</v>
      </c>
      <c r="V472" t="s">
        <v>9138</v>
      </c>
      <c r="W472" t="s">
        <v>9139</v>
      </c>
      <c r="X472" t="s">
        <v>9140</v>
      </c>
      <c r="Y472" t="s">
        <v>9141</v>
      </c>
      <c r="Z472" t="s">
        <v>9142</v>
      </c>
      <c r="AA472" t="s">
        <v>9143</v>
      </c>
      <c r="AB472" t="s">
        <v>9144</v>
      </c>
      <c r="AC472" t="s">
        <v>9145</v>
      </c>
      <c r="AD472" t="s">
        <v>9146</v>
      </c>
      <c r="AE472" t="s">
        <v>9147</v>
      </c>
      <c r="AF472" t="s">
        <v>74</v>
      </c>
      <c r="AG472">
        <v>79</v>
      </c>
      <c r="AH472">
        <v>8</v>
      </c>
      <c r="AI472">
        <v>9</v>
      </c>
      <c r="AJ472">
        <v>1</v>
      </c>
      <c r="AK472">
        <v>34</v>
      </c>
      <c r="AL472" t="s">
        <v>3295</v>
      </c>
      <c r="AM472" t="s">
        <v>3296</v>
      </c>
      <c r="AN472" t="s">
        <v>3297</v>
      </c>
      <c r="AO472" t="s">
        <v>9148</v>
      </c>
      <c r="AP472" t="s">
        <v>9149</v>
      </c>
      <c r="AQ472" t="s">
        <v>74</v>
      </c>
      <c r="AR472" t="s">
        <v>9135</v>
      </c>
      <c r="AS472" t="s">
        <v>9150</v>
      </c>
      <c r="AT472" t="s">
        <v>8336</v>
      </c>
      <c r="AU472">
        <v>2017</v>
      </c>
      <c r="AV472">
        <v>75</v>
      </c>
      <c r="AW472" t="s">
        <v>74</v>
      </c>
      <c r="AX472" t="s">
        <v>74</v>
      </c>
      <c r="AY472" t="s">
        <v>74</v>
      </c>
      <c r="AZ472" t="s">
        <v>74</v>
      </c>
      <c r="BA472" t="s">
        <v>74</v>
      </c>
      <c r="BB472">
        <v>117</v>
      </c>
      <c r="BC472">
        <v>124</v>
      </c>
      <c r="BD472" t="s">
        <v>74</v>
      </c>
      <c r="BE472" t="s">
        <v>9151</v>
      </c>
      <c r="BF472" t="str">
        <f>HYPERLINK("http://dx.doi.org/10.1016/j.cryobiol.2017.01.003","http://dx.doi.org/10.1016/j.cryobiol.2017.01.003")</f>
        <v>http://dx.doi.org/10.1016/j.cryobiol.2017.01.003</v>
      </c>
      <c r="BG472" t="s">
        <v>74</v>
      </c>
      <c r="BH472" t="s">
        <v>74</v>
      </c>
      <c r="BI472">
        <v>8</v>
      </c>
      <c r="BJ472" t="s">
        <v>9152</v>
      </c>
      <c r="BK472" t="s">
        <v>103</v>
      </c>
      <c r="BL472" t="s">
        <v>9153</v>
      </c>
      <c r="BM472" t="s">
        <v>9154</v>
      </c>
      <c r="BN472">
        <v>28082102</v>
      </c>
      <c r="BO472" t="s">
        <v>1100</v>
      </c>
      <c r="BP472" t="s">
        <v>74</v>
      </c>
      <c r="BQ472" t="s">
        <v>74</v>
      </c>
      <c r="BR472" t="s">
        <v>106</v>
      </c>
      <c r="BS472" t="s">
        <v>9155</v>
      </c>
      <c r="BT472" t="str">
        <f>HYPERLINK("https%3A%2F%2Fwww.webofscience.com%2Fwos%2Fwoscc%2Ffull-record%2FWOS:000399516900017","View Full Record in Web of Science")</f>
        <v>View Full Record in Web of Science</v>
      </c>
    </row>
    <row r="473" spans="1:72" x14ac:dyDescent="0.15">
      <c r="A473" t="s">
        <v>72</v>
      </c>
      <c r="B473" t="s">
        <v>9156</v>
      </c>
      <c r="C473" t="s">
        <v>74</v>
      </c>
      <c r="D473" t="s">
        <v>74</v>
      </c>
      <c r="E473" t="s">
        <v>74</v>
      </c>
      <c r="F473" t="s">
        <v>9157</v>
      </c>
      <c r="G473" t="s">
        <v>74</v>
      </c>
      <c r="H473" t="s">
        <v>74</v>
      </c>
      <c r="I473" t="s">
        <v>9158</v>
      </c>
      <c r="J473" t="s">
        <v>951</v>
      </c>
      <c r="K473" t="s">
        <v>74</v>
      </c>
      <c r="L473" t="s">
        <v>74</v>
      </c>
      <c r="M473" t="s">
        <v>78</v>
      </c>
      <c r="N473" t="s">
        <v>518</v>
      </c>
      <c r="O473" t="s">
        <v>74</v>
      </c>
      <c r="P473" t="s">
        <v>74</v>
      </c>
      <c r="Q473" t="s">
        <v>74</v>
      </c>
      <c r="R473" t="s">
        <v>74</v>
      </c>
      <c r="S473" t="s">
        <v>74</v>
      </c>
      <c r="T473" t="s">
        <v>74</v>
      </c>
      <c r="U473" t="s">
        <v>9159</v>
      </c>
      <c r="V473" t="s">
        <v>9160</v>
      </c>
      <c r="W473" t="s">
        <v>9161</v>
      </c>
      <c r="X473" t="s">
        <v>9162</v>
      </c>
      <c r="Y473" t="s">
        <v>9163</v>
      </c>
      <c r="Z473" t="s">
        <v>9164</v>
      </c>
      <c r="AA473" t="s">
        <v>9165</v>
      </c>
      <c r="AB473" t="s">
        <v>9166</v>
      </c>
      <c r="AC473" t="s">
        <v>9167</v>
      </c>
      <c r="AD473" t="s">
        <v>9168</v>
      </c>
      <c r="AE473" t="s">
        <v>9169</v>
      </c>
      <c r="AF473" t="s">
        <v>74</v>
      </c>
      <c r="AG473">
        <v>117</v>
      </c>
      <c r="AH473">
        <v>10</v>
      </c>
      <c r="AI473">
        <v>13</v>
      </c>
      <c r="AJ473">
        <v>0</v>
      </c>
      <c r="AK473">
        <v>40</v>
      </c>
      <c r="AL473" t="s">
        <v>681</v>
      </c>
      <c r="AM473" t="s">
        <v>682</v>
      </c>
      <c r="AN473" t="s">
        <v>683</v>
      </c>
      <c r="AO473" t="s">
        <v>963</v>
      </c>
      <c r="AP473" t="s">
        <v>964</v>
      </c>
      <c r="AQ473" t="s">
        <v>74</v>
      </c>
      <c r="AR473" t="s">
        <v>965</v>
      </c>
      <c r="AS473" t="s">
        <v>966</v>
      </c>
      <c r="AT473" t="s">
        <v>8336</v>
      </c>
      <c r="AU473">
        <v>2017</v>
      </c>
      <c r="AV473">
        <v>19</v>
      </c>
      <c r="AW473">
        <v>4</v>
      </c>
      <c r="AX473" t="s">
        <v>74</v>
      </c>
      <c r="AY473" t="s">
        <v>74</v>
      </c>
      <c r="AZ473" t="s">
        <v>74</v>
      </c>
      <c r="BA473" t="s">
        <v>74</v>
      </c>
      <c r="BB473">
        <v>1625</v>
      </c>
      <c r="BC473">
        <v>1638</v>
      </c>
      <c r="BD473" t="s">
        <v>74</v>
      </c>
      <c r="BE473" t="s">
        <v>9170</v>
      </c>
      <c r="BF473" t="str">
        <f>HYPERLINK("http://dx.doi.org/10.1111/1462-2920.13683","http://dx.doi.org/10.1111/1462-2920.13683")</f>
        <v>http://dx.doi.org/10.1111/1462-2920.13683</v>
      </c>
      <c r="BG473" t="s">
        <v>74</v>
      </c>
      <c r="BH473" t="s">
        <v>74</v>
      </c>
      <c r="BI473">
        <v>14</v>
      </c>
      <c r="BJ473" t="s">
        <v>410</v>
      </c>
      <c r="BK473" t="s">
        <v>103</v>
      </c>
      <c r="BL473" t="s">
        <v>410</v>
      </c>
      <c r="BM473" t="s">
        <v>9171</v>
      </c>
      <c r="BN473">
        <v>28142225</v>
      </c>
      <c r="BO473" t="s">
        <v>74</v>
      </c>
      <c r="BP473" t="s">
        <v>74</v>
      </c>
      <c r="BQ473" t="s">
        <v>74</v>
      </c>
      <c r="BR473" t="s">
        <v>106</v>
      </c>
      <c r="BS473" t="s">
        <v>9172</v>
      </c>
      <c r="BT473" t="str">
        <f>HYPERLINK("https%3A%2F%2Fwww.webofscience.com%2Fwos%2Fwoscc%2Ffull-record%2FWOS:000398855400021","View Full Record in Web of Science")</f>
        <v>View Full Record in Web of Science</v>
      </c>
    </row>
    <row r="474" spans="1:72" x14ac:dyDescent="0.15">
      <c r="A474" t="s">
        <v>72</v>
      </c>
      <c r="B474" t="s">
        <v>9173</v>
      </c>
      <c r="C474" t="s">
        <v>74</v>
      </c>
      <c r="D474" t="s">
        <v>74</v>
      </c>
      <c r="E474" t="s">
        <v>74</v>
      </c>
      <c r="F474" t="s">
        <v>9174</v>
      </c>
      <c r="G474" t="s">
        <v>74</v>
      </c>
      <c r="H474" t="s">
        <v>74</v>
      </c>
      <c r="I474" t="s">
        <v>9175</v>
      </c>
      <c r="J474" t="s">
        <v>9176</v>
      </c>
      <c r="K474" t="s">
        <v>74</v>
      </c>
      <c r="L474" t="s">
        <v>74</v>
      </c>
      <c r="M474" t="s">
        <v>78</v>
      </c>
      <c r="N474" t="s">
        <v>79</v>
      </c>
      <c r="O474" t="s">
        <v>74</v>
      </c>
      <c r="P474" t="s">
        <v>74</v>
      </c>
      <c r="Q474" t="s">
        <v>74</v>
      </c>
      <c r="R474" t="s">
        <v>74</v>
      </c>
      <c r="S474" t="s">
        <v>74</v>
      </c>
      <c r="T474" t="s">
        <v>74</v>
      </c>
      <c r="U474" t="s">
        <v>9177</v>
      </c>
      <c r="V474" t="s">
        <v>9178</v>
      </c>
      <c r="W474" t="s">
        <v>9179</v>
      </c>
      <c r="X474" t="s">
        <v>9180</v>
      </c>
      <c r="Y474" t="s">
        <v>9181</v>
      </c>
      <c r="Z474" t="s">
        <v>9182</v>
      </c>
      <c r="AA474" t="s">
        <v>9183</v>
      </c>
      <c r="AB474" t="s">
        <v>9184</v>
      </c>
      <c r="AC474" t="s">
        <v>9185</v>
      </c>
      <c r="AD474" t="s">
        <v>9186</v>
      </c>
      <c r="AE474" t="s">
        <v>9187</v>
      </c>
      <c r="AF474" t="s">
        <v>74</v>
      </c>
      <c r="AG474">
        <v>67</v>
      </c>
      <c r="AH474">
        <v>52</v>
      </c>
      <c r="AI474">
        <v>53</v>
      </c>
      <c r="AJ474">
        <v>1</v>
      </c>
      <c r="AK474">
        <v>21</v>
      </c>
      <c r="AL474" t="s">
        <v>1115</v>
      </c>
      <c r="AM474" t="s">
        <v>1116</v>
      </c>
      <c r="AN474" t="s">
        <v>1117</v>
      </c>
      <c r="AO474" t="s">
        <v>9188</v>
      </c>
      <c r="AP474" t="s">
        <v>9189</v>
      </c>
      <c r="AQ474" t="s">
        <v>74</v>
      </c>
      <c r="AR474" t="s">
        <v>9190</v>
      </c>
      <c r="AS474" t="s">
        <v>9191</v>
      </c>
      <c r="AT474" t="s">
        <v>8336</v>
      </c>
      <c r="AU474">
        <v>2017</v>
      </c>
      <c r="AV474">
        <v>74</v>
      </c>
      <c r="AW474">
        <v>4</v>
      </c>
      <c r="AX474" t="s">
        <v>74</v>
      </c>
      <c r="AY474" t="s">
        <v>74</v>
      </c>
      <c r="AZ474" t="s">
        <v>74</v>
      </c>
      <c r="BA474" t="s">
        <v>74</v>
      </c>
      <c r="BB474">
        <v>1057</v>
      </c>
      <c r="BC474">
        <v>1073</v>
      </c>
      <c r="BD474" t="s">
        <v>74</v>
      </c>
      <c r="BE474" t="s">
        <v>9192</v>
      </c>
      <c r="BF474" t="str">
        <f>HYPERLINK("http://dx.doi.org/10.1175/JAS-D-16-0180.1","http://dx.doi.org/10.1175/JAS-D-16-0180.1")</f>
        <v>http://dx.doi.org/10.1175/JAS-D-16-0180.1</v>
      </c>
      <c r="BG474" t="s">
        <v>74</v>
      </c>
      <c r="BH474" t="s">
        <v>74</v>
      </c>
      <c r="BI474">
        <v>17</v>
      </c>
      <c r="BJ474" t="s">
        <v>1261</v>
      </c>
      <c r="BK474" t="s">
        <v>103</v>
      </c>
      <c r="BL474" t="s">
        <v>1261</v>
      </c>
      <c r="BM474" t="s">
        <v>9193</v>
      </c>
      <c r="BN474" t="s">
        <v>74</v>
      </c>
      <c r="BO474" t="s">
        <v>231</v>
      </c>
      <c r="BP474" t="s">
        <v>74</v>
      </c>
      <c r="BQ474" t="s">
        <v>74</v>
      </c>
      <c r="BR474" t="s">
        <v>106</v>
      </c>
      <c r="BS474" t="s">
        <v>9194</v>
      </c>
      <c r="BT474" t="str">
        <f>HYPERLINK("https%3A%2F%2Fwww.webofscience.com%2Fwos%2Fwoscc%2Ffull-record%2FWOS:000399333700006","View Full Record in Web of Science")</f>
        <v>View Full Record in Web of Science</v>
      </c>
    </row>
    <row r="475" spans="1:72" x14ac:dyDescent="0.15">
      <c r="A475" t="s">
        <v>72</v>
      </c>
      <c r="B475" t="s">
        <v>9195</v>
      </c>
      <c r="C475" t="s">
        <v>74</v>
      </c>
      <c r="D475" t="s">
        <v>74</v>
      </c>
      <c r="E475" t="s">
        <v>74</v>
      </c>
      <c r="F475" t="s">
        <v>9196</v>
      </c>
      <c r="G475" t="s">
        <v>74</v>
      </c>
      <c r="H475" t="s">
        <v>74</v>
      </c>
      <c r="I475" t="s">
        <v>9197</v>
      </c>
      <c r="J475" t="s">
        <v>9198</v>
      </c>
      <c r="K475" t="s">
        <v>74</v>
      </c>
      <c r="L475" t="s">
        <v>74</v>
      </c>
      <c r="M475" t="s">
        <v>78</v>
      </c>
      <c r="N475" t="s">
        <v>79</v>
      </c>
      <c r="O475" t="s">
        <v>74</v>
      </c>
      <c r="P475" t="s">
        <v>74</v>
      </c>
      <c r="Q475" t="s">
        <v>74</v>
      </c>
      <c r="R475" t="s">
        <v>74</v>
      </c>
      <c r="S475" t="s">
        <v>74</v>
      </c>
      <c r="T475" t="s">
        <v>9199</v>
      </c>
      <c r="U475" t="s">
        <v>9200</v>
      </c>
      <c r="V475" t="s">
        <v>9201</v>
      </c>
      <c r="W475" t="s">
        <v>9202</v>
      </c>
      <c r="X475" t="s">
        <v>9203</v>
      </c>
      <c r="Y475" t="s">
        <v>9204</v>
      </c>
      <c r="Z475" t="s">
        <v>9205</v>
      </c>
      <c r="AA475" t="s">
        <v>9206</v>
      </c>
      <c r="AB475" t="s">
        <v>9207</v>
      </c>
      <c r="AC475" t="s">
        <v>9208</v>
      </c>
      <c r="AD475" t="s">
        <v>9209</v>
      </c>
      <c r="AE475" t="s">
        <v>9210</v>
      </c>
      <c r="AF475" t="s">
        <v>74</v>
      </c>
      <c r="AG475">
        <v>97</v>
      </c>
      <c r="AH475">
        <v>12</v>
      </c>
      <c r="AI475">
        <v>13</v>
      </c>
      <c r="AJ475">
        <v>2</v>
      </c>
      <c r="AK475">
        <v>30</v>
      </c>
      <c r="AL475" t="s">
        <v>681</v>
      </c>
      <c r="AM475" t="s">
        <v>682</v>
      </c>
      <c r="AN475" t="s">
        <v>683</v>
      </c>
      <c r="AO475" t="s">
        <v>9211</v>
      </c>
      <c r="AP475" t="s">
        <v>9212</v>
      </c>
      <c r="AQ475" t="s">
        <v>74</v>
      </c>
      <c r="AR475" t="s">
        <v>9213</v>
      </c>
      <c r="AS475" t="s">
        <v>9214</v>
      </c>
      <c r="AT475" t="s">
        <v>8336</v>
      </c>
      <c r="AU475">
        <v>2017</v>
      </c>
      <c r="AV475">
        <v>33</v>
      </c>
      <c r="AW475">
        <v>2</v>
      </c>
      <c r="AX475" t="s">
        <v>74</v>
      </c>
      <c r="AY475" t="s">
        <v>74</v>
      </c>
      <c r="AZ475" t="s">
        <v>74</v>
      </c>
      <c r="BA475" t="s">
        <v>74</v>
      </c>
      <c r="BB475">
        <v>457</v>
      </c>
      <c r="BC475">
        <v>479</v>
      </c>
      <c r="BD475" t="s">
        <v>74</v>
      </c>
      <c r="BE475" t="s">
        <v>9215</v>
      </c>
      <c r="BF475" t="str">
        <f>HYPERLINK("http://dx.doi.org/10.1111/mms.12378","http://dx.doi.org/10.1111/mms.12378")</f>
        <v>http://dx.doi.org/10.1111/mms.12378</v>
      </c>
      <c r="BG475" t="s">
        <v>74</v>
      </c>
      <c r="BH475" t="s">
        <v>74</v>
      </c>
      <c r="BI475">
        <v>23</v>
      </c>
      <c r="BJ475" t="s">
        <v>689</v>
      </c>
      <c r="BK475" t="s">
        <v>103</v>
      </c>
      <c r="BL475" t="s">
        <v>689</v>
      </c>
      <c r="BM475" t="s">
        <v>9216</v>
      </c>
      <c r="BN475" t="s">
        <v>74</v>
      </c>
      <c r="BO475" t="s">
        <v>74</v>
      </c>
      <c r="BP475" t="s">
        <v>74</v>
      </c>
      <c r="BQ475" t="s">
        <v>74</v>
      </c>
      <c r="BR475" t="s">
        <v>106</v>
      </c>
      <c r="BS475" t="s">
        <v>9217</v>
      </c>
      <c r="BT475" t="str">
        <f>HYPERLINK("https%3A%2F%2Fwww.webofscience.com%2Fwos%2Fwoscc%2Ffull-record%2FWOS:000399640700003","View Full Record in Web of Science")</f>
        <v>View Full Record in Web of Science</v>
      </c>
    </row>
    <row r="476" spans="1:72" x14ac:dyDescent="0.15">
      <c r="A476" t="s">
        <v>72</v>
      </c>
      <c r="B476" t="s">
        <v>9218</v>
      </c>
      <c r="C476" t="s">
        <v>74</v>
      </c>
      <c r="D476" t="s">
        <v>74</v>
      </c>
      <c r="E476" t="s">
        <v>74</v>
      </c>
      <c r="F476" t="s">
        <v>9219</v>
      </c>
      <c r="G476" t="s">
        <v>74</v>
      </c>
      <c r="H476" t="s">
        <v>74</v>
      </c>
      <c r="I476" t="s">
        <v>9220</v>
      </c>
      <c r="J476" t="s">
        <v>9198</v>
      </c>
      <c r="K476" t="s">
        <v>74</v>
      </c>
      <c r="L476" t="s">
        <v>74</v>
      </c>
      <c r="M476" t="s">
        <v>78</v>
      </c>
      <c r="N476" t="s">
        <v>79</v>
      </c>
      <c r="O476" t="s">
        <v>74</v>
      </c>
      <c r="P476" t="s">
        <v>74</v>
      </c>
      <c r="Q476" t="s">
        <v>74</v>
      </c>
      <c r="R476" t="s">
        <v>74</v>
      </c>
      <c r="S476" t="s">
        <v>74</v>
      </c>
      <c r="T476" t="s">
        <v>74</v>
      </c>
      <c r="U476" t="s">
        <v>9221</v>
      </c>
      <c r="V476" t="s">
        <v>74</v>
      </c>
      <c r="W476" t="s">
        <v>9222</v>
      </c>
      <c r="X476" t="s">
        <v>9223</v>
      </c>
      <c r="Y476" t="s">
        <v>9224</v>
      </c>
      <c r="Z476" t="s">
        <v>9225</v>
      </c>
      <c r="AA476" t="s">
        <v>9226</v>
      </c>
      <c r="AB476" t="s">
        <v>9227</v>
      </c>
      <c r="AC476" t="s">
        <v>9228</v>
      </c>
      <c r="AD476" t="s">
        <v>9229</v>
      </c>
      <c r="AE476" t="s">
        <v>9230</v>
      </c>
      <c r="AF476" t="s">
        <v>74</v>
      </c>
      <c r="AG476">
        <v>21</v>
      </c>
      <c r="AH476">
        <v>11</v>
      </c>
      <c r="AI476">
        <v>11</v>
      </c>
      <c r="AJ476">
        <v>1</v>
      </c>
      <c r="AK476">
        <v>20</v>
      </c>
      <c r="AL476" t="s">
        <v>681</v>
      </c>
      <c r="AM476" t="s">
        <v>682</v>
      </c>
      <c r="AN476" t="s">
        <v>683</v>
      </c>
      <c r="AO476" t="s">
        <v>9211</v>
      </c>
      <c r="AP476" t="s">
        <v>9212</v>
      </c>
      <c r="AQ476" t="s">
        <v>74</v>
      </c>
      <c r="AR476" t="s">
        <v>9213</v>
      </c>
      <c r="AS476" t="s">
        <v>9214</v>
      </c>
      <c r="AT476" t="s">
        <v>8336</v>
      </c>
      <c r="AU476">
        <v>2017</v>
      </c>
      <c r="AV476">
        <v>33</v>
      </c>
      <c r="AW476">
        <v>2</v>
      </c>
      <c r="AX476" t="s">
        <v>74</v>
      </c>
      <c r="AY476" t="s">
        <v>74</v>
      </c>
      <c r="AZ476" t="s">
        <v>74</v>
      </c>
      <c r="BA476" t="s">
        <v>74</v>
      </c>
      <c r="BB476">
        <v>645</v>
      </c>
      <c r="BC476">
        <v>652</v>
      </c>
      <c r="BD476" t="s">
        <v>74</v>
      </c>
      <c r="BE476" t="s">
        <v>9231</v>
      </c>
      <c r="BF476" t="str">
        <f>HYPERLINK("http://dx.doi.org/10.1111/mms.12369","http://dx.doi.org/10.1111/mms.12369")</f>
        <v>http://dx.doi.org/10.1111/mms.12369</v>
      </c>
      <c r="BG476" t="s">
        <v>74</v>
      </c>
      <c r="BH476" t="s">
        <v>74</v>
      </c>
      <c r="BI476">
        <v>8</v>
      </c>
      <c r="BJ476" t="s">
        <v>689</v>
      </c>
      <c r="BK476" t="s">
        <v>103</v>
      </c>
      <c r="BL476" t="s">
        <v>689</v>
      </c>
      <c r="BM476" t="s">
        <v>9216</v>
      </c>
      <c r="BN476" t="s">
        <v>74</v>
      </c>
      <c r="BO476" t="s">
        <v>1100</v>
      </c>
      <c r="BP476" t="s">
        <v>74</v>
      </c>
      <c r="BQ476" t="s">
        <v>74</v>
      </c>
      <c r="BR476" t="s">
        <v>106</v>
      </c>
      <c r="BS476" t="s">
        <v>9232</v>
      </c>
      <c r="BT476" t="str">
        <f>HYPERLINK("https%3A%2F%2Fwww.webofscience.com%2Fwos%2Fwoscc%2Ffull-record%2FWOS:000399640700014","View Full Record in Web of Science")</f>
        <v>View Full Record in Web of Science</v>
      </c>
    </row>
    <row r="477" spans="1:72" x14ac:dyDescent="0.15">
      <c r="A477" t="s">
        <v>72</v>
      </c>
      <c r="B477" t="s">
        <v>9233</v>
      </c>
      <c r="C477" t="s">
        <v>74</v>
      </c>
      <c r="D477" t="s">
        <v>74</v>
      </c>
      <c r="E477" t="s">
        <v>74</v>
      </c>
      <c r="F477" t="s">
        <v>9234</v>
      </c>
      <c r="G477" t="s">
        <v>74</v>
      </c>
      <c r="H477" t="s">
        <v>74</v>
      </c>
      <c r="I477" t="s">
        <v>9235</v>
      </c>
      <c r="J477" t="s">
        <v>9236</v>
      </c>
      <c r="K477" t="s">
        <v>74</v>
      </c>
      <c r="L477" t="s">
        <v>74</v>
      </c>
      <c r="M477" t="s">
        <v>78</v>
      </c>
      <c r="N477" t="s">
        <v>79</v>
      </c>
      <c r="O477" t="s">
        <v>74</v>
      </c>
      <c r="P477" t="s">
        <v>74</v>
      </c>
      <c r="Q477" t="s">
        <v>74</v>
      </c>
      <c r="R477" t="s">
        <v>74</v>
      </c>
      <c r="S477" t="s">
        <v>74</v>
      </c>
      <c r="T477" t="s">
        <v>9237</v>
      </c>
      <c r="U477" t="s">
        <v>9238</v>
      </c>
      <c r="V477" t="s">
        <v>9239</v>
      </c>
      <c r="W477" t="s">
        <v>9240</v>
      </c>
      <c r="X477" t="s">
        <v>9241</v>
      </c>
      <c r="Y477" t="s">
        <v>9242</v>
      </c>
      <c r="Z477" t="s">
        <v>9243</v>
      </c>
      <c r="AA477" t="s">
        <v>9244</v>
      </c>
      <c r="AB477" t="s">
        <v>9245</v>
      </c>
      <c r="AC477" t="s">
        <v>74</v>
      </c>
      <c r="AD477" t="s">
        <v>74</v>
      </c>
      <c r="AE477" t="s">
        <v>74</v>
      </c>
      <c r="AF477" t="s">
        <v>74</v>
      </c>
      <c r="AG477">
        <v>29</v>
      </c>
      <c r="AH477">
        <v>6</v>
      </c>
      <c r="AI477">
        <v>7</v>
      </c>
      <c r="AJ477">
        <v>2</v>
      </c>
      <c r="AK477">
        <v>19</v>
      </c>
      <c r="AL477" t="s">
        <v>681</v>
      </c>
      <c r="AM477" t="s">
        <v>682</v>
      </c>
      <c r="AN477" t="s">
        <v>683</v>
      </c>
      <c r="AO477" t="s">
        <v>9246</v>
      </c>
      <c r="AP477" t="s">
        <v>9247</v>
      </c>
      <c r="AQ477" t="s">
        <v>74</v>
      </c>
      <c r="AR477" t="s">
        <v>9248</v>
      </c>
      <c r="AS477" t="s">
        <v>9249</v>
      </c>
      <c r="AT477" t="s">
        <v>8509</v>
      </c>
      <c r="AU477">
        <v>2017</v>
      </c>
      <c r="AV477">
        <v>28</v>
      </c>
      <c r="AW477">
        <v>2</v>
      </c>
      <c r="AX477" t="s">
        <v>74</v>
      </c>
      <c r="AY477" t="s">
        <v>74</v>
      </c>
      <c r="AZ477" t="s">
        <v>74</v>
      </c>
      <c r="BA477" t="s">
        <v>74</v>
      </c>
      <c r="BB477">
        <v>493</v>
      </c>
      <c r="BC477">
        <v>498</v>
      </c>
      <c r="BD477" t="s">
        <v>74</v>
      </c>
      <c r="BE477" t="s">
        <v>9250</v>
      </c>
      <c r="BF477" t="str">
        <f>HYPERLINK("http://dx.doi.org/10.1002/ppp.1888","http://dx.doi.org/10.1002/ppp.1888")</f>
        <v>http://dx.doi.org/10.1002/ppp.1888</v>
      </c>
      <c r="BG477" t="s">
        <v>74</v>
      </c>
      <c r="BH477" t="s">
        <v>74</v>
      </c>
      <c r="BI477">
        <v>6</v>
      </c>
      <c r="BJ477" t="s">
        <v>9251</v>
      </c>
      <c r="BK477" t="s">
        <v>103</v>
      </c>
      <c r="BL477" t="s">
        <v>1339</v>
      </c>
      <c r="BM477" t="s">
        <v>9252</v>
      </c>
      <c r="BN477" t="s">
        <v>74</v>
      </c>
      <c r="BO477" t="s">
        <v>74</v>
      </c>
      <c r="BP477" t="s">
        <v>74</v>
      </c>
      <c r="BQ477" t="s">
        <v>74</v>
      </c>
      <c r="BR477" t="s">
        <v>106</v>
      </c>
      <c r="BS477" t="s">
        <v>9253</v>
      </c>
      <c r="BT477" t="str">
        <f>HYPERLINK("https%3A%2F%2Fwww.webofscience.com%2Fwos%2Fwoscc%2Ffull-record%2FWOS:000398850500012","View Full Record in Web of Science")</f>
        <v>View Full Record in Web of Science</v>
      </c>
    </row>
    <row r="478" spans="1:72" x14ac:dyDescent="0.15">
      <c r="A478" t="s">
        <v>72</v>
      </c>
      <c r="B478" t="s">
        <v>9254</v>
      </c>
      <c r="C478" t="s">
        <v>74</v>
      </c>
      <c r="D478" t="s">
        <v>74</v>
      </c>
      <c r="E478" t="s">
        <v>74</v>
      </c>
      <c r="F478" t="s">
        <v>9255</v>
      </c>
      <c r="G478" t="s">
        <v>74</v>
      </c>
      <c r="H478" t="s">
        <v>74</v>
      </c>
      <c r="I478" t="s">
        <v>9256</v>
      </c>
      <c r="J478" t="s">
        <v>9236</v>
      </c>
      <c r="K478" t="s">
        <v>74</v>
      </c>
      <c r="L478" t="s">
        <v>74</v>
      </c>
      <c r="M478" t="s">
        <v>78</v>
      </c>
      <c r="N478" t="s">
        <v>79</v>
      </c>
      <c r="O478" t="s">
        <v>74</v>
      </c>
      <c r="P478" t="s">
        <v>74</v>
      </c>
      <c r="Q478" t="s">
        <v>74</v>
      </c>
      <c r="R478" t="s">
        <v>74</v>
      </c>
      <c r="S478" t="s">
        <v>74</v>
      </c>
      <c r="T478" t="s">
        <v>9257</v>
      </c>
      <c r="U478" t="s">
        <v>9258</v>
      </c>
      <c r="V478" t="s">
        <v>9259</v>
      </c>
      <c r="W478" t="s">
        <v>9260</v>
      </c>
      <c r="X478" t="s">
        <v>9261</v>
      </c>
      <c r="Y478" t="s">
        <v>9262</v>
      </c>
      <c r="Z478" t="s">
        <v>9263</v>
      </c>
      <c r="AA478" t="s">
        <v>74</v>
      </c>
      <c r="AB478" t="s">
        <v>74</v>
      </c>
      <c r="AC478" t="s">
        <v>74</v>
      </c>
      <c r="AD478" t="s">
        <v>74</v>
      </c>
      <c r="AE478" t="s">
        <v>74</v>
      </c>
      <c r="AF478" t="s">
        <v>74</v>
      </c>
      <c r="AG478">
        <v>23</v>
      </c>
      <c r="AH478">
        <v>0</v>
      </c>
      <c r="AI478">
        <v>0</v>
      </c>
      <c r="AJ478">
        <v>0</v>
      </c>
      <c r="AK478">
        <v>11</v>
      </c>
      <c r="AL478" t="s">
        <v>681</v>
      </c>
      <c r="AM478" t="s">
        <v>682</v>
      </c>
      <c r="AN478" t="s">
        <v>683</v>
      </c>
      <c r="AO478" t="s">
        <v>9246</v>
      </c>
      <c r="AP478" t="s">
        <v>9247</v>
      </c>
      <c r="AQ478" t="s">
        <v>74</v>
      </c>
      <c r="AR478" t="s">
        <v>9248</v>
      </c>
      <c r="AS478" t="s">
        <v>9249</v>
      </c>
      <c r="AT478" t="s">
        <v>8509</v>
      </c>
      <c r="AU478">
        <v>2017</v>
      </c>
      <c r="AV478">
        <v>28</v>
      </c>
      <c r="AW478">
        <v>2</v>
      </c>
      <c r="AX478" t="s">
        <v>74</v>
      </c>
      <c r="AY478" t="s">
        <v>74</v>
      </c>
      <c r="AZ478" t="s">
        <v>74</v>
      </c>
      <c r="BA478" t="s">
        <v>74</v>
      </c>
      <c r="BB478">
        <v>499</v>
      </c>
      <c r="BC478">
        <v>503</v>
      </c>
      <c r="BD478" t="s">
        <v>74</v>
      </c>
      <c r="BE478" t="s">
        <v>9264</v>
      </c>
      <c r="BF478" t="str">
        <f>HYPERLINK("http://dx.doi.org/10.1002/ppp.1923","http://dx.doi.org/10.1002/ppp.1923")</f>
        <v>http://dx.doi.org/10.1002/ppp.1923</v>
      </c>
      <c r="BG478" t="s">
        <v>74</v>
      </c>
      <c r="BH478" t="s">
        <v>74</v>
      </c>
      <c r="BI478">
        <v>5</v>
      </c>
      <c r="BJ478" t="s">
        <v>9251</v>
      </c>
      <c r="BK478" t="s">
        <v>103</v>
      </c>
      <c r="BL478" t="s">
        <v>1339</v>
      </c>
      <c r="BM478" t="s">
        <v>9252</v>
      </c>
      <c r="BN478" t="s">
        <v>74</v>
      </c>
      <c r="BO478" t="s">
        <v>74</v>
      </c>
      <c r="BP478" t="s">
        <v>74</v>
      </c>
      <c r="BQ478" t="s">
        <v>74</v>
      </c>
      <c r="BR478" t="s">
        <v>106</v>
      </c>
      <c r="BS478" t="s">
        <v>9265</v>
      </c>
      <c r="BT478" t="str">
        <f>HYPERLINK("https%3A%2F%2Fwww.webofscience.com%2Fwos%2Fwoscc%2Ffull-record%2FWOS:000398850500013","View Full Record in Web of Science")</f>
        <v>View Full Record in Web of Science</v>
      </c>
    </row>
    <row r="479" spans="1:72" x14ac:dyDescent="0.15">
      <c r="A479" t="s">
        <v>72</v>
      </c>
      <c r="B479" t="s">
        <v>9266</v>
      </c>
      <c r="C479" t="s">
        <v>74</v>
      </c>
      <c r="D479" t="s">
        <v>74</v>
      </c>
      <c r="E479" t="s">
        <v>74</v>
      </c>
      <c r="F479" t="s">
        <v>9267</v>
      </c>
      <c r="G479" t="s">
        <v>74</v>
      </c>
      <c r="H479" t="s">
        <v>74</v>
      </c>
      <c r="I479" t="s">
        <v>9268</v>
      </c>
      <c r="J479" t="s">
        <v>6154</v>
      </c>
      <c r="K479" t="s">
        <v>74</v>
      </c>
      <c r="L479" t="s">
        <v>74</v>
      </c>
      <c r="M479" t="s">
        <v>78</v>
      </c>
      <c r="N479" t="s">
        <v>79</v>
      </c>
      <c r="O479" t="s">
        <v>74</v>
      </c>
      <c r="P479" t="s">
        <v>74</v>
      </c>
      <c r="Q479" t="s">
        <v>74</v>
      </c>
      <c r="R479" t="s">
        <v>74</v>
      </c>
      <c r="S479" t="s">
        <v>74</v>
      </c>
      <c r="T479" t="s">
        <v>9269</v>
      </c>
      <c r="U479" t="s">
        <v>9270</v>
      </c>
      <c r="V479" t="s">
        <v>9271</v>
      </c>
      <c r="W479" t="s">
        <v>9272</v>
      </c>
      <c r="X479" t="s">
        <v>74</v>
      </c>
      <c r="Y479" t="s">
        <v>9273</v>
      </c>
      <c r="Z479" t="s">
        <v>9274</v>
      </c>
      <c r="AA479" t="s">
        <v>9275</v>
      </c>
      <c r="AB479" t="s">
        <v>9276</v>
      </c>
      <c r="AC479" t="s">
        <v>9277</v>
      </c>
      <c r="AD479" t="s">
        <v>9278</v>
      </c>
      <c r="AE479" t="s">
        <v>9279</v>
      </c>
      <c r="AF479" t="s">
        <v>74</v>
      </c>
      <c r="AG479">
        <v>26</v>
      </c>
      <c r="AH479">
        <v>11</v>
      </c>
      <c r="AI479">
        <v>11</v>
      </c>
      <c r="AJ479">
        <v>0</v>
      </c>
      <c r="AK479">
        <v>9</v>
      </c>
      <c r="AL479" t="s">
        <v>986</v>
      </c>
      <c r="AM479" t="s">
        <v>430</v>
      </c>
      <c r="AN479" t="s">
        <v>987</v>
      </c>
      <c r="AO479" t="s">
        <v>6167</v>
      </c>
      <c r="AP479" t="s">
        <v>6168</v>
      </c>
      <c r="AQ479" t="s">
        <v>74</v>
      </c>
      <c r="AR479" t="s">
        <v>6169</v>
      </c>
      <c r="AS479" t="s">
        <v>6170</v>
      </c>
      <c r="AT479" t="s">
        <v>8336</v>
      </c>
      <c r="AU479">
        <v>2017</v>
      </c>
      <c r="AV479">
        <v>48</v>
      </c>
      <c r="AW479" t="s">
        <v>9280</v>
      </c>
      <c r="AX479" t="s">
        <v>74</v>
      </c>
      <c r="AY479" t="s">
        <v>74</v>
      </c>
      <c r="AZ479" t="s">
        <v>74</v>
      </c>
      <c r="BA479" t="s">
        <v>74</v>
      </c>
      <c r="BB479">
        <v>2569</v>
      </c>
      <c r="BC479">
        <v>2579</v>
      </c>
      <c r="BD479" t="s">
        <v>74</v>
      </c>
      <c r="BE479" t="s">
        <v>9281</v>
      </c>
      <c r="BF479" t="str">
        <f>HYPERLINK("http://dx.doi.org/10.1007/s00382-016-3223-3","http://dx.doi.org/10.1007/s00382-016-3223-3")</f>
        <v>http://dx.doi.org/10.1007/s00382-016-3223-3</v>
      </c>
      <c r="BG479" t="s">
        <v>74</v>
      </c>
      <c r="BH479" t="s">
        <v>74</v>
      </c>
      <c r="BI479">
        <v>11</v>
      </c>
      <c r="BJ479" t="s">
        <v>1261</v>
      </c>
      <c r="BK479" t="s">
        <v>103</v>
      </c>
      <c r="BL479" t="s">
        <v>1261</v>
      </c>
      <c r="BM479" t="s">
        <v>9282</v>
      </c>
      <c r="BN479" t="s">
        <v>74</v>
      </c>
      <c r="BO479" t="s">
        <v>74</v>
      </c>
      <c r="BP479" t="s">
        <v>74</v>
      </c>
      <c r="BQ479" t="s">
        <v>74</v>
      </c>
      <c r="BR479" t="s">
        <v>106</v>
      </c>
      <c r="BS479" t="s">
        <v>9283</v>
      </c>
      <c r="BT479" t="str">
        <f>HYPERLINK("https%3A%2F%2Fwww.webofscience.com%2Fwos%2Fwoscc%2Ffull-record%2FWOS:000398926400028","View Full Record in Web of Science")</f>
        <v>View Full Record in Web of Science</v>
      </c>
    </row>
    <row r="480" spans="1:72" x14ac:dyDescent="0.15">
      <c r="A480" t="s">
        <v>72</v>
      </c>
      <c r="B480" t="s">
        <v>9284</v>
      </c>
      <c r="C480" t="s">
        <v>74</v>
      </c>
      <c r="D480" t="s">
        <v>74</v>
      </c>
      <c r="E480" t="s">
        <v>74</v>
      </c>
      <c r="F480" t="s">
        <v>9285</v>
      </c>
      <c r="G480" t="s">
        <v>74</v>
      </c>
      <c r="H480" t="s">
        <v>74</v>
      </c>
      <c r="I480" t="s">
        <v>9286</v>
      </c>
      <c r="J480" t="s">
        <v>9287</v>
      </c>
      <c r="K480" t="s">
        <v>74</v>
      </c>
      <c r="L480" t="s">
        <v>74</v>
      </c>
      <c r="M480" t="s">
        <v>78</v>
      </c>
      <c r="N480" t="s">
        <v>79</v>
      </c>
      <c r="O480" t="s">
        <v>74</v>
      </c>
      <c r="P480" t="s">
        <v>74</v>
      </c>
      <c r="Q480" t="s">
        <v>74</v>
      </c>
      <c r="R480" t="s">
        <v>74</v>
      </c>
      <c r="S480" t="s">
        <v>74</v>
      </c>
      <c r="T480" t="s">
        <v>9288</v>
      </c>
      <c r="U480" t="s">
        <v>9289</v>
      </c>
      <c r="V480" t="s">
        <v>9290</v>
      </c>
      <c r="W480" t="s">
        <v>9291</v>
      </c>
      <c r="X480" t="s">
        <v>9292</v>
      </c>
      <c r="Y480" t="s">
        <v>9293</v>
      </c>
      <c r="Z480" t="s">
        <v>9294</v>
      </c>
      <c r="AA480" t="s">
        <v>9295</v>
      </c>
      <c r="AB480" t="s">
        <v>9296</v>
      </c>
      <c r="AC480" t="s">
        <v>9297</v>
      </c>
      <c r="AD480" t="s">
        <v>9298</v>
      </c>
      <c r="AE480" t="s">
        <v>9299</v>
      </c>
      <c r="AF480" t="s">
        <v>74</v>
      </c>
      <c r="AG480">
        <v>44</v>
      </c>
      <c r="AH480">
        <v>4</v>
      </c>
      <c r="AI480">
        <v>4</v>
      </c>
      <c r="AJ480">
        <v>0</v>
      </c>
      <c r="AK480">
        <v>14</v>
      </c>
      <c r="AL480" t="s">
        <v>2779</v>
      </c>
      <c r="AM480" t="s">
        <v>403</v>
      </c>
      <c r="AN480" t="s">
        <v>2780</v>
      </c>
      <c r="AO480" t="s">
        <v>9300</v>
      </c>
      <c r="AP480" t="s">
        <v>9301</v>
      </c>
      <c r="AQ480" t="s">
        <v>74</v>
      </c>
      <c r="AR480" t="s">
        <v>9302</v>
      </c>
      <c r="AS480" t="s">
        <v>9303</v>
      </c>
      <c r="AT480" t="s">
        <v>8336</v>
      </c>
      <c r="AU480">
        <v>2017</v>
      </c>
      <c r="AV480">
        <v>63</v>
      </c>
      <c r="AW480" t="s">
        <v>74</v>
      </c>
      <c r="AX480" t="s">
        <v>74</v>
      </c>
      <c r="AY480" t="s">
        <v>74</v>
      </c>
      <c r="AZ480" t="s">
        <v>74</v>
      </c>
      <c r="BA480" t="s">
        <v>74</v>
      </c>
      <c r="BB480">
        <v>376</v>
      </c>
      <c r="BC480">
        <v>383</v>
      </c>
      <c r="BD480" t="s">
        <v>74</v>
      </c>
      <c r="BE480" t="s">
        <v>9304</v>
      </c>
      <c r="BF480" t="str">
        <f>HYPERLINK("http://dx.doi.org/10.1016/j.fsi.2017.02.035","http://dx.doi.org/10.1016/j.fsi.2017.02.035")</f>
        <v>http://dx.doi.org/10.1016/j.fsi.2017.02.035</v>
      </c>
      <c r="BG480" t="s">
        <v>74</v>
      </c>
      <c r="BH480" t="s">
        <v>74</v>
      </c>
      <c r="BI480">
        <v>8</v>
      </c>
      <c r="BJ480" t="s">
        <v>9305</v>
      </c>
      <c r="BK480" t="s">
        <v>103</v>
      </c>
      <c r="BL480" t="s">
        <v>9305</v>
      </c>
      <c r="BM480" t="s">
        <v>9306</v>
      </c>
      <c r="BN480">
        <v>28232193</v>
      </c>
      <c r="BO480" t="s">
        <v>74</v>
      </c>
      <c r="BP480" t="s">
        <v>74</v>
      </c>
      <c r="BQ480" t="s">
        <v>74</v>
      </c>
      <c r="BR480" t="s">
        <v>106</v>
      </c>
      <c r="BS480" t="s">
        <v>9307</v>
      </c>
      <c r="BT480" t="str">
        <f>HYPERLINK("https%3A%2F%2Fwww.webofscience.com%2Fwos%2Fwoscc%2Ffull-record%2FWOS:000398870700041","View Full Record in Web of Science")</f>
        <v>View Full Record in Web of Science</v>
      </c>
    </row>
    <row r="481" spans="1:72" x14ac:dyDescent="0.15">
      <c r="A481" t="s">
        <v>72</v>
      </c>
      <c r="B481" t="s">
        <v>9308</v>
      </c>
      <c r="C481" t="s">
        <v>74</v>
      </c>
      <c r="D481" t="s">
        <v>74</v>
      </c>
      <c r="E481" t="s">
        <v>74</v>
      </c>
      <c r="F481" t="s">
        <v>9309</v>
      </c>
      <c r="G481" t="s">
        <v>74</v>
      </c>
      <c r="H481" t="s">
        <v>74</v>
      </c>
      <c r="I481" t="s">
        <v>9310</v>
      </c>
      <c r="J481" t="s">
        <v>9311</v>
      </c>
      <c r="K481" t="s">
        <v>74</v>
      </c>
      <c r="L481" t="s">
        <v>74</v>
      </c>
      <c r="M481" t="s">
        <v>78</v>
      </c>
      <c r="N481" t="s">
        <v>79</v>
      </c>
      <c r="O481" t="s">
        <v>74</v>
      </c>
      <c r="P481" t="s">
        <v>74</v>
      </c>
      <c r="Q481" t="s">
        <v>74</v>
      </c>
      <c r="R481" t="s">
        <v>74</v>
      </c>
      <c r="S481" t="s">
        <v>74</v>
      </c>
      <c r="T481" t="s">
        <v>9312</v>
      </c>
      <c r="U481" t="s">
        <v>9313</v>
      </c>
      <c r="V481" t="s">
        <v>9314</v>
      </c>
      <c r="W481" t="s">
        <v>9315</v>
      </c>
      <c r="X481" t="s">
        <v>9316</v>
      </c>
      <c r="Y481" t="s">
        <v>9317</v>
      </c>
      <c r="Z481" t="s">
        <v>9318</v>
      </c>
      <c r="AA481" t="s">
        <v>9319</v>
      </c>
      <c r="AB481" t="s">
        <v>9320</v>
      </c>
      <c r="AC481" t="s">
        <v>9321</v>
      </c>
      <c r="AD481" t="s">
        <v>9321</v>
      </c>
      <c r="AE481" t="s">
        <v>9322</v>
      </c>
      <c r="AF481" t="s">
        <v>74</v>
      </c>
      <c r="AG481">
        <v>25</v>
      </c>
      <c r="AH481">
        <v>4</v>
      </c>
      <c r="AI481">
        <v>4</v>
      </c>
      <c r="AJ481">
        <v>0</v>
      </c>
      <c r="AK481">
        <v>12</v>
      </c>
      <c r="AL481" t="s">
        <v>986</v>
      </c>
      <c r="AM481" t="s">
        <v>430</v>
      </c>
      <c r="AN481" t="s">
        <v>987</v>
      </c>
      <c r="AO481" t="s">
        <v>9323</v>
      </c>
      <c r="AP481" t="s">
        <v>9324</v>
      </c>
      <c r="AQ481" t="s">
        <v>74</v>
      </c>
      <c r="AR481" t="s">
        <v>9325</v>
      </c>
      <c r="AS481" t="s">
        <v>9326</v>
      </c>
      <c r="AT481" t="s">
        <v>8336</v>
      </c>
      <c r="AU481">
        <v>2017</v>
      </c>
      <c r="AV481">
        <v>61</v>
      </c>
      <c r="AW481">
        <v>4</v>
      </c>
      <c r="AX481" t="s">
        <v>74</v>
      </c>
      <c r="AY481" t="s">
        <v>74</v>
      </c>
      <c r="AZ481" t="s">
        <v>74</v>
      </c>
      <c r="BA481" t="s">
        <v>74</v>
      </c>
      <c r="BB481">
        <v>669</v>
      </c>
      <c r="BC481">
        <v>675</v>
      </c>
      <c r="BD481" t="s">
        <v>74</v>
      </c>
      <c r="BE481" t="s">
        <v>9327</v>
      </c>
      <c r="BF481" t="str">
        <f>HYPERLINK("http://dx.doi.org/10.1007/s00484-016-1244-6","http://dx.doi.org/10.1007/s00484-016-1244-6")</f>
        <v>http://dx.doi.org/10.1007/s00484-016-1244-6</v>
      </c>
      <c r="BG481" t="s">
        <v>74</v>
      </c>
      <c r="BH481" t="s">
        <v>74</v>
      </c>
      <c r="BI481">
        <v>7</v>
      </c>
      <c r="BJ481" t="s">
        <v>9328</v>
      </c>
      <c r="BK481" t="s">
        <v>103</v>
      </c>
      <c r="BL481" t="s">
        <v>9329</v>
      </c>
      <c r="BM481" t="s">
        <v>9330</v>
      </c>
      <c r="BN481">
        <v>27624162</v>
      </c>
      <c r="BO481" t="s">
        <v>74</v>
      </c>
      <c r="BP481" t="s">
        <v>74</v>
      </c>
      <c r="BQ481" t="s">
        <v>74</v>
      </c>
      <c r="BR481" t="s">
        <v>106</v>
      </c>
      <c r="BS481" t="s">
        <v>9331</v>
      </c>
      <c r="BT481" t="str">
        <f>HYPERLINK("https%3A%2F%2Fwww.webofscience.com%2Fwos%2Fwoscc%2Ffull-record%2FWOS:000399148700009","View Full Record in Web of Science")</f>
        <v>View Full Record in Web of Science</v>
      </c>
    </row>
    <row r="482" spans="1:72" x14ac:dyDescent="0.15">
      <c r="A482" t="s">
        <v>72</v>
      </c>
      <c r="B482" t="s">
        <v>9332</v>
      </c>
      <c r="C482" t="s">
        <v>74</v>
      </c>
      <c r="D482" t="s">
        <v>74</v>
      </c>
      <c r="E482" t="s">
        <v>74</v>
      </c>
      <c r="F482" t="s">
        <v>9333</v>
      </c>
      <c r="G482" t="s">
        <v>74</v>
      </c>
      <c r="H482" t="s">
        <v>74</v>
      </c>
      <c r="I482" t="s">
        <v>9334</v>
      </c>
      <c r="J482" t="s">
        <v>9335</v>
      </c>
      <c r="K482" t="s">
        <v>74</v>
      </c>
      <c r="L482" t="s">
        <v>74</v>
      </c>
      <c r="M482" t="s">
        <v>78</v>
      </c>
      <c r="N482" t="s">
        <v>79</v>
      </c>
      <c r="O482" t="s">
        <v>74</v>
      </c>
      <c r="P482" t="s">
        <v>74</v>
      </c>
      <c r="Q482" t="s">
        <v>74</v>
      </c>
      <c r="R482" t="s">
        <v>74</v>
      </c>
      <c r="S482" t="s">
        <v>74</v>
      </c>
      <c r="T482" t="s">
        <v>9336</v>
      </c>
      <c r="U482" t="s">
        <v>9337</v>
      </c>
      <c r="V482" t="s">
        <v>9338</v>
      </c>
      <c r="W482" t="s">
        <v>9339</v>
      </c>
      <c r="X482" t="s">
        <v>9340</v>
      </c>
      <c r="Y482" t="s">
        <v>9341</v>
      </c>
      <c r="Z482" t="s">
        <v>9342</v>
      </c>
      <c r="AA482" t="s">
        <v>9343</v>
      </c>
      <c r="AB482" t="s">
        <v>9344</v>
      </c>
      <c r="AC482" t="s">
        <v>9345</v>
      </c>
      <c r="AD482" t="s">
        <v>9346</v>
      </c>
      <c r="AE482" t="s">
        <v>9347</v>
      </c>
      <c r="AF482" t="s">
        <v>74</v>
      </c>
      <c r="AG482">
        <v>56</v>
      </c>
      <c r="AH482">
        <v>8</v>
      </c>
      <c r="AI482">
        <v>8</v>
      </c>
      <c r="AJ482">
        <v>2</v>
      </c>
      <c r="AK482">
        <v>37</v>
      </c>
      <c r="AL482" t="s">
        <v>986</v>
      </c>
      <c r="AM482" t="s">
        <v>1191</v>
      </c>
      <c r="AN482" t="s">
        <v>1192</v>
      </c>
      <c r="AO482" t="s">
        <v>9348</v>
      </c>
      <c r="AP482" t="s">
        <v>9349</v>
      </c>
      <c r="AQ482" t="s">
        <v>74</v>
      </c>
      <c r="AR482" t="s">
        <v>9350</v>
      </c>
      <c r="AS482" t="s">
        <v>9351</v>
      </c>
      <c r="AT482" t="s">
        <v>8336</v>
      </c>
      <c r="AU482">
        <v>2017</v>
      </c>
      <c r="AV482">
        <v>29</v>
      </c>
      <c r="AW482">
        <v>2</v>
      </c>
      <c r="AX482" t="s">
        <v>74</v>
      </c>
      <c r="AY482" t="s">
        <v>74</v>
      </c>
      <c r="AZ482" t="s">
        <v>74</v>
      </c>
      <c r="BA482" t="s">
        <v>74</v>
      </c>
      <c r="BB482">
        <v>741</v>
      </c>
      <c r="BC482">
        <v>749</v>
      </c>
      <c r="BD482" t="s">
        <v>74</v>
      </c>
      <c r="BE482" t="s">
        <v>9352</v>
      </c>
      <c r="BF482" t="str">
        <f>HYPERLINK("http://dx.doi.org/10.1007/s10811-016-1000-7","http://dx.doi.org/10.1007/s10811-016-1000-7")</f>
        <v>http://dx.doi.org/10.1007/s10811-016-1000-7</v>
      </c>
      <c r="BG482" t="s">
        <v>74</v>
      </c>
      <c r="BH482" t="s">
        <v>74</v>
      </c>
      <c r="BI482">
        <v>9</v>
      </c>
      <c r="BJ482" t="s">
        <v>9353</v>
      </c>
      <c r="BK482" t="s">
        <v>103</v>
      </c>
      <c r="BL482" t="s">
        <v>9353</v>
      </c>
      <c r="BM482" t="s">
        <v>9354</v>
      </c>
      <c r="BN482" t="s">
        <v>74</v>
      </c>
      <c r="BO482" t="s">
        <v>74</v>
      </c>
      <c r="BP482" t="s">
        <v>74</v>
      </c>
      <c r="BQ482" t="s">
        <v>74</v>
      </c>
      <c r="BR482" t="s">
        <v>106</v>
      </c>
      <c r="BS482" t="s">
        <v>9355</v>
      </c>
      <c r="BT482" t="str">
        <f>HYPERLINK("https%3A%2F%2Fwww.webofscience.com%2Fwos%2Fwoscc%2Ffull-record%2FWOS:000399241500009","View Full Record in Web of Science")</f>
        <v>View Full Record in Web of Science</v>
      </c>
    </row>
    <row r="483" spans="1:72" x14ac:dyDescent="0.15">
      <c r="A483" t="s">
        <v>72</v>
      </c>
      <c r="B483" t="s">
        <v>9356</v>
      </c>
      <c r="C483" t="s">
        <v>74</v>
      </c>
      <c r="D483" t="s">
        <v>74</v>
      </c>
      <c r="E483" t="s">
        <v>74</v>
      </c>
      <c r="F483" t="s">
        <v>9357</v>
      </c>
      <c r="G483" t="s">
        <v>74</v>
      </c>
      <c r="H483" t="s">
        <v>74</v>
      </c>
      <c r="I483" t="s">
        <v>9358</v>
      </c>
      <c r="J483" t="s">
        <v>9335</v>
      </c>
      <c r="K483" t="s">
        <v>74</v>
      </c>
      <c r="L483" t="s">
        <v>74</v>
      </c>
      <c r="M483" t="s">
        <v>78</v>
      </c>
      <c r="N483" t="s">
        <v>79</v>
      </c>
      <c r="O483" t="s">
        <v>74</v>
      </c>
      <c r="P483" t="s">
        <v>74</v>
      </c>
      <c r="Q483" t="s">
        <v>74</v>
      </c>
      <c r="R483" t="s">
        <v>74</v>
      </c>
      <c r="S483" t="s">
        <v>74</v>
      </c>
      <c r="T483" t="s">
        <v>9359</v>
      </c>
      <c r="U483" t="s">
        <v>9360</v>
      </c>
      <c r="V483" t="s">
        <v>9361</v>
      </c>
      <c r="W483" t="s">
        <v>9362</v>
      </c>
      <c r="X483" t="s">
        <v>9363</v>
      </c>
      <c r="Y483" t="s">
        <v>9364</v>
      </c>
      <c r="Z483" t="s">
        <v>9365</v>
      </c>
      <c r="AA483" t="s">
        <v>9366</v>
      </c>
      <c r="AB483" t="s">
        <v>9367</v>
      </c>
      <c r="AC483" t="s">
        <v>9368</v>
      </c>
      <c r="AD483" t="s">
        <v>9369</v>
      </c>
      <c r="AE483" t="s">
        <v>9370</v>
      </c>
      <c r="AF483" t="s">
        <v>74</v>
      </c>
      <c r="AG483">
        <v>44</v>
      </c>
      <c r="AH483">
        <v>30</v>
      </c>
      <c r="AI483">
        <v>32</v>
      </c>
      <c r="AJ483">
        <v>6</v>
      </c>
      <c r="AK483">
        <v>69</v>
      </c>
      <c r="AL483" t="s">
        <v>986</v>
      </c>
      <c r="AM483" t="s">
        <v>1191</v>
      </c>
      <c r="AN483" t="s">
        <v>1192</v>
      </c>
      <c r="AO483" t="s">
        <v>9348</v>
      </c>
      <c r="AP483" t="s">
        <v>9349</v>
      </c>
      <c r="AQ483" t="s">
        <v>74</v>
      </c>
      <c r="AR483" t="s">
        <v>9350</v>
      </c>
      <c r="AS483" t="s">
        <v>9351</v>
      </c>
      <c r="AT483" t="s">
        <v>8336</v>
      </c>
      <c r="AU483">
        <v>2017</v>
      </c>
      <c r="AV483">
        <v>29</v>
      </c>
      <c r="AW483">
        <v>2</v>
      </c>
      <c r="AX483" t="s">
        <v>74</v>
      </c>
      <c r="AY483" t="s">
        <v>74</v>
      </c>
      <c r="AZ483" t="s">
        <v>74</v>
      </c>
      <c r="BA483" t="s">
        <v>74</v>
      </c>
      <c r="BB483">
        <v>751</v>
      </c>
      <c r="BC483">
        <v>757</v>
      </c>
      <c r="BD483" t="s">
        <v>74</v>
      </c>
      <c r="BE483" t="s">
        <v>9371</v>
      </c>
      <c r="BF483" t="str">
        <f>HYPERLINK("http://dx.doi.org/10.1007/s10811-016-0905-5","http://dx.doi.org/10.1007/s10811-016-0905-5")</f>
        <v>http://dx.doi.org/10.1007/s10811-016-0905-5</v>
      </c>
      <c r="BG483" t="s">
        <v>74</v>
      </c>
      <c r="BH483" t="s">
        <v>74</v>
      </c>
      <c r="BI483">
        <v>7</v>
      </c>
      <c r="BJ483" t="s">
        <v>9353</v>
      </c>
      <c r="BK483" t="s">
        <v>103</v>
      </c>
      <c r="BL483" t="s">
        <v>9353</v>
      </c>
      <c r="BM483" t="s">
        <v>9354</v>
      </c>
      <c r="BN483" t="s">
        <v>74</v>
      </c>
      <c r="BO483" t="s">
        <v>74</v>
      </c>
      <c r="BP483" t="s">
        <v>74</v>
      </c>
      <c r="BQ483" t="s">
        <v>74</v>
      </c>
      <c r="BR483" t="s">
        <v>106</v>
      </c>
      <c r="BS483" t="s">
        <v>9372</v>
      </c>
      <c r="BT483" t="str">
        <f>HYPERLINK("https%3A%2F%2Fwww.webofscience.com%2Fwos%2Fwoscc%2Ffull-record%2FWOS:000399241500010","View Full Record in Web of Science")</f>
        <v>View Full Record in Web of Science</v>
      </c>
    </row>
    <row r="484" spans="1:72" x14ac:dyDescent="0.15">
      <c r="A484" t="s">
        <v>72</v>
      </c>
      <c r="B484" t="s">
        <v>9373</v>
      </c>
      <c r="C484" t="s">
        <v>74</v>
      </c>
      <c r="D484" t="s">
        <v>74</v>
      </c>
      <c r="E484" t="s">
        <v>74</v>
      </c>
      <c r="F484" t="s">
        <v>9374</v>
      </c>
      <c r="G484" t="s">
        <v>74</v>
      </c>
      <c r="H484" t="s">
        <v>74</v>
      </c>
      <c r="I484" t="s">
        <v>9375</v>
      </c>
      <c r="J484" t="s">
        <v>9335</v>
      </c>
      <c r="K484" t="s">
        <v>74</v>
      </c>
      <c r="L484" t="s">
        <v>74</v>
      </c>
      <c r="M484" t="s">
        <v>78</v>
      </c>
      <c r="N484" t="s">
        <v>79</v>
      </c>
      <c r="O484" t="s">
        <v>74</v>
      </c>
      <c r="P484" t="s">
        <v>74</v>
      </c>
      <c r="Q484" t="s">
        <v>74</v>
      </c>
      <c r="R484" t="s">
        <v>74</v>
      </c>
      <c r="S484" t="s">
        <v>74</v>
      </c>
      <c r="T484" t="s">
        <v>9376</v>
      </c>
      <c r="U484" t="s">
        <v>9377</v>
      </c>
      <c r="V484" t="s">
        <v>9378</v>
      </c>
      <c r="W484" t="s">
        <v>9379</v>
      </c>
      <c r="X484" t="s">
        <v>9380</v>
      </c>
      <c r="Y484" t="s">
        <v>9381</v>
      </c>
      <c r="Z484" t="s">
        <v>9382</v>
      </c>
      <c r="AA484" t="s">
        <v>9383</v>
      </c>
      <c r="AB484" t="s">
        <v>9384</v>
      </c>
      <c r="AC484" t="s">
        <v>9385</v>
      </c>
      <c r="AD484" t="s">
        <v>9386</v>
      </c>
      <c r="AE484" t="s">
        <v>9387</v>
      </c>
      <c r="AF484" t="s">
        <v>74</v>
      </c>
      <c r="AG484">
        <v>74</v>
      </c>
      <c r="AH484">
        <v>24</v>
      </c>
      <c r="AI484">
        <v>26</v>
      </c>
      <c r="AJ484">
        <v>1</v>
      </c>
      <c r="AK484">
        <v>26</v>
      </c>
      <c r="AL484" t="s">
        <v>986</v>
      </c>
      <c r="AM484" t="s">
        <v>1191</v>
      </c>
      <c r="AN484" t="s">
        <v>1192</v>
      </c>
      <c r="AO484" t="s">
        <v>9348</v>
      </c>
      <c r="AP484" t="s">
        <v>9349</v>
      </c>
      <c r="AQ484" t="s">
        <v>74</v>
      </c>
      <c r="AR484" t="s">
        <v>9350</v>
      </c>
      <c r="AS484" t="s">
        <v>9351</v>
      </c>
      <c r="AT484" t="s">
        <v>8336</v>
      </c>
      <c r="AU484">
        <v>2017</v>
      </c>
      <c r="AV484">
        <v>29</v>
      </c>
      <c r="AW484">
        <v>2</v>
      </c>
      <c r="AX484" t="s">
        <v>74</v>
      </c>
      <c r="AY484" t="s">
        <v>74</v>
      </c>
      <c r="AZ484" t="s">
        <v>74</v>
      </c>
      <c r="BA484" t="s">
        <v>74</v>
      </c>
      <c r="BB484">
        <v>759</v>
      </c>
      <c r="BC484">
        <v>767</v>
      </c>
      <c r="BD484" t="s">
        <v>74</v>
      </c>
      <c r="BE484" t="s">
        <v>9388</v>
      </c>
      <c r="BF484" t="str">
        <f>HYPERLINK("http://dx.doi.org/10.1007/s10811-016-1034-x","http://dx.doi.org/10.1007/s10811-016-1034-x")</f>
        <v>http://dx.doi.org/10.1007/s10811-016-1034-x</v>
      </c>
      <c r="BG484" t="s">
        <v>74</v>
      </c>
      <c r="BH484" t="s">
        <v>74</v>
      </c>
      <c r="BI484">
        <v>9</v>
      </c>
      <c r="BJ484" t="s">
        <v>9353</v>
      </c>
      <c r="BK484" t="s">
        <v>103</v>
      </c>
      <c r="BL484" t="s">
        <v>9353</v>
      </c>
      <c r="BM484" t="s">
        <v>9354</v>
      </c>
      <c r="BN484" t="s">
        <v>74</v>
      </c>
      <c r="BO484" t="s">
        <v>74</v>
      </c>
      <c r="BP484" t="s">
        <v>74</v>
      </c>
      <c r="BQ484" t="s">
        <v>74</v>
      </c>
      <c r="BR484" t="s">
        <v>106</v>
      </c>
      <c r="BS484" t="s">
        <v>9389</v>
      </c>
      <c r="BT484" t="str">
        <f>HYPERLINK("https%3A%2F%2Fwww.webofscience.com%2Fwos%2Fwoscc%2Ffull-record%2FWOS:000399241500011","View Full Record in Web of Science")</f>
        <v>View Full Record in Web of Science</v>
      </c>
    </row>
    <row r="485" spans="1:72" x14ac:dyDescent="0.15">
      <c r="A485" t="s">
        <v>72</v>
      </c>
      <c r="B485" t="s">
        <v>9390</v>
      </c>
      <c r="C485" t="s">
        <v>74</v>
      </c>
      <c r="D485" t="s">
        <v>74</v>
      </c>
      <c r="E485" t="s">
        <v>74</v>
      </c>
      <c r="F485" t="s">
        <v>9391</v>
      </c>
      <c r="G485" t="s">
        <v>74</v>
      </c>
      <c r="H485" t="s">
        <v>74</v>
      </c>
      <c r="I485" t="s">
        <v>9392</v>
      </c>
      <c r="J485" t="s">
        <v>9393</v>
      </c>
      <c r="K485" t="s">
        <v>74</v>
      </c>
      <c r="L485" t="s">
        <v>74</v>
      </c>
      <c r="M485" t="s">
        <v>78</v>
      </c>
      <c r="N485" t="s">
        <v>79</v>
      </c>
      <c r="O485" t="s">
        <v>74</v>
      </c>
      <c r="P485" t="s">
        <v>74</v>
      </c>
      <c r="Q485" t="s">
        <v>74</v>
      </c>
      <c r="R485" t="s">
        <v>74</v>
      </c>
      <c r="S485" t="s">
        <v>74</v>
      </c>
      <c r="T485" t="s">
        <v>9394</v>
      </c>
      <c r="U485" t="s">
        <v>9395</v>
      </c>
      <c r="V485" t="s">
        <v>9396</v>
      </c>
      <c r="W485" t="s">
        <v>9397</v>
      </c>
      <c r="X485" t="s">
        <v>9398</v>
      </c>
      <c r="Y485" t="s">
        <v>9399</v>
      </c>
      <c r="Z485" t="s">
        <v>9400</v>
      </c>
      <c r="AA485" t="s">
        <v>9401</v>
      </c>
      <c r="AB485" t="s">
        <v>9402</v>
      </c>
      <c r="AC485" t="s">
        <v>9403</v>
      </c>
      <c r="AD485" t="s">
        <v>9404</v>
      </c>
      <c r="AE485" t="s">
        <v>9405</v>
      </c>
      <c r="AF485" t="s">
        <v>74</v>
      </c>
      <c r="AG485">
        <v>43</v>
      </c>
      <c r="AH485">
        <v>2</v>
      </c>
      <c r="AI485">
        <v>2</v>
      </c>
      <c r="AJ485">
        <v>1</v>
      </c>
      <c r="AK485">
        <v>18</v>
      </c>
      <c r="AL485" t="s">
        <v>9406</v>
      </c>
      <c r="AM485" t="s">
        <v>9407</v>
      </c>
      <c r="AN485" t="s">
        <v>9408</v>
      </c>
      <c r="AO485" t="s">
        <v>9409</v>
      </c>
      <c r="AP485" t="s">
        <v>9410</v>
      </c>
      <c r="AQ485" t="s">
        <v>74</v>
      </c>
      <c r="AR485" t="s">
        <v>9411</v>
      </c>
      <c r="AS485" t="s">
        <v>9412</v>
      </c>
      <c r="AT485" t="s">
        <v>8336</v>
      </c>
      <c r="AU485">
        <v>2017</v>
      </c>
      <c r="AV485">
        <v>36</v>
      </c>
      <c r="AW485">
        <v>1</v>
      </c>
      <c r="AX485" t="s">
        <v>74</v>
      </c>
      <c r="AY485" t="s">
        <v>74</v>
      </c>
      <c r="AZ485" t="s">
        <v>74</v>
      </c>
      <c r="BA485" t="s">
        <v>74</v>
      </c>
      <c r="BB485">
        <v>141</v>
      </c>
      <c r="BC485">
        <v>149</v>
      </c>
      <c r="BD485" t="s">
        <v>74</v>
      </c>
      <c r="BE485" t="s">
        <v>9413</v>
      </c>
      <c r="BF485" t="str">
        <f>HYPERLINK("http://dx.doi.org/10.2983/035.036.0114","http://dx.doi.org/10.2983/035.036.0114")</f>
        <v>http://dx.doi.org/10.2983/035.036.0114</v>
      </c>
      <c r="BG485" t="s">
        <v>74</v>
      </c>
      <c r="BH485" t="s">
        <v>74</v>
      </c>
      <c r="BI485">
        <v>9</v>
      </c>
      <c r="BJ485" t="s">
        <v>1198</v>
      </c>
      <c r="BK485" t="s">
        <v>103</v>
      </c>
      <c r="BL485" t="s">
        <v>1198</v>
      </c>
      <c r="BM485" t="s">
        <v>9414</v>
      </c>
      <c r="BN485" t="s">
        <v>74</v>
      </c>
      <c r="BO485" t="s">
        <v>664</v>
      </c>
      <c r="BP485" t="s">
        <v>74</v>
      </c>
      <c r="BQ485" t="s">
        <v>74</v>
      </c>
      <c r="BR485" t="s">
        <v>106</v>
      </c>
      <c r="BS485" t="s">
        <v>9415</v>
      </c>
      <c r="BT485" t="str">
        <f>HYPERLINK("https%3A%2F%2Fwww.webofscience.com%2Fwos%2Fwoscc%2Ffull-record%2FWOS:000399114600014","View Full Record in Web of Science")</f>
        <v>View Full Record in Web of Science</v>
      </c>
    </row>
    <row r="486" spans="1:72" x14ac:dyDescent="0.15">
      <c r="A486" t="s">
        <v>72</v>
      </c>
      <c r="B486" t="s">
        <v>9416</v>
      </c>
      <c r="C486" t="s">
        <v>74</v>
      </c>
      <c r="D486" t="s">
        <v>74</v>
      </c>
      <c r="E486" t="s">
        <v>74</v>
      </c>
      <c r="F486" t="s">
        <v>9417</v>
      </c>
      <c r="G486" t="s">
        <v>74</v>
      </c>
      <c r="H486" t="s">
        <v>74</v>
      </c>
      <c r="I486" t="s">
        <v>9418</v>
      </c>
      <c r="J486" t="s">
        <v>9419</v>
      </c>
      <c r="K486" t="s">
        <v>74</v>
      </c>
      <c r="L486" t="s">
        <v>74</v>
      </c>
      <c r="M486" t="s">
        <v>78</v>
      </c>
      <c r="N486" t="s">
        <v>79</v>
      </c>
      <c r="O486" t="s">
        <v>74</v>
      </c>
      <c r="P486" t="s">
        <v>74</v>
      </c>
      <c r="Q486" t="s">
        <v>74</v>
      </c>
      <c r="R486" t="s">
        <v>74</v>
      </c>
      <c r="S486" t="s">
        <v>74</v>
      </c>
      <c r="T486" t="s">
        <v>9420</v>
      </c>
      <c r="U486" t="s">
        <v>9421</v>
      </c>
      <c r="V486" t="s">
        <v>9422</v>
      </c>
      <c r="W486" t="s">
        <v>9423</v>
      </c>
      <c r="X486" t="s">
        <v>9424</v>
      </c>
      <c r="Y486" t="s">
        <v>9425</v>
      </c>
      <c r="Z486" t="s">
        <v>9426</v>
      </c>
      <c r="AA486" t="s">
        <v>74</v>
      </c>
      <c r="AB486" t="s">
        <v>74</v>
      </c>
      <c r="AC486" t="s">
        <v>9427</v>
      </c>
      <c r="AD486" t="s">
        <v>9428</v>
      </c>
      <c r="AE486" t="s">
        <v>9429</v>
      </c>
      <c r="AF486" t="s">
        <v>74</v>
      </c>
      <c r="AG486">
        <v>127</v>
      </c>
      <c r="AH486">
        <v>2</v>
      </c>
      <c r="AI486">
        <v>2</v>
      </c>
      <c r="AJ486">
        <v>1</v>
      </c>
      <c r="AK486">
        <v>14</v>
      </c>
      <c r="AL486" t="s">
        <v>9430</v>
      </c>
      <c r="AM486" t="s">
        <v>5926</v>
      </c>
      <c r="AN486" t="s">
        <v>9431</v>
      </c>
      <c r="AO486" t="s">
        <v>9432</v>
      </c>
      <c r="AP486" t="s">
        <v>74</v>
      </c>
      <c r="AQ486" t="s">
        <v>74</v>
      </c>
      <c r="AR486" t="s">
        <v>9433</v>
      </c>
      <c r="AS486" t="s">
        <v>9434</v>
      </c>
      <c r="AT486" t="s">
        <v>8336</v>
      </c>
      <c r="AU486">
        <v>2017</v>
      </c>
      <c r="AV486">
        <v>21</v>
      </c>
      <c r="AW486">
        <v>2</v>
      </c>
      <c r="AX486" t="s">
        <v>74</v>
      </c>
      <c r="AY486" t="s">
        <v>74</v>
      </c>
      <c r="AZ486" t="s">
        <v>74</v>
      </c>
      <c r="BA486" t="s">
        <v>74</v>
      </c>
      <c r="BB486">
        <v>138</v>
      </c>
      <c r="BC486">
        <v>177</v>
      </c>
      <c r="BD486" t="s">
        <v>74</v>
      </c>
      <c r="BE486" t="s">
        <v>9435</v>
      </c>
      <c r="BF486" t="str">
        <f>HYPERLINK("http://dx.doi.org/10.2517/2016PR019","http://dx.doi.org/10.2517/2016PR019")</f>
        <v>http://dx.doi.org/10.2517/2016PR019</v>
      </c>
      <c r="BG486" t="s">
        <v>74</v>
      </c>
      <c r="BH486" t="s">
        <v>74</v>
      </c>
      <c r="BI486">
        <v>40</v>
      </c>
      <c r="BJ486" t="s">
        <v>2461</v>
      </c>
      <c r="BK486" t="s">
        <v>103</v>
      </c>
      <c r="BL486" t="s">
        <v>2461</v>
      </c>
      <c r="BM486" t="s">
        <v>9436</v>
      </c>
      <c r="BN486" t="s">
        <v>74</v>
      </c>
      <c r="BO486" t="s">
        <v>74</v>
      </c>
      <c r="BP486" t="s">
        <v>74</v>
      </c>
      <c r="BQ486" t="s">
        <v>74</v>
      </c>
      <c r="BR486" t="s">
        <v>106</v>
      </c>
      <c r="BS486" t="s">
        <v>9437</v>
      </c>
      <c r="BT486" t="str">
        <f>HYPERLINK("https%3A%2F%2Fwww.webofscience.com%2Fwos%2Fwoscc%2Ffull-record%2FWOS:000399111000004","View Full Record in Web of Science")</f>
        <v>View Full Record in Web of Science</v>
      </c>
    </row>
    <row r="487" spans="1:72" x14ac:dyDescent="0.15">
      <c r="A487" t="s">
        <v>72</v>
      </c>
      <c r="B487" t="s">
        <v>9438</v>
      </c>
      <c r="C487" t="s">
        <v>74</v>
      </c>
      <c r="D487" t="s">
        <v>74</v>
      </c>
      <c r="E487" t="s">
        <v>74</v>
      </c>
      <c r="F487" t="s">
        <v>9439</v>
      </c>
      <c r="G487" t="s">
        <v>74</v>
      </c>
      <c r="H487" t="s">
        <v>74</v>
      </c>
      <c r="I487" t="s">
        <v>9440</v>
      </c>
      <c r="J487" t="s">
        <v>9441</v>
      </c>
      <c r="K487" t="s">
        <v>74</v>
      </c>
      <c r="L487" t="s">
        <v>74</v>
      </c>
      <c r="M487" t="s">
        <v>78</v>
      </c>
      <c r="N487" t="s">
        <v>79</v>
      </c>
      <c r="O487" t="s">
        <v>74</v>
      </c>
      <c r="P487" t="s">
        <v>74</v>
      </c>
      <c r="Q487" t="s">
        <v>74</v>
      </c>
      <c r="R487" t="s">
        <v>74</v>
      </c>
      <c r="S487" t="s">
        <v>74</v>
      </c>
      <c r="T487" t="s">
        <v>9442</v>
      </c>
      <c r="U487" t="s">
        <v>74</v>
      </c>
      <c r="V487" t="s">
        <v>9443</v>
      </c>
      <c r="W487" t="s">
        <v>9444</v>
      </c>
      <c r="X487" t="s">
        <v>9445</v>
      </c>
      <c r="Y487" t="s">
        <v>9446</v>
      </c>
      <c r="Z487" t="s">
        <v>9447</v>
      </c>
      <c r="AA487" t="s">
        <v>9448</v>
      </c>
      <c r="AB487" t="s">
        <v>9449</v>
      </c>
      <c r="AC487" t="s">
        <v>9450</v>
      </c>
      <c r="AD487" t="s">
        <v>9451</v>
      </c>
      <c r="AE487" t="s">
        <v>9452</v>
      </c>
      <c r="AF487" t="s">
        <v>74</v>
      </c>
      <c r="AG487">
        <v>5</v>
      </c>
      <c r="AH487">
        <v>6</v>
      </c>
      <c r="AI487">
        <v>8</v>
      </c>
      <c r="AJ487">
        <v>0</v>
      </c>
      <c r="AK487">
        <v>29</v>
      </c>
      <c r="AL487" t="s">
        <v>5925</v>
      </c>
      <c r="AM487" t="s">
        <v>5926</v>
      </c>
      <c r="AN487" t="s">
        <v>5927</v>
      </c>
      <c r="AO487" t="s">
        <v>9453</v>
      </c>
      <c r="AP487" t="s">
        <v>9454</v>
      </c>
      <c r="AQ487" t="s">
        <v>74</v>
      </c>
      <c r="AR487" t="s">
        <v>9441</v>
      </c>
      <c r="AS487" t="s">
        <v>9455</v>
      </c>
      <c r="AT487" t="s">
        <v>8336</v>
      </c>
      <c r="AU487">
        <v>2017</v>
      </c>
      <c r="AV487">
        <v>58</v>
      </c>
      <c r="AW487">
        <v>2</v>
      </c>
      <c r="AX487" t="s">
        <v>74</v>
      </c>
      <c r="AY487" t="s">
        <v>74</v>
      </c>
      <c r="AZ487" t="s">
        <v>74</v>
      </c>
      <c r="BA487" t="s">
        <v>74</v>
      </c>
      <c r="BB487">
        <v>275</v>
      </c>
      <c r="BC487">
        <v>278</v>
      </c>
      <c r="BD487" t="s">
        <v>74</v>
      </c>
      <c r="BE487" t="s">
        <v>9456</v>
      </c>
      <c r="BF487" t="str">
        <f>HYPERLINK("http://dx.doi.org/10.1007/s10329-016-0593-4","http://dx.doi.org/10.1007/s10329-016-0593-4")</f>
        <v>http://dx.doi.org/10.1007/s10329-016-0593-4</v>
      </c>
      <c r="BG487" t="s">
        <v>74</v>
      </c>
      <c r="BH487" t="s">
        <v>74</v>
      </c>
      <c r="BI487">
        <v>4</v>
      </c>
      <c r="BJ487" t="s">
        <v>555</v>
      </c>
      <c r="BK487" t="s">
        <v>103</v>
      </c>
      <c r="BL487" t="s">
        <v>555</v>
      </c>
      <c r="BM487" t="s">
        <v>9457</v>
      </c>
      <c r="BN487">
        <v>28074343</v>
      </c>
      <c r="BO487" t="s">
        <v>74</v>
      </c>
      <c r="BP487" t="s">
        <v>74</v>
      </c>
      <c r="BQ487" t="s">
        <v>74</v>
      </c>
      <c r="BR487" t="s">
        <v>106</v>
      </c>
      <c r="BS487" t="s">
        <v>9458</v>
      </c>
      <c r="BT487" t="str">
        <f>HYPERLINK("https%3A%2F%2Fwww.webofscience.com%2Fwos%2Fwoscc%2Ffull-record%2FWOS:000399152600003","View Full Record in Web of Science")</f>
        <v>View Full Record in Web of Science</v>
      </c>
    </row>
    <row r="488" spans="1:72" x14ac:dyDescent="0.15">
      <c r="A488" t="s">
        <v>72</v>
      </c>
      <c r="B488" t="s">
        <v>9459</v>
      </c>
      <c r="C488" t="s">
        <v>74</v>
      </c>
      <c r="D488" t="s">
        <v>74</v>
      </c>
      <c r="E488" t="s">
        <v>74</v>
      </c>
      <c r="F488" t="s">
        <v>9460</v>
      </c>
      <c r="G488" t="s">
        <v>74</v>
      </c>
      <c r="H488" t="s">
        <v>74</v>
      </c>
      <c r="I488" t="s">
        <v>9461</v>
      </c>
      <c r="J488" t="s">
        <v>9462</v>
      </c>
      <c r="K488" t="s">
        <v>74</v>
      </c>
      <c r="L488" t="s">
        <v>74</v>
      </c>
      <c r="M488" t="s">
        <v>78</v>
      </c>
      <c r="N488" t="s">
        <v>79</v>
      </c>
      <c r="O488" t="s">
        <v>74</v>
      </c>
      <c r="P488" t="s">
        <v>74</v>
      </c>
      <c r="Q488" t="s">
        <v>74</v>
      </c>
      <c r="R488" t="s">
        <v>74</v>
      </c>
      <c r="S488" t="s">
        <v>74</v>
      </c>
      <c r="T488" t="s">
        <v>74</v>
      </c>
      <c r="U488" t="s">
        <v>9463</v>
      </c>
      <c r="V488" t="s">
        <v>9464</v>
      </c>
      <c r="W488" t="s">
        <v>9465</v>
      </c>
      <c r="X488" t="s">
        <v>9466</v>
      </c>
      <c r="Y488" t="s">
        <v>9467</v>
      </c>
      <c r="Z488" t="s">
        <v>9468</v>
      </c>
      <c r="AA488" t="s">
        <v>9469</v>
      </c>
      <c r="AB488" t="s">
        <v>9470</v>
      </c>
      <c r="AC488" t="s">
        <v>74</v>
      </c>
      <c r="AD488" t="s">
        <v>74</v>
      </c>
      <c r="AE488" t="s">
        <v>74</v>
      </c>
      <c r="AF488" t="s">
        <v>74</v>
      </c>
      <c r="AG488">
        <v>142</v>
      </c>
      <c r="AH488">
        <v>6</v>
      </c>
      <c r="AI488">
        <v>6</v>
      </c>
      <c r="AJ488">
        <v>1</v>
      </c>
      <c r="AK488">
        <v>8</v>
      </c>
      <c r="AL488" t="s">
        <v>681</v>
      </c>
      <c r="AM488" t="s">
        <v>682</v>
      </c>
      <c r="AN488" t="s">
        <v>683</v>
      </c>
      <c r="AO488" t="s">
        <v>9471</v>
      </c>
      <c r="AP488" t="s">
        <v>9472</v>
      </c>
      <c r="AQ488" t="s">
        <v>74</v>
      </c>
      <c r="AR488" t="s">
        <v>9473</v>
      </c>
      <c r="AS488" t="s">
        <v>9474</v>
      </c>
      <c r="AT488" t="s">
        <v>8336</v>
      </c>
      <c r="AU488">
        <v>2017</v>
      </c>
      <c r="AV488">
        <v>26</v>
      </c>
      <c r="AW488">
        <v>1</v>
      </c>
      <c r="AX488" t="s">
        <v>74</v>
      </c>
      <c r="AY488" t="s">
        <v>74</v>
      </c>
      <c r="AZ488" t="s">
        <v>74</v>
      </c>
      <c r="BA488" t="s">
        <v>74</v>
      </c>
      <c r="BB488">
        <v>54</v>
      </c>
      <c r="BC488">
        <v>68</v>
      </c>
      <c r="BD488" t="s">
        <v>74</v>
      </c>
      <c r="BE488" t="s">
        <v>9475</v>
      </c>
      <c r="BF488" t="str">
        <f>HYPERLINK("http://dx.doi.org/10.1111/reel.12193","http://dx.doi.org/10.1111/reel.12193")</f>
        <v>http://dx.doi.org/10.1111/reel.12193</v>
      </c>
      <c r="BG488" t="s">
        <v>74</v>
      </c>
      <c r="BH488" t="s">
        <v>74</v>
      </c>
      <c r="BI488">
        <v>15</v>
      </c>
      <c r="BJ488" t="s">
        <v>9476</v>
      </c>
      <c r="BK488" t="s">
        <v>3321</v>
      </c>
      <c r="BL488" t="s">
        <v>9477</v>
      </c>
      <c r="BM488" t="s">
        <v>9478</v>
      </c>
      <c r="BN488" t="s">
        <v>74</v>
      </c>
      <c r="BO488" t="s">
        <v>74</v>
      </c>
      <c r="BP488" t="s">
        <v>74</v>
      </c>
      <c r="BQ488" t="s">
        <v>74</v>
      </c>
      <c r="BR488" t="s">
        <v>106</v>
      </c>
      <c r="BS488" t="s">
        <v>9479</v>
      </c>
      <c r="BT488" t="str">
        <f>HYPERLINK("https%3A%2F%2Fwww.webofscience.com%2Fwos%2Fwoscc%2Ffull-record%2FWOS:000398845200006","View Full Record in Web of Science")</f>
        <v>View Full Record in Web of Science</v>
      </c>
    </row>
    <row r="489" spans="1:72" x14ac:dyDescent="0.15">
      <c r="A489" t="s">
        <v>72</v>
      </c>
      <c r="B489" t="s">
        <v>9480</v>
      </c>
      <c r="C489" t="s">
        <v>74</v>
      </c>
      <c r="D489" t="s">
        <v>74</v>
      </c>
      <c r="E489" t="s">
        <v>74</v>
      </c>
      <c r="F489" t="s">
        <v>9481</v>
      </c>
      <c r="G489" t="s">
        <v>74</v>
      </c>
      <c r="H489" t="s">
        <v>74</v>
      </c>
      <c r="I489" t="s">
        <v>9482</v>
      </c>
      <c r="J489" t="s">
        <v>791</v>
      </c>
      <c r="K489" t="s">
        <v>74</v>
      </c>
      <c r="L489" t="s">
        <v>74</v>
      </c>
      <c r="M489" t="s">
        <v>78</v>
      </c>
      <c r="N489" t="s">
        <v>518</v>
      </c>
      <c r="O489" t="s">
        <v>74</v>
      </c>
      <c r="P489" t="s">
        <v>74</v>
      </c>
      <c r="Q489" t="s">
        <v>74</v>
      </c>
      <c r="R489" t="s">
        <v>74</v>
      </c>
      <c r="S489" t="s">
        <v>74</v>
      </c>
      <c r="T489" t="s">
        <v>9483</v>
      </c>
      <c r="U489" t="s">
        <v>9484</v>
      </c>
      <c r="V489" t="s">
        <v>9485</v>
      </c>
      <c r="W489" t="s">
        <v>9486</v>
      </c>
      <c r="X489" t="s">
        <v>9487</v>
      </c>
      <c r="Y489" t="s">
        <v>9488</v>
      </c>
      <c r="Z489" t="s">
        <v>74</v>
      </c>
      <c r="AA489" t="s">
        <v>9489</v>
      </c>
      <c r="AB489" t="s">
        <v>9490</v>
      </c>
      <c r="AC489" t="s">
        <v>74</v>
      </c>
      <c r="AD489" t="s">
        <v>74</v>
      </c>
      <c r="AE489" t="s">
        <v>74</v>
      </c>
      <c r="AF489" t="s">
        <v>74</v>
      </c>
      <c r="AG489">
        <v>272</v>
      </c>
      <c r="AH489">
        <v>19</v>
      </c>
      <c r="AI489">
        <v>19</v>
      </c>
      <c r="AJ489">
        <v>0</v>
      </c>
      <c r="AK489">
        <v>26</v>
      </c>
      <c r="AL489" t="s">
        <v>803</v>
      </c>
      <c r="AM489" t="s">
        <v>430</v>
      </c>
      <c r="AN489" t="s">
        <v>804</v>
      </c>
      <c r="AO489" t="s">
        <v>805</v>
      </c>
      <c r="AP489" t="s">
        <v>806</v>
      </c>
      <c r="AQ489" t="s">
        <v>74</v>
      </c>
      <c r="AR489" t="s">
        <v>807</v>
      </c>
      <c r="AS489" t="s">
        <v>808</v>
      </c>
      <c r="AT489" t="s">
        <v>8336</v>
      </c>
      <c r="AU489">
        <v>2017</v>
      </c>
      <c r="AV489">
        <v>29</v>
      </c>
      <c r="AW489">
        <v>2</v>
      </c>
      <c r="AX489" t="s">
        <v>74</v>
      </c>
      <c r="AY489" t="s">
        <v>74</v>
      </c>
      <c r="AZ489" t="s">
        <v>74</v>
      </c>
      <c r="BA489" t="s">
        <v>74</v>
      </c>
      <c r="BB489">
        <v>97</v>
      </c>
      <c r="BC489">
        <v>138</v>
      </c>
      <c r="BD489" t="s">
        <v>74</v>
      </c>
      <c r="BE489" t="s">
        <v>9491</v>
      </c>
      <c r="BF489" t="str">
        <f>HYPERLINK("http://dx.doi.org/10.1017/S0954102016000390","http://dx.doi.org/10.1017/S0954102016000390")</f>
        <v>http://dx.doi.org/10.1017/S0954102016000390</v>
      </c>
      <c r="BG489" t="s">
        <v>74</v>
      </c>
      <c r="BH489" t="s">
        <v>74</v>
      </c>
      <c r="BI489">
        <v>42</v>
      </c>
      <c r="BJ489" t="s">
        <v>810</v>
      </c>
      <c r="BK489" t="s">
        <v>103</v>
      </c>
      <c r="BL489" t="s">
        <v>811</v>
      </c>
      <c r="BM489" t="s">
        <v>9492</v>
      </c>
      <c r="BN489" t="s">
        <v>74</v>
      </c>
      <c r="BO489" t="s">
        <v>272</v>
      </c>
      <c r="BP489" t="s">
        <v>74</v>
      </c>
      <c r="BQ489" t="s">
        <v>74</v>
      </c>
      <c r="BR489" t="s">
        <v>106</v>
      </c>
      <c r="BS489" t="s">
        <v>9493</v>
      </c>
      <c r="BT489" t="str">
        <f>HYPERLINK("https%3A%2F%2Fwww.webofscience.com%2Fwos%2Fwoscc%2Ffull-record%2FWOS:000396346900002","View Full Record in Web of Science")</f>
        <v>View Full Record in Web of Science</v>
      </c>
    </row>
    <row r="490" spans="1:72" x14ac:dyDescent="0.15">
      <c r="A490" t="s">
        <v>72</v>
      </c>
      <c r="B490" t="s">
        <v>9494</v>
      </c>
      <c r="C490" t="s">
        <v>74</v>
      </c>
      <c r="D490" t="s">
        <v>74</v>
      </c>
      <c r="E490" t="s">
        <v>74</v>
      </c>
      <c r="F490" t="s">
        <v>9495</v>
      </c>
      <c r="G490" t="s">
        <v>74</v>
      </c>
      <c r="H490" t="s">
        <v>74</v>
      </c>
      <c r="I490" t="s">
        <v>9496</v>
      </c>
      <c r="J490" t="s">
        <v>791</v>
      </c>
      <c r="K490" t="s">
        <v>74</v>
      </c>
      <c r="L490" t="s">
        <v>74</v>
      </c>
      <c r="M490" t="s">
        <v>78</v>
      </c>
      <c r="N490" t="s">
        <v>79</v>
      </c>
      <c r="O490" t="s">
        <v>74</v>
      </c>
      <c r="P490" t="s">
        <v>74</v>
      </c>
      <c r="Q490" t="s">
        <v>74</v>
      </c>
      <c r="R490" t="s">
        <v>74</v>
      </c>
      <c r="S490" t="s">
        <v>74</v>
      </c>
      <c r="T490" t="s">
        <v>9497</v>
      </c>
      <c r="U490" t="s">
        <v>9498</v>
      </c>
      <c r="V490" t="s">
        <v>9499</v>
      </c>
      <c r="W490" t="s">
        <v>9500</v>
      </c>
      <c r="X490" t="s">
        <v>9501</v>
      </c>
      <c r="Y490" t="s">
        <v>9502</v>
      </c>
      <c r="Z490" t="s">
        <v>9503</v>
      </c>
      <c r="AA490" t="s">
        <v>9504</v>
      </c>
      <c r="AB490" t="s">
        <v>9505</v>
      </c>
      <c r="AC490" t="s">
        <v>9506</v>
      </c>
      <c r="AD490" t="s">
        <v>9507</v>
      </c>
      <c r="AE490" t="s">
        <v>9508</v>
      </c>
      <c r="AF490" t="s">
        <v>74</v>
      </c>
      <c r="AG490">
        <v>40</v>
      </c>
      <c r="AH490">
        <v>8</v>
      </c>
      <c r="AI490">
        <v>10</v>
      </c>
      <c r="AJ490">
        <v>0</v>
      </c>
      <c r="AK490">
        <v>4</v>
      </c>
      <c r="AL490" t="s">
        <v>803</v>
      </c>
      <c r="AM490" t="s">
        <v>430</v>
      </c>
      <c r="AN490" t="s">
        <v>804</v>
      </c>
      <c r="AO490" t="s">
        <v>805</v>
      </c>
      <c r="AP490" t="s">
        <v>806</v>
      </c>
      <c r="AQ490" t="s">
        <v>74</v>
      </c>
      <c r="AR490" t="s">
        <v>807</v>
      </c>
      <c r="AS490" t="s">
        <v>808</v>
      </c>
      <c r="AT490" t="s">
        <v>8336</v>
      </c>
      <c r="AU490">
        <v>2017</v>
      </c>
      <c r="AV490">
        <v>29</v>
      </c>
      <c r="AW490">
        <v>2</v>
      </c>
      <c r="AX490" t="s">
        <v>74</v>
      </c>
      <c r="AY490" t="s">
        <v>74</v>
      </c>
      <c r="AZ490" t="s">
        <v>74</v>
      </c>
      <c r="BA490" t="s">
        <v>74</v>
      </c>
      <c r="BB490">
        <v>139</v>
      </c>
      <c r="BC490">
        <v>146</v>
      </c>
      <c r="BD490" t="s">
        <v>74</v>
      </c>
      <c r="BE490" t="s">
        <v>9509</v>
      </c>
      <c r="BF490" t="str">
        <f>HYPERLINK("http://dx.doi.org/10.1017/S095410201600050X","http://dx.doi.org/10.1017/S095410201600050X")</f>
        <v>http://dx.doi.org/10.1017/S095410201600050X</v>
      </c>
      <c r="BG490" t="s">
        <v>74</v>
      </c>
      <c r="BH490" t="s">
        <v>74</v>
      </c>
      <c r="BI490">
        <v>8</v>
      </c>
      <c r="BJ490" t="s">
        <v>810</v>
      </c>
      <c r="BK490" t="s">
        <v>103</v>
      </c>
      <c r="BL490" t="s">
        <v>811</v>
      </c>
      <c r="BM490" t="s">
        <v>9492</v>
      </c>
      <c r="BN490" t="s">
        <v>74</v>
      </c>
      <c r="BO490" t="s">
        <v>74</v>
      </c>
      <c r="BP490" t="s">
        <v>74</v>
      </c>
      <c r="BQ490" t="s">
        <v>74</v>
      </c>
      <c r="BR490" t="s">
        <v>106</v>
      </c>
      <c r="BS490" t="s">
        <v>9510</v>
      </c>
      <c r="BT490" t="str">
        <f>HYPERLINK("https%3A%2F%2Fwww.webofscience.com%2Fwos%2Fwoscc%2Ffull-record%2FWOS:000396346900003","View Full Record in Web of Science")</f>
        <v>View Full Record in Web of Science</v>
      </c>
    </row>
    <row r="491" spans="1:72" x14ac:dyDescent="0.15">
      <c r="A491" t="s">
        <v>72</v>
      </c>
      <c r="B491" t="s">
        <v>9511</v>
      </c>
      <c r="C491" t="s">
        <v>74</v>
      </c>
      <c r="D491" t="s">
        <v>74</v>
      </c>
      <c r="E491" t="s">
        <v>74</v>
      </c>
      <c r="F491" t="s">
        <v>9512</v>
      </c>
      <c r="G491" t="s">
        <v>74</v>
      </c>
      <c r="H491" t="s">
        <v>74</v>
      </c>
      <c r="I491" t="s">
        <v>9513</v>
      </c>
      <c r="J491" t="s">
        <v>791</v>
      </c>
      <c r="K491" t="s">
        <v>74</v>
      </c>
      <c r="L491" t="s">
        <v>74</v>
      </c>
      <c r="M491" t="s">
        <v>78</v>
      </c>
      <c r="N491" t="s">
        <v>79</v>
      </c>
      <c r="O491" t="s">
        <v>74</v>
      </c>
      <c r="P491" t="s">
        <v>74</v>
      </c>
      <c r="Q491" t="s">
        <v>74</v>
      </c>
      <c r="R491" t="s">
        <v>74</v>
      </c>
      <c r="S491" t="s">
        <v>74</v>
      </c>
      <c r="T491" t="s">
        <v>9514</v>
      </c>
      <c r="U491" t="s">
        <v>9515</v>
      </c>
      <c r="V491" t="s">
        <v>9516</v>
      </c>
      <c r="W491" t="s">
        <v>9517</v>
      </c>
      <c r="X491" t="s">
        <v>9518</v>
      </c>
      <c r="Y491" t="s">
        <v>9519</v>
      </c>
      <c r="Z491" t="s">
        <v>9520</v>
      </c>
      <c r="AA491" t="s">
        <v>9521</v>
      </c>
      <c r="AB491" t="s">
        <v>9522</v>
      </c>
      <c r="AC491" t="s">
        <v>9523</v>
      </c>
      <c r="AD491" t="s">
        <v>9524</v>
      </c>
      <c r="AE491" t="s">
        <v>9525</v>
      </c>
      <c r="AF491" t="s">
        <v>74</v>
      </c>
      <c r="AG491">
        <v>40</v>
      </c>
      <c r="AH491">
        <v>5</v>
      </c>
      <c r="AI491">
        <v>5</v>
      </c>
      <c r="AJ491">
        <v>0</v>
      </c>
      <c r="AK491">
        <v>12</v>
      </c>
      <c r="AL491" t="s">
        <v>803</v>
      </c>
      <c r="AM491" t="s">
        <v>430</v>
      </c>
      <c r="AN491" t="s">
        <v>804</v>
      </c>
      <c r="AO491" t="s">
        <v>805</v>
      </c>
      <c r="AP491" t="s">
        <v>806</v>
      </c>
      <c r="AQ491" t="s">
        <v>74</v>
      </c>
      <c r="AR491" t="s">
        <v>807</v>
      </c>
      <c r="AS491" t="s">
        <v>808</v>
      </c>
      <c r="AT491" t="s">
        <v>8336</v>
      </c>
      <c r="AU491">
        <v>2017</v>
      </c>
      <c r="AV491">
        <v>29</v>
      </c>
      <c r="AW491">
        <v>2</v>
      </c>
      <c r="AX491" t="s">
        <v>74</v>
      </c>
      <c r="AY491" t="s">
        <v>74</v>
      </c>
      <c r="AZ491" t="s">
        <v>74</v>
      </c>
      <c r="BA491" t="s">
        <v>74</v>
      </c>
      <c r="BB491">
        <v>147</v>
      </c>
      <c r="BC491">
        <v>154</v>
      </c>
      <c r="BD491" t="s">
        <v>74</v>
      </c>
      <c r="BE491" t="s">
        <v>9526</v>
      </c>
      <c r="BF491" t="str">
        <f>HYPERLINK("http://dx.doi.org/10.1017/S0954102016000493","http://dx.doi.org/10.1017/S0954102016000493")</f>
        <v>http://dx.doi.org/10.1017/S0954102016000493</v>
      </c>
      <c r="BG491" t="s">
        <v>74</v>
      </c>
      <c r="BH491" t="s">
        <v>74</v>
      </c>
      <c r="BI491">
        <v>8</v>
      </c>
      <c r="BJ491" t="s">
        <v>810</v>
      </c>
      <c r="BK491" t="s">
        <v>103</v>
      </c>
      <c r="BL491" t="s">
        <v>811</v>
      </c>
      <c r="BM491" t="s">
        <v>9492</v>
      </c>
      <c r="BN491" t="s">
        <v>74</v>
      </c>
      <c r="BO491" t="s">
        <v>1100</v>
      </c>
      <c r="BP491" t="s">
        <v>74</v>
      </c>
      <c r="BQ491" t="s">
        <v>74</v>
      </c>
      <c r="BR491" t="s">
        <v>106</v>
      </c>
      <c r="BS491" t="s">
        <v>9527</v>
      </c>
      <c r="BT491" t="str">
        <f>HYPERLINK("https%3A%2F%2Fwww.webofscience.com%2Fwos%2Fwoscc%2Ffull-record%2FWOS:000396346900004","View Full Record in Web of Science")</f>
        <v>View Full Record in Web of Science</v>
      </c>
    </row>
    <row r="492" spans="1:72" x14ac:dyDescent="0.15">
      <c r="A492" t="s">
        <v>72</v>
      </c>
      <c r="B492" t="s">
        <v>9528</v>
      </c>
      <c r="C492" t="s">
        <v>74</v>
      </c>
      <c r="D492" t="s">
        <v>74</v>
      </c>
      <c r="E492" t="s">
        <v>74</v>
      </c>
      <c r="F492" t="s">
        <v>9529</v>
      </c>
      <c r="G492" t="s">
        <v>74</v>
      </c>
      <c r="H492" t="s">
        <v>74</v>
      </c>
      <c r="I492" t="s">
        <v>9530</v>
      </c>
      <c r="J492" t="s">
        <v>791</v>
      </c>
      <c r="K492" t="s">
        <v>74</v>
      </c>
      <c r="L492" t="s">
        <v>74</v>
      </c>
      <c r="M492" t="s">
        <v>78</v>
      </c>
      <c r="N492" t="s">
        <v>79</v>
      </c>
      <c r="O492" t="s">
        <v>74</v>
      </c>
      <c r="P492" t="s">
        <v>74</v>
      </c>
      <c r="Q492" t="s">
        <v>74</v>
      </c>
      <c r="R492" t="s">
        <v>74</v>
      </c>
      <c r="S492" t="s">
        <v>74</v>
      </c>
      <c r="T492" t="s">
        <v>9531</v>
      </c>
      <c r="U492" t="s">
        <v>9532</v>
      </c>
      <c r="V492" t="s">
        <v>9533</v>
      </c>
      <c r="W492" t="s">
        <v>9534</v>
      </c>
      <c r="X492" t="s">
        <v>9535</v>
      </c>
      <c r="Y492" t="s">
        <v>9536</v>
      </c>
      <c r="Z492" t="s">
        <v>9537</v>
      </c>
      <c r="AA492" t="s">
        <v>9538</v>
      </c>
      <c r="AB492" t="s">
        <v>9539</v>
      </c>
      <c r="AC492" t="s">
        <v>9540</v>
      </c>
      <c r="AD492" t="s">
        <v>9541</v>
      </c>
      <c r="AE492" t="s">
        <v>9542</v>
      </c>
      <c r="AF492" t="s">
        <v>74</v>
      </c>
      <c r="AG492">
        <v>43</v>
      </c>
      <c r="AH492">
        <v>8</v>
      </c>
      <c r="AI492">
        <v>10</v>
      </c>
      <c r="AJ492">
        <v>1</v>
      </c>
      <c r="AK492">
        <v>17</v>
      </c>
      <c r="AL492" t="s">
        <v>803</v>
      </c>
      <c r="AM492" t="s">
        <v>430</v>
      </c>
      <c r="AN492" t="s">
        <v>804</v>
      </c>
      <c r="AO492" t="s">
        <v>805</v>
      </c>
      <c r="AP492" t="s">
        <v>806</v>
      </c>
      <c r="AQ492" t="s">
        <v>74</v>
      </c>
      <c r="AR492" t="s">
        <v>807</v>
      </c>
      <c r="AS492" t="s">
        <v>808</v>
      </c>
      <c r="AT492" t="s">
        <v>8336</v>
      </c>
      <c r="AU492">
        <v>2017</v>
      </c>
      <c r="AV492">
        <v>29</v>
      </c>
      <c r="AW492">
        <v>2</v>
      </c>
      <c r="AX492" t="s">
        <v>74</v>
      </c>
      <c r="AY492" t="s">
        <v>74</v>
      </c>
      <c r="AZ492" t="s">
        <v>74</v>
      </c>
      <c r="BA492" t="s">
        <v>74</v>
      </c>
      <c r="BB492">
        <v>155</v>
      </c>
      <c r="BC492">
        <v>164</v>
      </c>
      <c r="BD492" t="s">
        <v>74</v>
      </c>
      <c r="BE492" t="s">
        <v>9543</v>
      </c>
      <c r="BF492" t="str">
        <f>HYPERLINK("http://dx.doi.org/10.1017/S0954102016000560","http://dx.doi.org/10.1017/S0954102016000560")</f>
        <v>http://dx.doi.org/10.1017/S0954102016000560</v>
      </c>
      <c r="BG492" t="s">
        <v>74</v>
      </c>
      <c r="BH492" t="s">
        <v>74</v>
      </c>
      <c r="BI492">
        <v>10</v>
      </c>
      <c r="BJ492" t="s">
        <v>810</v>
      </c>
      <c r="BK492" t="s">
        <v>103</v>
      </c>
      <c r="BL492" t="s">
        <v>811</v>
      </c>
      <c r="BM492" t="s">
        <v>9492</v>
      </c>
      <c r="BN492" t="s">
        <v>74</v>
      </c>
      <c r="BO492" t="s">
        <v>664</v>
      </c>
      <c r="BP492" t="s">
        <v>74</v>
      </c>
      <c r="BQ492" t="s">
        <v>74</v>
      </c>
      <c r="BR492" t="s">
        <v>106</v>
      </c>
      <c r="BS492" t="s">
        <v>9544</v>
      </c>
      <c r="BT492" t="str">
        <f>HYPERLINK("https%3A%2F%2Fwww.webofscience.com%2Fwos%2Fwoscc%2Ffull-record%2FWOS:000396346900005","View Full Record in Web of Science")</f>
        <v>View Full Record in Web of Science</v>
      </c>
    </row>
    <row r="493" spans="1:72" x14ac:dyDescent="0.15">
      <c r="A493" t="s">
        <v>72</v>
      </c>
      <c r="B493" t="s">
        <v>9545</v>
      </c>
      <c r="C493" t="s">
        <v>74</v>
      </c>
      <c r="D493" t="s">
        <v>74</v>
      </c>
      <c r="E493" t="s">
        <v>74</v>
      </c>
      <c r="F493" t="s">
        <v>9546</v>
      </c>
      <c r="G493" t="s">
        <v>74</v>
      </c>
      <c r="H493" t="s">
        <v>74</v>
      </c>
      <c r="I493" t="s">
        <v>9547</v>
      </c>
      <c r="J493" t="s">
        <v>791</v>
      </c>
      <c r="K493" t="s">
        <v>74</v>
      </c>
      <c r="L493" t="s">
        <v>74</v>
      </c>
      <c r="M493" t="s">
        <v>78</v>
      </c>
      <c r="N493" t="s">
        <v>79</v>
      </c>
      <c r="O493" t="s">
        <v>74</v>
      </c>
      <c r="P493" t="s">
        <v>74</v>
      </c>
      <c r="Q493" t="s">
        <v>74</v>
      </c>
      <c r="R493" t="s">
        <v>74</v>
      </c>
      <c r="S493" t="s">
        <v>74</v>
      </c>
      <c r="T493" t="s">
        <v>9548</v>
      </c>
      <c r="U493" t="s">
        <v>9549</v>
      </c>
      <c r="V493" t="s">
        <v>9550</v>
      </c>
      <c r="W493" t="s">
        <v>9551</v>
      </c>
      <c r="X493" t="s">
        <v>9552</v>
      </c>
      <c r="Y493" t="s">
        <v>9553</v>
      </c>
      <c r="Z493" t="s">
        <v>8176</v>
      </c>
      <c r="AA493" t="s">
        <v>9554</v>
      </c>
      <c r="AB493" t="s">
        <v>9555</v>
      </c>
      <c r="AC493" t="s">
        <v>9556</v>
      </c>
      <c r="AD493" t="s">
        <v>9557</v>
      </c>
      <c r="AE493" t="s">
        <v>9558</v>
      </c>
      <c r="AF493" t="s">
        <v>74</v>
      </c>
      <c r="AG493">
        <v>44</v>
      </c>
      <c r="AH493">
        <v>5</v>
      </c>
      <c r="AI493">
        <v>5</v>
      </c>
      <c r="AJ493">
        <v>0</v>
      </c>
      <c r="AK493">
        <v>13</v>
      </c>
      <c r="AL493" t="s">
        <v>803</v>
      </c>
      <c r="AM493" t="s">
        <v>430</v>
      </c>
      <c r="AN493" t="s">
        <v>804</v>
      </c>
      <c r="AO493" t="s">
        <v>805</v>
      </c>
      <c r="AP493" t="s">
        <v>806</v>
      </c>
      <c r="AQ493" t="s">
        <v>74</v>
      </c>
      <c r="AR493" t="s">
        <v>807</v>
      </c>
      <c r="AS493" t="s">
        <v>808</v>
      </c>
      <c r="AT493" t="s">
        <v>8336</v>
      </c>
      <c r="AU493">
        <v>2017</v>
      </c>
      <c r="AV493">
        <v>29</v>
      </c>
      <c r="AW493">
        <v>2</v>
      </c>
      <c r="AX493" t="s">
        <v>74</v>
      </c>
      <c r="AY493" t="s">
        <v>74</v>
      </c>
      <c r="AZ493" t="s">
        <v>74</v>
      </c>
      <c r="BA493" t="s">
        <v>74</v>
      </c>
      <c r="BB493">
        <v>165</v>
      </c>
      <c r="BC493">
        <v>171</v>
      </c>
      <c r="BD493" t="s">
        <v>74</v>
      </c>
      <c r="BE493" t="s">
        <v>9559</v>
      </c>
      <c r="BF493" t="str">
        <f>HYPERLINK("http://dx.doi.org/10.1017/S0954102016000584","http://dx.doi.org/10.1017/S0954102016000584")</f>
        <v>http://dx.doi.org/10.1017/S0954102016000584</v>
      </c>
      <c r="BG493" t="s">
        <v>74</v>
      </c>
      <c r="BH493" t="s">
        <v>74</v>
      </c>
      <c r="BI493">
        <v>7</v>
      </c>
      <c r="BJ493" t="s">
        <v>810</v>
      </c>
      <c r="BK493" t="s">
        <v>103</v>
      </c>
      <c r="BL493" t="s">
        <v>811</v>
      </c>
      <c r="BM493" t="s">
        <v>9492</v>
      </c>
      <c r="BN493" t="s">
        <v>74</v>
      </c>
      <c r="BO493" t="s">
        <v>74</v>
      </c>
      <c r="BP493" t="s">
        <v>74</v>
      </c>
      <c r="BQ493" t="s">
        <v>74</v>
      </c>
      <c r="BR493" t="s">
        <v>106</v>
      </c>
      <c r="BS493" t="s">
        <v>9560</v>
      </c>
      <c r="BT493" t="str">
        <f>HYPERLINK("https%3A%2F%2Fwww.webofscience.com%2Fwos%2Fwoscc%2Ffull-record%2FWOS:000396346900006","View Full Record in Web of Science")</f>
        <v>View Full Record in Web of Science</v>
      </c>
    </row>
    <row r="494" spans="1:72" x14ac:dyDescent="0.15">
      <c r="A494" t="s">
        <v>72</v>
      </c>
      <c r="B494" t="s">
        <v>9561</v>
      </c>
      <c r="C494" t="s">
        <v>74</v>
      </c>
      <c r="D494" t="s">
        <v>74</v>
      </c>
      <c r="E494" t="s">
        <v>74</v>
      </c>
      <c r="F494" t="s">
        <v>9562</v>
      </c>
      <c r="G494" t="s">
        <v>74</v>
      </c>
      <c r="H494" t="s">
        <v>74</v>
      </c>
      <c r="I494" t="s">
        <v>9563</v>
      </c>
      <c r="J494" t="s">
        <v>791</v>
      </c>
      <c r="K494" t="s">
        <v>74</v>
      </c>
      <c r="L494" t="s">
        <v>74</v>
      </c>
      <c r="M494" t="s">
        <v>78</v>
      </c>
      <c r="N494" t="s">
        <v>79</v>
      </c>
      <c r="O494" t="s">
        <v>74</v>
      </c>
      <c r="P494" t="s">
        <v>74</v>
      </c>
      <c r="Q494" t="s">
        <v>74</v>
      </c>
      <c r="R494" t="s">
        <v>74</v>
      </c>
      <c r="S494" t="s">
        <v>74</v>
      </c>
      <c r="T494" t="s">
        <v>9564</v>
      </c>
      <c r="U494" t="s">
        <v>9565</v>
      </c>
      <c r="V494" t="s">
        <v>9566</v>
      </c>
      <c r="W494" t="s">
        <v>9567</v>
      </c>
      <c r="X494" t="s">
        <v>9261</v>
      </c>
      <c r="Y494" t="s">
        <v>9568</v>
      </c>
      <c r="Z494" t="s">
        <v>9263</v>
      </c>
      <c r="AA494" t="s">
        <v>74</v>
      </c>
      <c r="AB494" t="s">
        <v>9569</v>
      </c>
      <c r="AC494" t="s">
        <v>9570</v>
      </c>
      <c r="AD494" t="s">
        <v>9571</v>
      </c>
      <c r="AE494" t="s">
        <v>9572</v>
      </c>
      <c r="AF494" t="s">
        <v>74</v>
      </c>
      <c r="AG494">
        <v>32</v>
      </c>
      <c r="AH494">
        <v>3</v>
      </c>
      <c r="AI494">
        <v>3</v>
      </c>
      <c r="AJ494">
        <v>1</v>
      </c>
      <c r="AK494">
        <v>8</v>
      </c>
      <c r="AL494" t="s">
        <v>803</v>
      </c>
      <c r="AM494" t="s">
        <v>430</v>
      </c>
      <c r="AN494" t="s">
        <v>804</v>
      </c>
      <c r="AO494" t="s">
        <v>805</v>
      </c>
      <c r="AP494" t="s">
        <v>806</v>
      </c>
      <c r="AQ494" t="s">
        <v>74</v>
      </c>
      <c r="AR494" t="s">
        <v>807</v>
      </c>
      <c r="AS494" t="s">
        <v>808</v>
      </c>
      <c r="AT494" t="s">
        <v>8336</v>
      </c>
      <c r="AU494">
        <v>2017</v>
      </c>
      <c r="AV494">
        <v>29</v>
      </c>
      <c r="AW494">
        <v>2</v>
      </c>
      <c r="AX494" t="s">
        <v>74</v>
      </c>
      <c r="AY494" t="s">
        <v>74</v>
      </c>
      <c r="AZ494" t="s">
        <v>74</v>
      </c>
      <c r="BA494" t="s">
        <v>74</v>
      </c>
      <c r="BB494">
        <v>173</v>
      </c>
      <c r="BC494">
        <v>182</v>
      </c>
      <c r="BD494" t="s">
        <v>74</v>
      </c>
      <c r="BE494" t="s">
        <v>9573</v>
      </c>
      <c r="BF494" t="str">
        <f>HYPERLINK("http://dx.doi.org/10.1017/S0954102016000511","http://dx.doi.org/10.1017/S0954102016000511")</f>
        <v>http://dx.doi.org/10.1017/S0954102016000511</v>
      </c>
      <c r="BG494" t="s">
        <v>74</v>
      </c>
      <c r="BH494" t="s">
        <v>74</v>
      </c>
      <c r="BI494">
        <v>10</v>
      </c>
      <c r="BJ494" t="s">
        <v>810</v>
      </c>
      <c r="BK494" t="s">
        <v>103</v>
      </c>
      <c r="BL494" t="s">
        <v>811</v>
      </c>
      <c r="BM494" t="s">
        <v>9492</v>
      </c>
      <c r="BN494" t="s">
        <v>74</v>
      </c>
      <c r="BO494" t="s">
        <v>74</v>
      </c>
      <c r="BP494" t="s">
        <v>74</v>
      </c>
      <c r="BQ494" t="s">
        <v>74</v>
      </c>
      <c r="BR494" t="s">
        <v>106</v>
      </c>
      <c r="BS494" t="s">
        <v>9574</v>
      </c>
      <c r="BT494" t="str">
        <f>HYPERLINK("https%3A%2F%2Fwww.webofscience.com%2Fwos%2Fwoscc%2Ffull-record%2FWOS:000396346900007","View Full Record in Web of Science")</f>
        <v>View Full Record in Web of Science</v>
      </c>
    </row>
    <row r="495" spans="1:72" x14ac:dyDescent="0.15">
      <c r="A495" t="s">
        <v>72</v>
      </c>
      <c r="B495" t="s">
        <v>9575</v>
      </c>
      <c r="C495" t="s">
        <v>74</v>
      </c>
      <c r="D495" t="s">
        <v>74</v>
      </c>
      <c r="E495" t="s">
        <v>74</v>
      </c>
      <c r="F495" t="s">
        <v>9576</v>
      </c>
      <c r="G495" t="s">
        <v>74</v>
      </c>
      <c r="H495" t="s">
        <v>74</v>
      </c>
      <c r="I495" t="s">
        <v>9577</v>
      </c>
      <c r="J495" t="s">
        <v>791</v>
      </c>
      <c r="K495" t="s">
        <v>74</v>
      </c>
      <c r="L495" t="s">
        <v>74</v>
      </c>
      <c r="M495" t="s">
        <v>78</v>
      </c>
      <c r="N495" t="s">
        <v>79</v>
      </c>
      <c r="O495" t="s">
        <v>74</v>
      </c>
      <c r="P495" t="s">
        <v>74</v>
      </c>
      <c r="Q495" t="s">
        <v>74</v>
      </c>
      <c r="R495" t="s">
        <v>74</v>
      </c>
      <c r="S495" t="s">
        <v>74</v>
      </c>
      <c r="T495" t="s">
        <v>9578</v>
      </c>
      <c r="U495" t="s">
        <v>9579</v>
      </c>
      <c r="V495" t="s">
        <v>9580</v>
      </c>
      <c r="W495" t="s">
        <v>9581</v>
      </c>
      <c r="X495" t="s">
        <v>9582</v>
      </c>
      <c r="Y495" t="s">
        <v>9583</v>
      </c>
      <c r="Z495" t="s">
        <v>9584</v>
      </c>
      <c r="AA495" t="s">
        <v>9585</v>
      </c>
      <c r="AB495" t="s">
        <v>9586</v>
      </c>
      <c r="AC495" t="s">
        <v>74</v>
      </c>
      <c r="AD495" t="s">
        <v>74</v>
      </c>
      <c r="AE495" t="s">
        <v>74</v>
      </c>
      <c r="AF495" t="s">
        <v>74</v>
      </c>
      <c r="AG495">
        <v>40</v>
      </c>
      <c r="AH495">
        <v>10</v>
      </c>
      <c r="AI495">
        <v>11</v>
      </c>
      <c r="AJ495">
        <v>0</v>
      </c>
      <c r="AK495">
        <v>11</v>
      </c>
      <c r="AL495" t="s">
        <v>803</v>
      </c>
      <c r="AM495" t="s">
        <v>430</v>
      </c>
      <c r="AN495" t="s">
        <v>804</v>
      </c>
      <c r="AO495" t="s">
        <v>805</v>
      </c>
      <c r="AP495" t="s">
        <v>806</v>
      </c>
      <c r="AQ495" t="s">
        <v>74</v>
      </c>
      <c r="AR495" t="s">
        <v>807</v>
      </c>
      <c r="AS495" t="s">
        <v>808</v>
      </c>
      <c r="AT495" t="s">
        <v>8336</v>
      </c>
      <c r="AU495">
        <v>2017</v>
      </c>
      <c r="AV495">
        <v>29</v>
      </c>
      <c r="AW495">
        <v>2</v>
      </c>
      <c r="AX495" t="s">
        <v>74</v>
      </c>
      <c r="AY495" t="s">
        <v>74</v>
      </c>
      <c r="AZ495" t="s">
        <v>74</v>
      </c>
      <c r="BA495" t="s">
        <v>74</v>
      </c>
      <c r="BB495">
        <v>183</v>
      </c>
      <c r="BC495">
        <v>198</v>
      </c>
      <c r="BD495" t="s">
        <v>74</v>
      </c>
      <c r="BE495" t="s">
        <v>9587</v>
      </c>
      <c r="BF495" t="str">
        <f>HYPERLINK("http://dx.doi.org/10.1017/S0954102016000572","http://dx.doi.org/10.1017/S0954102016000572")</f>
        <v>http://dx.doi.org/10.1017/S0954102016000572</v>
      </c>
      <c r="BG495" t="s">
        <v>74</v>
      </c>
      <c r="BH495" t="s">
        <v>74</v>
      </c>
      <c r="BI495">
        <v>16</v>
      </c>
      <c r="BJ495" t="s">
        <v>810</v>
      </c>
      <c r="BK495" t="s">
        <v>103</v>
      </c>
      <c r="BL495" t="s">
        <v>811</v>
      </c>
      <c r="BM495" t="s">
        <v>9492</v>
      </c>
      <c r="BN495" t="s">
        <v>74</v>
      </c>
      <c r="BO495" t="s">
        <v>74</v>
      </c>
      <c r="BP495" t="s">
        <v>74</v>
      </c>
      <c r="BQ495" t="s">
        <v>74</v>
      </c>
      <c r="BR495" t="s">
        <v>106</v>
      </c>
      <c r="BS495" t="s">
        <v>9588</v>
      </c>
      <c r="BT495" t="str">
        <f>HYPERLINK("https%3A%2F%2Fwww.webofscience.com%2Fwos%2Fwoscc%2Ffull-record%2FWOS:000396346900008","View Full Record in Web of Science")</f>
        <v>View Full Record in Web of Science</v>
      </c>
    </row>
    <row r="496" spans="1:72" x14ac:dyDescent="0.15">
      <c r="A496" t="s">
        <v>72</v>
      </c>
      <c r="B496" t="s">
        <v>9589</v>
      </c>
      <c r="C496" t="s">
        <v>74</v>
      </c>
      <c r="D496" t="s">
        <v>74</v>
      </c>
      <c r="E496" t="s">
        <v>74</v>
      </c>
      <c r="F496" t="s">
        <v>9590</v>
      </c>
      <c r="G496" t="s">
        <v>74</v>
      </c>
      <c r="H496" t="s">
        <v>74</v>
      </c>
      <c r="I496" t="s">
        <v>9591</v>
      </c>
      <c r="J496" t="s">
        <v>9592</v>
      </c>
      <c r="K496" t="s">
        <v>74</v>
      </c>
      <c r="L496" t="s">
        <v>74</v>
      </c>
      <c r="M496" t="s">
        <v>78</v>
      </c>
      <c r="N496" t="s">
        <v>79</v>
      </c>
      <c r="O496" t="s">
        <v>74</v>
      </c>
      <c r="P496" t="s">
        <v>74</v>
      </c>
      <c r="Q496" t="s">
        <v>74</v>
      </c>
      <c r="R496" t="s">
        <v>74</v>
      </c>
      <c r="S496" t="s">
        <v>74</v>
      </c>
      <c r="T496" t="s">
        <v>9593</v>
      </c>
      <c r="U496" t="s">
        <v>9594</v>
      </c>
      <c r="V496" t="s">
        <v>9595</v>
      </c>
      <c r="W496" t="s">
        <v>9596</v>
      </c>
      <c r="X496" t="s">
        <v>9597</v>
      </c>
      <c r="Y496" t="s">
        <v>9598</v>
      </c>
      <c r="Z496" t="s">
        <v>9599</v>
      </c>
      <c r="AA496" t="s">
        <v>9600</v>
      </c>
      <c r="AB496" t="s">
        <v>9601</v>
      </c>
      <c r="AC496" t="s">
        <v>9602</v>
      </c>
      <c r="AD496" t="s">
        <v>9603</v>
      </c>
      <c r="AE496" t="s">
        <v>9604</v>
      </c>
      <c r="AF496" t="s">
        <v>74</v>
      </c>
      <c r="AG496">
        <v>63</v>
      </c>
      <c r="AH496">
        <v>14</v>
      </c>
      <c r="AI496">
        <v>15</v>
      </c>
      <c r="AJ496">
        <v>3</v>
      </c>
      <c r="AK496">
        <v>29</v>
      </c>
      <c r="AL496" t="s">
        <v>5702</v>
      </c>
      <c r="AM496" t="s">
        <v>5703</v>
      </c>
      <c r="AN496" t="s">
        <v>5704</v>
      </c>
      <c r="AO496" t="s">
        <v>74</v>
      </c>
      <c r="AP496" t="s">
        <v>9605</v>
      </c>
      <c r="AQ496" t="s">
        <v>74</v>
      </c>
      <c r="AR496" t="s">
        <v>9592</v>
      </c>
      <c r="AS496" t="s">
        <v>9592</v>
      </c>
      <c r="AT496" t="s">
        <v>8336</v>
      </c>
      <c r="AU496">
        <v>2017</v>
      </c>
      <c r="AV496">
        <v>134</v>
      </c>
      <c r="AW496">
        <v>2</v>
      </c>
      <c r="AX496" t="s">
        <v>74</v>
      </c>
      <c r="AY496" t="s">
        <v>74</v>
      </c>
      <c r="AZ496" t="s">
        <v>74</v>
      </c>
      <c r="BA496" t="s">
        <v>74</v>
      </c>
      <c r="BB496">
        <v>281</v>
      </c>
      <c r="BC496">
        <v>294</v>
      </c>
      <c r="BD496" t="s">
        <v>74</v>
      </c>
      <c r="BE496" t="s">
        <v>9606</v>
      </c>
      <c r="BF496" t="str">
        <f>HYPERLINK("http://dx.doi.org/10.1642/AUK-16-117.1","http://dx.doi.org/10.1642/AUK-16-117.1")</f>
        <v>http://dx.doi.org/10.1642/AUK-16-117.1</v>
      </c>
      <c r="BG496" t="s">
        <v>74</v>
      </c>
      <c r="BH496" t="s">
        <v>74</v>
      </c>
      <c r="BI496">
        <v>14</v>
      </c>
      <c r="BJ496" t="s">
        <v>554</v>
      </c>
      <c r="BK496" t="s">
        <v>103</v>
      </c>
      <c r="BL496" t="s">
        <v>555</v>
      </c>
      <c r="BM496" t="s">
        <v>9607</v>
      </c>
      <c r="BN496" t="s">
        <v>74</v>
      </c>
      <c r="BO496" t="s">
        <v>412</v>
      </c>
      <c r="BP496" t="s">
        <v>74</v>
      </c>
      <c r="BQ496" t="s">
        <v>74</v>
      </c>
      <c r="BR496" t="s">
        <v>106</v>
      </c>
      <c r="BS496" t="s">
        <v>9608</v>
      </c>
      <c r="BT496" t="str">
        <f>HYPERLINK("https%3A%2F%2Fwww.webofscience.com%2Fwos%2Fwoscc%2Ffull-record%2FWOS:000398573200001","View Full Record in Web of Science")</f>
        <v>View Full Record in Web of Science</v>
      </c>
    </row>
    <row r="497" spans="1:72" x14ac:dyDescent="0.15">
      <c r="A497" t="s">
        <v>72</v>
      </c>
      <c r="B497" t="s">
        <v>9609</v>
      </c>
      <c r="C497" t="s">
        <v>74</v>
      </c>
      <c r="D497" t="s">
        <v>74</v>
      </c>
      <c r="E497" t="s">
        <v>74</v>
      </c>
      <c r="F497" t="s">
        <v>9610</v>
      </c>
      <c r="G497" t="s">
        <v>74</v>
      </c>
      <c r="H497" t="s">
        <v>74</v>
      </c>
      <c r="I497" t="s">
        <v>9611</v>
      </c>
      <c r="J497" t="s">
        <v>9612</v>
      </c>
      <c r="K497" t="s">
        <v>74</v>
      </c>
      <c r="L497" t="s">
        <v>74</v>
      </c>
      <c r="M497" t="s">
        <v>78</v>
      </c>
      <c r="N497" t="s">
        <v>79</v>
      </c>
      <c r="O497" t="s">
        <v>74</v>
      </c>
      <c r="P497" t="s">
        <v>74</v>
      </c>
      <c r="Q497" t="s">
        <v>74</v>
      </c>
      <c r="R497" t="s">
        <v>74</v>
      </c>
      <c r="S497" t="s">
        <v>74</v>
      </c>
      <c r="T497" t="s">
        <v>9613</v>
      </c>
      <c r="U497" t="s">
        <v>9614</v>
      </c>
      <c r="V497" t="s">
        <v>9615</v>
      </c>
      <c r="W497" t="s">
        <v>9616</v>
      </c>
      <c r="X497" t="s">
        <v>9617</v>
      </c>
      <c r="Y497" t="s">
        <v>9618</v>
      </c>
      <c r="Z497" t="s">
        <v>9619</v>
      </c>
      <c r="AA497" t="s">
        <v>9620</v>
      </c>
      <c r="AB497" t="s">
        <v>9621</v>
      </c>
      <c r="AC497" t="s">
        <v>9622</v>
      </c>
      <c r="AD497" t="s">
        <v>9623</v>
      </c>
      <c r="AE497" t="s">
        <v>9624</v>
      </c>
      <c r="AF497" t="s">
        <v>74</v>
      </c>
      <c r="AG497">
        <v>29</v>
      </c>
      <c r="AH497">
        <v>10</v>
      </c>
      <c r="AI497">
        <v>10</v>
      </c>
      <c r="AJ497">
        <v>0</v>
      </c>
      <c r="AK497">
        <v>36</v>
      </c>
      <c r="AL497" t="s">
        <v>1141</v>
      </c>
      <c r="AM497" t="s">
        <v>318</v>
      </c>
      <c r="AN497" t="s">
        <v>1142</v>
      </c>
      <c r="AO497" t="s">
        <v>9625</v>
      </c>
      <c r="AP497" t="s">
        <v>9626</v>
      </c>
      <c r="AQ497" t="s">
        <v>74</v>
      </c>
      <c r="AR497" t="s">
        <v>9627</v>
      </c>
      <c r="AS497" t="s">
        <v>9628</v>
      </c>
      <c r="AT497" t="s">
        <v>8336</v>
      </c>
      <c r="AU497">
        <v>2017</v>
      </c>
      <c r="AV497">
        <v>1858</v>
      </c>
      <c r="AW497">
        <v>4</v>
      </c>
      <c r="AX497" t="s">
        <v>74</v>
      </c>
      <c r="AY497" t="s">
        <v>74</v>
      </c>
      <c r="AZ497" t="s">
        <v>74</v>
      </c>
      <c r="BA497" t="s">
        <v>74</v>
      </c>
      <c r="BB497">
        <v>325</v>
      </c>
      <c r="BC497">
        <v>335</v>
      </c>
      <c r="BD497" t="s">
        <v>74</v>
      </c>
      <c r="BE497" t="s">
        <v>9629</v>
      </c>
      <c r="BF497" t="str">
        <f>HYPERLINK("http://dx.doi.org/10.1016/j.bbabio.2017.02.004","http://dx.doi.org/10.1016/j.bbabio.2017.02.004")</f>
        <v>http://dx.doi.org/10.1016/j.bbabio.2017.02.004</v>
      </c>
      <c r="BG497" t="s">
        <v>74</v>
      </c>
      <c r="BH497" t="s">
        <v>74</v>
      </c>
      <c r="BI497">
        <v>11</v>
      </c>
      <c r="BJ497" t="s">
        <v>9630</v>
      </c>
      <c r="BK497" t="s">
        <v>103</v>
      </c>
      <c r="BL497" t="s">
        <v>9630</v>
      </c>
      <c r="BM497" t="s">
        <v>9631</v>
      </c>
      <c r="BN497">
        <v>28188780</v>
      </c>
      <c r="BO497" t="s">
        <v>384</v>
      </c>
      <c r="BP497" t="s">
        <v>74</v>
      </c>
      <c r="BQ497" t="s">
        <v>74</v>
      </c>
      <c r="BR497" t="s">
        <v>106</v>
      </c>
      <c r="BS497" t="s">
        <v>9632</v>
      </c>
      <c r="BT497" t="str">
        <f>HYPERLINK("https%3A%2F%2Fwww.webofscience.com%2Fwos%2Fwoscc%2Ffull-record%2FWOS:000397369900007","View Full Record in Web of Science")</f>
        <v>View Full Record in Web of Science</v>
      </c>
    </row>
    <row r="498" spans="1:72" x14ac:dyDescent="0.15">
      <c r="A498" t="s">
        <v>72</v>
      </c>
      <c r="B498" t="s">
        <v>9633</v>
      </c>
      <c r="C498" t="s">
        <v>74</v>
      </c>
      <c r="D498" t="s">
        <v>74</v>
      </c>
      <c r="E498" t="s">
        <v>74</v>
      </c>
      <c r="F498" t="s">
        <v>9634</v>
      </c>
      <c r="G498" t="s">
        <v>74</v>
      </c>
      <c r="H498" t="s">
        <v>74</v>
      </c>
      <c r="I498" t="s">
        <v>9635</v>
      </c>
      <c r="J498" t="s">
        <v>9636</v>
      </c>
      <c r="K498" t="s">
        <v>74</v>
      </c>
      <c r="L498" t="s">
        <v>74</v>
      </c>
      <c r="M498" t="s">
        <v>78</v>
      </c>
      <c r="N498" t="s">
        <v>79</v>
      </c>
      <c r="O498" t="s">
        <v>74</v>
      </c>
      <c r="P498" t="s">
        <v>74</v>
      </c>
      <c r="Q498" t="s">
        <v>74</v>
      </c>
      <c r="R498" t="s">
        <v>74</v>
      </c>
      <c r="S498" t="s">
        <v>74</v>
      </c>
      <c r="T498" t="s">
        <v>74</v>
      </c>
      <c r="U498" t="s">
        <v>9637</v>
      </c>
      <c r="V498" t="s">
        <v>9638</v>
      </c>
      <c r="W498" t="s">
        <v>9639</v>
      </c>
      <c r="X498" t="s">
        <v>9640</v>
      </c>
      <c r="Y498" t="s">
        <v>9641</v>
      </c>
      <c r="Z498" t="s">
        <v>9642</v>
      </c>
      <c r="AA498" t="s">
        <v>9643</v>
      </c>
      <c r="AB498" t="s">
        <v>9644</v>
      </c>
      <c r="AC498" t="s">
        <v>9645</v>
      </c>
      <c r="AD498" t="s">
        <v>9646</v>
      </c>
      <c r="AE498" t="s">
        <v>9647</v>
      </c>
      <c r="AF498" t="s">
        <v>74</v>
      </c>
      <c r="AG498">
        <v>72</v>
      </c>
      <c r="AH498">
        <v>11</v>
      </c>
      <c r="AI498">
        <v>14</v>
      </c>
      <c r="AJ498">
        <v>1</v>
      </c>
      <c r="AK498">
        <v>48</v>
      </c>
      <c r="AL498" t="s">
        <v>986</v>
      </c>
      <c r="AM498" t="s">
        <v>1191</v>
      </c>
      <c r="AN498" t="s">
        <v>1192</v>
      </c>
      <c r="AO498" t="s">
        <v>9648</v>
      </c>
      <c r="AP498" t="s">
        <v>9649</v>
      </c>
      <c r="AQ498" t="s">
        <v>74</v>
      </c>
      <c r="AR498" t="s">
        <v>9636</v>
      </c>
      <c r="AS498" t="s">
        <v>9650</v>
      </c>
      <c r="AT498" t="s">
        <v>8336</v>
      </c>
      <c r="AU498">
        <v>2017</v>
      </c>
      <c r="AV498">
        <v>141</v>
      </c>
      <c r="AW498">
        <v>4</v>
      </c>
      <c r="AX498" t="s">
        <v>74</v>
      </c>
      <c r="AY498" t="s">
        <v>74</v>
      </c>
      <c r="AZ498" t="s">
        <v>74</v>
      </c>
      <c r="BA498" t="s">
        <v>74</v>
      </c>
      <c r="BB498">
        <v>733</v>
      </c>
      <c r="BC498">
        <v>746</v>
      </c>
      <c r="BD498" t="s">
        <v>74</v>
      </c>
      <c r="BE498" t="s">
        <v>9651</v>
      </c>
      <c r="BF498" t="str">
        <f>HYPERLINK("http://dx.doi.org/10.1007/s10584-017-1915-2","http://dx.doi.org/10.1007/s10584-017-1915-2")</f>
        <v>http://dx.doi.org/10.1007/s10584-017-1915-2</v>
      </c>
      <c r="BG498" t="s">
        <v>74</v>
      </c>
      <c r="BH498" t="s">
        <v>74</v>
      </c>
      <c r="BI498">
        <v>14</v>
      </c>
      <c r="BJ498" t="s">
        <v>3614</v>
      </c>
      <c r="BK498" t="s">
        <v>103</v>
      </c>
      <c r="BL498" t="s">
        <v>3615</v>
      </c>
      <c r="BM498" t="s">
        <v>9652</v>
      </c>
      <c r="BN498" t="s">
        <v>74</v>
      </c>
      <c r="BO498" t="s">
        <v>1538</v>
      </c>
      <c r="BP498" t="s">
        <v>74</v>
      </c>
      <c r="BQ498" t="s">
        <v>74</v>
      </c>
      <c r="BR498" t="s">
        <v>106</v>
      </c>
      <c r="BS498" t="s">
        <v>9653</v>
      </c>
      <c r="BT498" t="str">
        <f>HYPERLINK("https%3A%2F%2Fwww.webofscience.com%2Fwos%2Fwoscc%2Ffull-record%2FWOS:000396826200010","View Full Record in Web of Science")</f>
        <v>View Full Record in Web of Science</v>
      </c>
    </row>
    <row r="499" spans="1:72" x14ac:dyDescent="0.15">
      <c r="A499" t="s">
        <v>72</v>
      </c>
      <c r="B499" t="s">
        <v>9654</v>
      </c>
      <c r="C499" t="s">
        <v>74</v>
      </c>
      <c r="D499" t="s">
        <v>74</v>
      </c>
      <c r="E499" t="s">
        <v>74</v>
      </c>
      <c r="F499" t="s">
        <v>9655</v>
      </c>
      <c r="G499" t="s">
        <v>74</v>
      </c>
      <c r="H499" t="s">
        <v>74</v>
      </c>
      <c r="I499" t="s">
        <v>9656</v>
      </c>
      <c r="J499" t="s">
        <v>9657</v>
      </c>
      <c r="K499" t="s">
        <v>74</v>
      </c>
      <c r="L499" t="s">
        <v>74</v>
      </c>
      <c r="M499" t="s">
        <v>78</v>
      </c>
      <c r="N499" t="s">
        <v>79</v>
      </c>
      <c r="O499" t="s">
        <v>74</v>
      </c>
      <c r="P499" t="s">
        <v>74</v>
      </c>
      <c r="Q499" t="s">
        <v>74</v>
      </c>
      <c r="R499" t="s">
        <v>74</v>
      </c>
      <c r="S499" t="s">
        <v>74</v>
      </c>
      <c r="T499" t="s">
        <v>9658</v>
      </c>
      <c r="U499" t="s">
        <v>9659</v>
      </c>
      <c r="V499" t="s">
        <v>9660</v>
      </c>
      <c r="W499" t="s">
        <v>9661</v>
      </c>
      <c r="X499" t="s">
        <v>9662</v>
      </c>
      <c r="Y499" t="s">
        <v>9663</v>
      </c>
      <c r="Z499" t="s">
        <v>9664</v>
      </c>
      <c r="AA499" t="s">
        <v>9665</v>
      </c>
      <c r="AB499" t="s">
        <v>9666</v>
      </c>
      <c r="AC499" t="s">
        <v>9667</v>
      </c>
      <c r="AD499" t="s">
        <v>9668</v>
      </c>
      <c r="AE499" t="s">
        <v>9669</v>
      </c>
      <c r="AF499" t="s">
        <v>74</v>
      </c>
      <c r="AG499">
        <v>56</v>
      </c>
      <c r="AH499">
        <v>8</v>
      </c>
      <c r="AI499">
        <v>10</v>
      </c>
      <c r="AJ499">
        <v>0</v>
      </c>
      <c r="AK499">
        <v>10</v>
      </c>
      <c r="AL499" t="s">
        <v>2779</v>
      </c>
      <c r="AM499" t="s">
        <v>403</v>
      </c>
      <c r="AN499" t="s">
        <v>2780</v>
      </c>
      <c r="AO499" t="s">
        <v>9670</v>
      </c>
      <c r="AP499" t="s">
        <v>9671</v>
      </c>
      <c r="AQ499" t="s">
        <v>74</v>
      </c>
      <c r="AR499" t="s">
        <v>9672</v>
      </c>
      <c r="AS499" t="s">
        <v>9673</v>
      </c>
      <c r="AT499" t="s">
        <v>8336</v>
      </c>
      <c r="AU499">
        <v>2017</v>
      </c>
      <c r="AV499">
        <v>72</v>
      </c>
      <c r="AW499" t="s">
        <v>74</v>
      </c>
      <c r="AX499" t="s">
        <v>74</v>
      </c>
      <c r="AY499" t="s">
        <v>74</v>
      </c>
      <c r="AZ499" t="s">
        <v>74</v>
      </c>
      <c r="BA499" t="s">
        <v>74</v>
      </c>
      <c r="BB499">
        <v>172</v>
      </c>
      <c r="BC499">
        <v>187</v>
      </c>
      <c r="BD499" t="s">
        <v>74</v>
      </c>
      <c r="BE499" t="s">
        <v>9674</v>
      </c>
      <c r="BF499" t="str">
        <f>HYPERLINK("http://dx.doi.org/10.1016/j.cretres.2016.12.016","http://dx.doi.org/10.1016/j.cretres.2016.12.016")</f>
        <v>http://dx.doi.org/10.1016/j.cretres.2016.12.016</v>
      </c>
      <c r="BG499" t="s">
        <v>74</v>
      </c>
      <c r="BH499" t="s">
        <v>74</v>
      </c>
      <c r="BI499">
        <v>16</v>
      </c>
      <c r="BJ499" t="s">
        <v>9675</v>
      </c>
      <c r="BK499" t="s">
        <v>103</v>
      </c>
      <c r="BL499" t="s">
        <v>9675</v>
      </c>
      <c r="BM499" t="s">
        <v>9676</v>
      </c>
      <c r="BN499" t="s">
        <v>74</v>
      </c>
      <c r="BO499" t="s">
        <v>384</v>
      </c>
      <c r="BP499" t="s">
        <v>74</v>
      </c>
      <c r="BQ499" t="s">
        <v>74</v>
      </c>
      <c r="BR499" t="s">
        <v>106</v>
      </c>
      <c r="BS499" t="s">
        <v>9677</v>
      </c>
      <c r="BT499" t="str">
        <f>HYPERLINK("https%3A%2F%2Fwww.webofscience.com%2Fwos%2Fwoscc%2Ffull-record%2FWOS:000397355400020","View Full Record in Web of Science")</f>
        <v>View Full Record in Web of Science</v>
      </c>
    </row>
    <row r="500" spans="1:72" x14ac:dyDescent="0.15">
      <c r="A500" t="s">
        <v>72</v>
      </c>
      <c r="B500" t="s">
        <v>9678</v>
      </c>
      <c r="C500" t="s">
        <v>74</v>
      </c>
      <c r="D500" t="s">
        <v>74</v>
      </c>
      <c r="E500" t="s">
        <v>74</v>
      </c>
      <c r="F500" t="s">
        <v>9679</v>
      </c>
      <c r="G500" t="s">
        <v>74</v>
      </c>
      <c r="H500" t="s">
        <v>74</v>
      </c>
      <c r="I500" t="s">
        <v>9680</v>
      </c>
      <c r="J500" t="s">
        <v>6430</v>
      </c>
      <c r="K500" t="s">
        <v>74</v>
      </c>
      <c r="L500" t="s">
        <v>74</v>
      </c>
      <c r="M500" t="s">
        <v>78</v>
      </c>
      <c r="N500" t="s">
        <v>79</v>
      </c>
      <c r="O500" t="s">
        <v>74</v>
      </c>
      <c r="P500" t="s">
        <v>74</v>
      </c>
      <c r="Q500" t="s">
        <v>74</v>
      </c>
      <c r="R500" t="s">
        <v>74</v>
      </c>
      <c r="S500" t="s">
        <v>74</v>
      </c>
      <c r="T500" t="s">
        <v>9681</v>
      </c>
      <c r="U500" t="s">
        <v>9682</v>
      </c>
      <c r="V500" t="s">
        <v>9683</v>
      </c>
      <c r="W500" t="s">
        <v>9684</v>
      </c>
      <c r="X500" t="s">
        <v>9685</v>
      </c>
      <c r="Y500" t="s">
        <v>9686</v>
      </c>
      <c r="Z500" t="s">
        <v>9687</v>
      </c>
      <c r="AA500" t="s">
        <v>9688</v>
      </c>
      <c r="AB500" t="s">
        <v>9689</v>
      </c>
      <c r="AC500" t="s">
        <v>9690</v>
      </c>
      <c r="AD500" t="s">
        <v>9691</v>
      </c>
      <c r="AE500" t="s">
        <v>9692</v>
      </c>
      <c r="AF500" t="s">
        <v>74</v>
      </c>
      <c r="AG500">
        <v>95</v>
      </c>
      <c r="AH500">
        <v>27</v>
      </c>
      <c r="AI500">
        <v>31</v>
      </c>
      <c r="AJ500">
        <v>4</v>
      </c>
      <c r="AK500">
        <v>79</v>
      </c>
      <c r="AL500" t="s">
        <v>681</v>
      </c>
      <c r="AM500" t="s">
        <v>682</v>
      </c>
      <c r="AN500" t="s">
        <v>683</v>
      </c>
      <c r="AO500" t="s">
        <v>6440</v>
      </c>
      <c r="AP500" t="s">
        <v>6441</v>
      </c>
      <c r="AQ500" t="s">
        <v>74</v>
      </c>
      <c r="AR500" t="s">
        <v>6430</v>
      </c>
      <c r="AS500" t="s">
        <v>992</v>
      </c>
      <c r="AT500" t="s">
        <v>8336</v>
      </c>
      <c r="AU500">
        <v>2017</v>
      </c>
      <c r="AV500">
        <v>98</v>
      </c>
      <c r="AW500">
        <v>4</v>
      </c>
      <c r="AX500" t="s">
        <v>74</v>
      </c>
      <c r="AY500" t="s">
        <v>74</v>
      </c>
      <c r="AZ500" t="s">
        <v>74</v>
      </c>
      <c r="BA500" t="s">
        <v>74</v>
      </c>
      <c r="BB500">
        <v>940</v>
      </c>
      <c r="BC500">
        <v>951</v>
      </c>
      <c r="BD500" t="s">
        <v>74</v>
      </c>
      <c r="BE500" t="s">
        <v>9693</v>
      </c>
      <c r="BF500" t="str">
        <f>HYPERLINK("http://dx.doi.org/10.1002/ecy.1749/suppinfo","http://dx.doi.org/10.1002/ecy.1749/suppinfo")</f>
        <v>http://dx.doi.org/10.1002/ecy.1749/suppinfo</v>
      </c>
      <c r="BG500" t="s">
        <v>74</v>
      </c>
      <c r="BH500" t="s">
        <v>74</v>
      </c>
      <c r="BI500">
        <v>12</v>
      </c>
      <c r="BJ500" t="s">
        <v>992</v>
      </c>
      <c r="BK500" t="s">
        <v>103</v>
      </c>
      <c r="BL500" t="s">
        <v>993</v>
      </c>
      <c r="BM500" t="s">
        <v>9694</v>
      </c>
      <c r="BN500">
        <v>28129431</v>
      </c>
      <c r="BO500" t="s">
        <v>74</v>
      </c>
      <c r="BP500" t="s">
        <v>74</v>
      </c>
      <c r="BQ500" t="s">
        <v>74</v>
      </c>
      <c r="BR500" t="s">
        <v>106</v>
      </c>
      <c r="BS500" t="s">
        <v>9695</v>
      </c>
      <c r="BT500" t="str">
        <f>HYPERLINK("https%3A%2F%2Fwww.webofscience.com%2Fwos%2Fwoscc%2Ffull-record%2FWOS:000398175200007","View Full Record in Web of Science")</f>
        <v>View Full Record in Web of Science</v>
      </c>
    </row>
    <row r="501" spans="1:72" x14ac:dyDescent="0.15">
      <c r="A501" t="s">
        <v>72</v>
      </c>
      <c r="B501" t="s">
        <v>9696</v>
      </c>
      <c r="C501" t="s">
        <v>74</v>
      </c>
      <c r="D501" t="s">
        <v>74</v>
      </c>
      <c r="E501" t="s">
        <v>74</v>
      </c>
      <c r="F501" t="s">
        <v>9697</v>
      </c>
      <c r="G501" t="s">
        <v>74</v>
      </c>
      <c r="H501" t="s">
        <v>74</v>
      </c>
      <c r="I501" t="s">
        <v>9698</v>
      </c>
      <c r="J501" t="s">
        <v>9699</v>
      </c>
      <c r="K501" t="s">
        <v>74</v>
      </c>
      <c r="L501" t="s">
        <v>74</v>
      </c>
      <c r="M501" t="s">
        <v>78</v>
      </c>
      <c r="N501" t="s">
        <v>79</v>
      </c>
      <c r="O501" t="s">
        <v>74</v>
      </c>
      <c r="P501" t="s">
        <v>74</v>
      </c>
      <c r="Q501" t="s">
        <v>74</v>
      </c>
      <c r="R501" t="s">
        <v>74</v>
      </c>
      <c r="S501" t="s">
        <v>74</v>
      </c>
      <c r="T501" t="s">
        <v>9700</v>
      </c>
      <c r="U501" t="s">
        <v>9701</v>
      </c>
      <c r="V501" t="s">
        <v>9702</v>
      </c>
      <c r="W501" t="s">
        <v>9703</v>
      </c>
      <c r="X501" t="s">
        <v>9704</v>
      </c>
      <c r="Y501" t="s">
        <v>9705</v>
      </c>
      <c r="Z501" t="s">
        <v>9706</v>
      </c>
      <c r="AA501" t="s">
        <v>9707</v>
      </c>
      <c r="AB501" t="s">
        <v>74</v>
      </c>
      <c r="AC501" t="s">
        <v>74</v>
      </c>
      <c r="AD501" t="s">
        <v>74</v>
      </c>
      <c r="AE501" t="s">
        <v>74</v>
      </c>
      <c r="AF501" t="s">
        <v>74</v>
      </c>
      <c r="AG501">
        <v>40</v>
      </c>
      <c r="AH501">
        <v>1</v>
      </c>
      <c r="AI501">
        <v>1</v>
      </c>
      <c r="AJ501">
        <v>2</v>
      </c>
      <c r="AK501">
        <v>6</v>
      </c>
      <c r="AL501" t="s">
        <v>374</v>
      </c>
      <c r="AM501" t="s">
        <v>93</v>
      </c>
      <c r="AN501" t="s">
        <v>375</v>
      </c>
      <c r="AO501" t="s">
        <v>9708</v>
      </c>
      <c r="AP501" t="s">
        <v>9709</v>
      </c>
      <c r="AQ501" t="s">
        <v>74</v>
      </c>
      <c r="AR501" t="s">
        <v>9710</v>
      </c>
      <c r="AS501" t="s">
        <v>9711</v>
      </c>
      <c r="AT501" t="s">
        <v>8336</v>
      </c>
      <c r="AU501">
        <v>2017</v>
      </c>
      <c r="AV501">
        <v>90</v>
      </c>
      <c r="AW501" t="s">
        <v>74</v>
      </c>
      <c r="AX501" t="s">
        <v>74</v>
      </c>
      <c r="AY501" t="s">
        <v>74</v>
      </c>
      <c r="AZ501" t="s">
        <v>74</v>
      </c>
      <c r="BA501" t="s">
        <v>74</v>
      </c>
      <c r="BB501">
        <v>167</v>
      </c>
      <c r="BC501">
        <v>181</v>
      </c>
      <c r="BD501" t="s">
        <v>74</v>
      </c>
      <c r="BE501" t="s">
        <v>9712</v>
      </c>
      <c r="BF501" t="str">
        <f>HYPERLINK("http://dx.doi.org/10.1016/j.envsoft.2017.01.011","http://dx.doi.org/10.1016/j.envsoft.2017.01.011")</f>
        <v>http://dx.doi.org/10.1016/j.envsoft.2017.01.011</v>
      </c>
      <c r="BG501" t="s">
        <v>74</v>
      </c>
      <c r="BH501" t="s">
        <v>74</v>
      </c>
      <c r="BI501">
        <v>15</v>
      </c>
      <c r="BJ501" t="s">
        <v>9713</v>
      </c>
      <c r="BK501" t="s">
        <v>103</v>
      </c>
      <c r="BL501" t="s">
        <v>9714</v>
      </c>
      <c r="BM501" t="s">
        <v>9715</v>
      </c>
      <c r="BN501" t="s">
        <v>74</v>
      </c>
      <c r="BO501" t="s">
        <v>9716</v>
      </c>
      <c r="BP501" t="s">
        <v>74</v>
      </c>
      <c r="BQ501" t="s">
        <v>74</v>
      </c>
      <c r="BR501" t="s">
        <v>106</v>
      </c>
      <c r="BS501" t="s">
        <v>9717</v>
      </c>
      <c r="BT501" t="str">
        <f>HYPERLINK("https%3A%2F%2Fwww.webofscience.com%2Fwos%2Fwoscc%2Ffull-record%2FWOS:000397551300012","View Full Record in Web of Science")</f>
        <v>View Full Record in Web of Science</v>
      </c>
    </row>
    <row r="502" spans="1:72" x14ac:dyDescent="0.15">
      <c r="A502" t="s">
        <v>72</v>
      </c>
      <c r="B502" t="s">
        <v>9718</v>
      </c>
      <c r="C502" t="s">
        <v>74</v>
      </c>
      <c r="D502" t="s">
        <v>74</v>
      </c>
      <c r="E502" t="s">
        <v>74</v>
      </c>
      <c r="F502" t="s">
        <v>9719</v>
      </c>
      <c r="G502" t="s">
        <v>74</v>
      </c>
      <c r="H502" t="s">
        <v>74</v>
      </c>
      <c r="I502" t="s">
        <v>9720</v>
      </c>
      <c r="J502" t="s">
        <v>9721</v>
      </c>
      <c r="K502" t="s">
        <v>74</v>
      </c>
      <c r="L502" t="s">
        <v>74</v>
      </c>
      <c r="M502" t="s">
        <v>78</v>
      </c>
      <c r="N502" t="s">
        <v>79</v>
      </c>
      <c r="O502" t="s">
        <v>74</v>
      </c>
      <c r="P502" t="s">
        <v>74</v>
      </c>
      <c r="Q502" t="s">
        <v>74</v>
      </c>
      <c r="R502" t="s">
        <v>74</v>
      </c>
      <c r="S502" t="s">
        <v>74</v>
      </c>
      <c r="T502" t="s">
        <v>9722</v>
      </c>
      <c r="U502" t="s">
        <v>9723</v>
      </c>
      <c r="V502" t="s">
        <v>9724</v>
      </c>
      <c r="W502" t="s">
        <v>9725</v>
      </c>
      <c r="X502" t="s">
        <v>9726</v>
      </c>
      <c r="Y502" t="s">
        <v>9727</v>
      </c>
      <c r="Z502" t="s">
        <v>9728</v>
      </c>
      <c r="AA502" t="s">
        <v>9729</v>
      </c>
      <c r="AB502" t="s">
        <v>9730</v>
      </c>
      <c r="AC502" t="s">
        <v>9731</v>
      </c>
      <c r="AD502" t="s">
        <v>9731</v>
      </c>
      <c r="AE502" t="s">
        <v>9732</v>
      </c>
      <c r="AF502" t="s">
        <v>74</v>
      </c>
      <c r="AG502">
        <v>71</v>
      </c>
      <c r="AH502">
        <v>16</v>
      </c>
      <c r="AI502">
        <v>17</v>
      </c>
      <c r="AJ502">
        <v>0</v>
      </c>
      <c r="AK502">
        <v>46</v>
      </c>
      <c r="AL502" t="s">
        <v>374</v>
      </c>
      <c r="AM502" t="s">
        <v>93</v>
      </c>
      <c r="AN502" t="s">
        <v>375</v>
      </c>
      <c r="AO502" t="s">
        <v>9733</v>
      </c>
      <c r="AP502" t="s">
        <v>9734</v>
      </c>
      <c r="AQ502" t="s">
        <v>74</v>
      </c>
      <c r="AR502" t="s">
        <v>9735</v>
      </c>
      <c r="AS502" t="s">
        <v>9736</v>
      </c>
      <c r="AT502" t="s">
        <v>8336</v>
      </c>
      <c r="AU502">
        <v>2017</v>
      </c>
      <c r="AV502">
        <v>223</v>
      </c>
      <c r="AW502" t="s">
        <v>74</v>
      </c>
      <c r="AX502" t="s">
        <v>74</v>
      </c>
      <c r="AY502" t="s">
        <v>74</v>
      </c>
      <c r="AZ502" t="s">
        <v>74</v>
      </c>
      <c r="BA502" t="s">
        <v>74</v>
      </c>
      <c r="BB502">
        <v>567</v>
      </c>
      <c r="BC502">
        <v>574</v>
      </c>
      <c r="BD502" t="s">
        <v>74</v>
      </c>
      <c r="BE502" t="s">
        <v>9737</v>
      </c>
      <c r="BF502" t="str">
        <f>HYPERLINK("http://dx.doi.org/10.1016/j.envpol.2017.01.059","http://dx.doi.org/10.1016/j.envpol.2017.01.059")</f>
        <v>http://dx.doi.org/10.1016/j.envpol.2017.01.059</v>
      </c>
      <c r="BG502" t="s">
        <v>74</v>
      </c>
      <c r="BH502" t="s">
        <v>74</v>
      </c>
      <c r="BI502">
        <v>8</v>
      </c>
      <c r="BJ502" t="s">
        <v>2189</v>
      </c>
      <c r="BK502" t="s">
        <v>103</v>
      </c>
      <c r="BL502" t="s">
        <v>993</v>
      </c>
      <c r="BM502" t="s">
        <v>9738</v>
      </c>
      <c r="BN502">
        <v>28159398</v>
      </c>
      <c r="BO502" t="s">
        <v>74</v>
      </c>
      <c r="BP502" t="s">
        <v>74</v>
      </c>
      <c r="BQ502" t="s">
        <v>74</v>
      </c>
      <c r="BR502" t="s">
        <v>106</v>
      </c>
      <c r="BS502" t="s">
        <v>9739</v>
      </c>
      <c r="BT502" t="str">
        <f>HYPERLINK("https%3A%2F%2Fwww.webofscience.com%2Fwos%2Fwoscc%2Ffull-record%2FWOS:000397359500060","View Full Record in Web of Science")</f>
        <v>View Full Record in Web of Science</v>
      </c>
    </row>
    <row r="503" spans="1:72" x14ac:dyDescent="0.15">
      <c r="A503" t="s">
        <v>72</v>
      </c>
      <c r="B503" t="s">
        <v>9740</v>
      </c>
      <c r="C503" t="s">
        <v>74</v>
      </c>
      <c r="D503" t="s">
        <v>74</v>
      </c>
      <c r="E503" t="s">
        <v>74</v>
      </c>
      <c r="F503" t="s">
        <v>9741</v>
      </c>
      <c r="G503" t="s">
        <v>74</v>
      </c>
      <c r="H503" t="s">
        <v>74</v>
      </c>
      <c r="I503" t="s">
        <v>9742</v>
      </c>
      <c r="J503" t="s">
        <v>9743</v>
      </c>
      <c r="K503" t="s">
        <v>74</v>
      </c>
      <c r="L503" t="s">
        <v>74</v>
      </c>
      <c r="M503" t="s">
        <v>78</v>
      </c>
      <c r="N503" t="s">
        <v>79</v>
      </c>
      <c r="O503" t="s">
        <v>74</v>
      </c>
      <c r="P503" t="s">
        <v>74</v>
      </c>
      <c r="Q503" t="s">
        <v>74</v>
      </c>
      <c r="R503" t="s">
        <v>74</v>
      </c>
      <c r="S503" t="s">
        <v>74</v>
      </c>
      <c r="T503" t="s">
        <v>9744</v>
      </c>
      <c r="U503" t="s">
        <v>9745</v>
      </c>
      <c r="V503" t="s">
        <v>9746</v>
      </c>
      <c r="W503" t="s">
        <v>9747</v>
      </c>
      <c r="X503" t="s">
        <v>9748</v>
      </c>
      <c r="Y503" t="s">
        <v>9749</v>
      </c>
      <c r="Z503" t="s">
        <v>9750</v>
      </c>
      <c r="AA503" t="s">
        <v>74</v>
      </c>
      <c r="AB503" t="s">
        <v>74</v>
      </c>
      <c r="AC503" t="s">
        <v>74</v>
      </c>
      <c r="AD503" t="s">
        <v>74</v>
      </c>
      <c r="AE503" t="s">
        <v>74</v>
      </c>
      <c r="AF503" t="s">
        <v>74</v>
      </c>
      <c r="AG503">
        <v>41</v>
      </c>
      <c r="AH503">
        <v>7</v>
      </c>
      <c r="AI503">
        <v>7</v>
      </c>
      <c r="AJ503">
        <v>0</v>
      </c>
      <c r="AK503">
        <v>14</v>
      </c>
      <c r="AL503" t="s">
        <v>681</v>
      </c>
      <c r="AM503" t="s">
        <v>682</v>
      </c>
      <c r="AN503" t="s">
        <v>683</v>
      </c>
      <c r="AO503" t="s">
        <v>9751</v>
      </c>
      <c r="AP503" t="s">
        <v>9752</v>
      </c>
      <c r="AQ503" t="s">
        <v>74</v>
      </c>
      <c r="AR503" t="s">
        <v>9743</v>
      </c>
      <c r="AS503" t="s">
        <v>9753</v>
      </c>
      <c r="AT503" t="s">
        <v>8336</v>
      </c>
      <c r="AU503">
        <v>2017</v>
      </c>
      <c r="AV503">
        <v>159</v>
      </c>
      <c r="AW503">
        <v>2</v>
      </c>
      <c r="AX503" t="s">
        <v>74</v>
      </c>
      <c r="AY503" t="s">
        <v>74</v>
      </c>
      <c r="AZ503" t="s">
        <v>74</v>
      </c>
      <c r="BA503" t="s">
        <v>74</v>
      </c>
      <c r="BB503">
        <v>266</v>
      </c>
      <c r="BC503">
        <v>271</v>
      </c>
      <c r="BD503" t="s">
        <v>74</v>
      </c>
      <c r="BE503" t="s">
        <v>9754</v>
      </c>
      <c r="BF503" t="str">
        <f>HYPERLINK("http://dx.doi.org/10.1111/ibi.12441","http://dx.doi.org/10.1111/ibi.12441")</f>
        <v>http://dx.doi.org/10.1111/ibi.12441</v>
      </c>
      <c r="BG503" t="s">
        <v>74</v>
      </c>
      <c r="BH503" t="s">
        <v>74</v>
      </c>
      <c r="BI503">
        <v>6</v>
      </c>
      <c r="BJ503" t="s">
        <v>554</v>
      </c>
      <c r="BK503" t="s">
        <v>103</v>
      </c>
      <c r="BL503" t="s">
        <v>555</v>
      </c>
      <c r="BM503" t="s">
        <v>9755</v>
      </c>
      <c r="BN503" t="s">
        <v>74</v>
      </c>
      <c r="BO503" t="s">
        <v>74</v>
      </c>
      <c r="BP503" t="s">
        <v>74</v>
      </c>
      <c r="BQ503" t="s">
        <v>74</v>
      </c>
      <c r="BR503" t="s">
        <v>106</v>
      </c>
      <c r="BS503" t="s">
        <v>9756</v>
      </c>
      <c r="BT503" t="str">
        <f>HYPERLINK("https%3A%2F%2Fwww.webofscience.com%2Fwos%2Fwoscc%2Ffull-record%2FWOS:000397939500002","View Full Record in Web of Science")</f>
        <v>View Full Record in Web of Science</v>
      </c>
    </row>
    <row r="504" spans="1:72" x14ac:dyDescent="0.15">
      <c r="A504" t="s">
        <v>72</v>
      </c>
      <c r="B504" t="s">
        <v>9757</v>
      </c>
      <c r="C504" t="s">
        <v>74</v>
      </c>
      <c r="D504" t="s">
        <v>74</v>
      </c>
      <c r="E504" t="s">
        <v>74</v>
      </c>
      <c r="F504" t="s">
        <v>9758</v>
      </c>
      <c r="G504" t="s">
        <v>74</v>
      </c>
      <c r="H504" t="s">
        <v>74</v>
      </c>
      <c r="I504" t="s">
        <v>9759</v>
      </c>
      <c r="J504" t="s">
        <v>9760</v>
      </c>
      <c r="K504" t="s">
        <v>74</v>
      </c>
      <c r="L504" t="s">
        <v>74</v>
      </c>
      <c r="M504" t="s">
        <v>78</v>
      </c>
      <c r="N504" t="s">
        <v>79</v>
      </c>
      <c r="O504" t="s">
        <v>74</v>
      </c>
      <c r="P504" t="s">
        <v>74</v>
      </c>
      <c r="Q504" t="s">
        <v>74</v>
      </c>
      <c r="R504" t="s">
        <v>74</v>
      </c>
      <c r="S504" t="s">
        <v>74</v>
      </c>
      <c r="T504" t="s">
        <v>9761</v>
      </c>
      <c r="U504" t="s">
        <v>9762</v>
      </c>
      <c r="V504" t="s">
        <v>9763</v>
      </c>
      <c r="W504" t="s">
        <v>9764</v>
      </c>
      <c r="X504" t="s">
        <v>9765</v>
      </c>
      <c r="Y504" t="s">
        <v>9766</v>
      </c>
      <c r="Z504" t="s">
        <v>9767</v>
      </c>
      <c r="AA504" t="s">
        <v>9768</v>
      </c>
      <c r="AB504" t="s">
        <v>9769</v>
      </c>
      <c r="AC504" t="s">
        <v>74</v>
      </c>
      <c r="AD504" t="s">
        <v>74</v>
      </c>
      <c r="AE504" t="s">
        <v>74</v>
      </c>
      <c r="AF504" t="s">
        <v>74</v>
      </c>
      <c r="AG504">
        <v>38</v>
      </c>
      <c r="AH504">
        <v>32</v>
      </c>
      <c r="AI504">
        <v>33</v>
      </c>
      <c r="AJ504">
        <v>0</v>
      </c>
      <c r="AK504">
        <v>20</v>
      </c>
      <c r="AL504" t="s">
        <v>9770</v>
      </c>
      <c r="AM504" t="s">
        <v>9771</v>
      </c>
      <c r="AN504" t="s">
        <v>9772</v>
      </c>
      <c r="AO504" t="s">
        <v>9773</v>
      </c>
      <c r="AP504" t="s">
        <v>9774</v>
      </c>
      <c r="AQ504" t="s">
        <v>74</v>
      </c>
      <c r="AR504" t="s">
        <v>9775</v>
      </c>
      <c r="AS504" t="s">
        <v>9776</v>
      </c>
      <c r="AT504" t="s">
        <v>8336</v>
      </c>
      <c r="AU504">
        <v>2017</v>
      </c>
      <c r="AV504">
        <v>122</v>
      </c>
      <c r="AW504">
        <v>4</v>
      </c>
      <c r="AX504" t="s">
        <v>74</v>
      </c>
      <c r="AY504" t="s">
        <v>74</v>
      </c>
      <c r="AZ504" t="s">
        <v>74</v>
      </c>
      <c r="BA504" t="s">
        <v>74</v>
      </c>
      <c r="BB504">
        <v>788</v>
      </c>
      <c r="BC504">
        <v>794</v>
      </c>
      <c r="BD504" t="s">
        <v>74</v>
      </c>
      <c r="BE504" t="s">
        <v>9777</v>
      </c>
      <c r="BF504" t="str">
        <f>HYPERLINK("http://dx.doi.org/10.1152/japplphysiol.00606.2016","http://dx.doi.org/10.1152/japplphysiol.00606.2016")</f>
        <v>http://dx.doi.org/10.1152/japplphysiol.00606.2016</v>
      </c>
      <c r="BG504" t="s">
        <v>74</v>
      </c>
      <c r="BH504" t="s">
        <v>74</v>
      </c>
      <c r="BI504">
        <v>7</v>
      </c>
      <c r="BJ504" t="s">
        <v>9778</v>
      </c>
      <c r="BK504" t="s">
        <v>5266</v>
      </c>
      <c r="BL504" t="s">
        <v>9778</v>
      </c>
      <c r="BM504" t="s">
        <v>9779</v>
      </c>
      <c r="BN504">
        <v>28082331</v>
      </c>
      <c r="BO504" t="s">
        <v>412</v>
      </c>
      <c r="BP504" t="s">
        <v>74</v>
      </c>
      <c r="BQ504" t="s">
        <v>74</v>
      </c>
      <c r="BR504" t="s">
        <v>106</v>
      </c>
      <c r="BS504" t="s">
        <v>9780</v>
      </c>
      <c r="BT504" t="str">
        <f>HYPERLINK("https%3A%2F%2Fwww.webofscience.com%2Fwos%2Fwoscc%2Ffull-record%2FWOS:000398275900006","View Full Record in Web of Science")</f>
        <v>View Full Record in Web of Science</v>
      </c>
    </row>
    <row r="505" spans="1:72" x14ac:dyDescent="0.15">
      <c r="A505" t="s">
        <v>72</v>
      </c>
      <c r="B505" t="s">
        <v>9781</v>
      </c>
      <c r="C505" t="s">
        <v>74</v>
      </c>
      <c r="D505" t="s">
        <v>74</v>
      </c>
      <c r="E505" t="s">
        <v>74</v>
      </c>
      <c r="F505" t="s">
        <v>9782</v>
      </c>
      <c r="G505" t="s">
        <v>74</v>
      </c>
      <c r="H505" t="s">
        <v>74</v>
      </c>
      <c r="I505" t="s">
        <v>9783</v>
      </c>
      <c r="J505" t="s">
        <v>1971</v>
      </c>
      <c r="K505" t="s">
        <v>74</v>
      </c>
      <c r="L505" t="s">
        <v>74</v>
      </c>
      <c r="M505" t="s">
        <v>78</v>
      </c>
      <c r="N505" t="s">
        <v>79</v>
      </c>
      <c r="O505" t="s">
        <v>74</v>
      </c>
      <c r="P505" t="s">
        <v>74</v>
      </c>
      <c r="Q505" t="s">
        <v>74</v>
      </c>
      <c r="R505" t="s">
        <v>74</v>
      </c>
      <c r="S505" t="s">
        <v>74</v>
      </c>
      <c r="T505" t="s">
        <v>9784</v>
      </c>
      <c r="U505" t="s">
        <v>9785</v>
      </c>
      <c r="V505" t="s">
        <v>9786</v>
      </c>
      <c r="W505" t="s">
        <v>9787</v>
      </c>
      <c r="X505" t="s">
        <v>9788</v>
      </c>
      <c r="Y505" t="s">
        <v>9789</v>
      </c>
      <c r="Z505" t="s">
        <v>9790</v>
      </c>
      <c r="AA505" t="s">
        <v>9791</v>
      </c>
      <c r="AB505" t="s">
        <v>9792</v>
      </c>
      <c r="AC505" t="s">
        <v>9793</v>
      </c>
      <c r="AD505" t="s">
        <v>9794</v>
      </c>
      <c r="AE505" t="s">
        <v>9795</v>
      </c>
      <c r="AF505" t="s">
        <v>74</v>
      </c>
      <c r="AG505">
        <v>39</v>
      </c>
      <c r="AH505">
        <v>23</v>
      </c>
      <c r="AI505">
        <v>23</v>
      </c>
      <c r="AJ505">
        <v>0</v>
      </c>
      <c r="AK505">
        <v>15</v>
      </c>
      <c r="AL505" t="s">
        <v>803</v>
      </c>
      <c r="AM505" t="s">
        <v>1984</v>
      </c>
      <c r="AN505" t="s">
        <v>1985</v>
      </c>
      <c r="AO505" t="s">
        <v>1986</v>
      </c>
      <c r="AP505" t="s">
        <v>1987</v>
      </c>
      <c r="AQ505" t="s">
        <v>74</v>
      </c>
      <c r="AR505" t="s">
        <v>1988</v>
      </c>
      <c r="AS505" t="s">
        <v>1989</v>
      </c>
      <c r="AT505" t="s">
        <v>8336</v>
      </c>
      <c r="AU505">
        <v>2017</v>
      </c>
      <c r="AV505">
        <v>63</v>
      </c>
      <c r="AW505">
        <v>238</v>
      </c>
      <c r="AX505" t="s">
        <v>74</v>
      </c>
      <c r="AY505" t="s">
        <v>74</v>
      </c>
      <c r="AZ505" t="s">
        <v>74</v>
      </c>
      <c r="BA505" t="s">
        <v>74</v>
      </c>
      <c r="BB505">
        <v>199</v>
      </c>
      <c r="BC505">
        <v>217</v>
      </c>
      <c r="BD505" t="s">
        <v>74</v>
      </c>
      <c r="BE505" t="s">
        <v>9796</v>
      </c>
      <c r="BF505" t="str">
        <f>HYPERLINK("http://dx.doi.org/10.1017/jog.2016.128","http://dx.doi.org/10.1017/jog.2016.128")</f>
        <v>http://dx.doi.org/10.1017/jog.2016.128</v>
      </c>
      <c r="BG505" t="s">
        <v>74</v>
      </c>
      <c r="BH505" t="s">
        <v>74</v>
      </c>
      <c r="BI505">
        <v>19</v>
      </c>
      <c r="BJ505" t="s">
        <v>1338</v>
      </c>
      <c r="BK505" t="s">
        <v>103</v>
      </c>
      <c r="BL505" t="s">
        <v>1339</v>
      </c>
      <c r="BM505" t="s">
        <v>9797</v>
      </c>
      <c r="BN505" t="s">
        <v>74</v>
      </c>
      <c r="BO505" t="s">
        <v>131</v>
      </c>
      <c r="BP505" t="s">
        <v>74</v>
      </c>
      <c r="BQ505" t="s">
        <v>74</v>
      </c>
      <c r="BR505" t="s">
        <v>106</v>
      </c>
      <c r="BS505" t="s">
        <v>9798</v>
      </c>
      <c r="BT505" t="str">
        <f>HYPERLINK("https%3A%2F%2Fwww.webofscience.com%2Fwos%2Fwoscc%2Ffull-record%2FWOS:000396124800001","View Full Record in Web of Science")</f>
        <v>View Full Record in Web of Science</v>
      </c>
    </row>
    <row r="506" spans="1:72" x14ac:dyDescent="0.15">
      <c r="A506" t="s">
        <v>72</v>
      </c>
      <c r="B506" t="s">
        <v>9799</v>
      </c>
      <c r="C506" t="s">
        <v>74</v>
      </c>
      <c r="D506" t="s">
        <v>74</v>
      </c>
      <c r="E506" t="s">
        <v>74</v>
      </c>
      <c r="F506" t="s">
        <v>9800</v>
      </c>
      <c r="G506" t="s">
        <v>74</v>
      </c>
      <c r="H506" t="s">
        <v>74</v>
      </c>
      <c r="I506" t="s">
        <v>9801</v>
      </c>
      <c r="J506" t="s">
        <v>1971</v>
      </c>
      <c r="K506" t="s">
        <v>74</v>
      </c>
      <c r="L506" t="s">
        <v>74</v>
      </c>
      <c r="M506" t="s">
        <v>78</v>
      </c>
      <c r="N506" t="s">
        <v>79</v>
      </c>
      <c r="O506" t="s">
        <v>74</v>
      </c>
      <c r="P506" t="s">
        <v>74</v>
      </c>
      <c r="Q506" t="s">
        <v>74</v>
      </c>
      <c r="R506" t="s">
        <v>74</v>
      </c>
      <c r="S506" t="s">
        <v>74</v>
      </c>
      <c r="T506" t="s">
        <v>9802</v>
      </c>
      <c r="U506" t="s">
        <v>9803</v>
      </c>
      <c r="V506" t="s">
        <v>9804</v>
      </c>
      <c r="W506" t="s">
        <v>9805</v>
      </c>
      <c r="X506" t="s">
        <v>9806</v>
      </c>
      <c r="Y506" t="s">
        <v>9807</v>
      </c>
      <c r="Z506" t="s">
        <v>9808</v>
      </c>
      <c r="AA506" t="s">
        <v>9809</v>
      </c>
      <c r="AB506" t="s">
        <v>9810</v>
      </c>
      <c r="AC506" t="s">
        <v>9811</v>
      </c>
      <c r="AD506" t="s">
        <v>9812</v>
      </c>
      <c r="AE506" t="s">
        <v>9813</v>
      </c>
      <c r="AF506" t="s">
        <v>74</v>
      </c>
      <c r="AG506">
        <v>73</v>
      </c>
      <c r="AH506">
        <v>58</v>
      </c>
      <c r="AI506">
        <v>62</v>
      </c>
      <c r="AJ506">
        <v>0</v>
      </c>
      <c r="AK506">
        <v>15</v>
      </c>
      <c r="AL506" t="s">
        <v>803</v>
      </c>
      <c r="AM506" t="s">
        <v>1984</v>
      </c>
      <c r="AN506" t="s">
        <v>1985</v>
      </c>
      <c r="AO506" t="s">
        <v>1986</v>
      </c>
      <c r="AP506" t="s">
        <v>1987</v>
      </c>
      <c r="AQ506" t="s">
        <v>74</v>
      </c>
      <c r="AR506" t="s">
        <v>1988</v>
      </c>
      <c r="AS506" t="s">
        <v>1989</v>
      </c>
      <c r="AT506" t="s">
        <v>8336</v>
      </c>
      <c r="AU506">
        <v>2017</v>
      </c>
      <c r="AV506">
        <v>63</v>
      </c>
      <c r="AW506">
        <v>238</v>
      </c>
      <c r="AX506" t="s">
        <v>74</v>
      </c>
      <c r="AY506" t="s">
        <v>74</v>
      </c>
      <c r="AZ506" t="s">
        <v>74</v>
      </c>
      <c r="BA506" t="s">
        <v>74</v>
      </c>
      <c r="BB506">
        <v>229</v>
      </c>
      <c r="BC506">
        <v>248</v>
      </c>
      <c r="BD506" t="s">
        <v>74</v>
      </c>
      <c r="BE506" t="s">
        <v>9814</v>
      </c>
      <c r="BF506" t="str">
        <f>HYPERLINK("http://dx.doi.org/10.1017/jog.2016.135","http://dx.doi.org/10.1017/jog.2016.135")</f>
        <v>http://dx.doi.org/10.1017/jog.2016.135</v>
      </c>
      <c r="BG506" t="s">
        <v>74</v>
      </c>
      <c r="BH506" t="s">
        <v>74</v>
      </c>
      <c r="BI506">
        <v>20</v>
      </c>
      <c r="BJ506" t="s">
        <v>1338</v>
      </c>
      <c r="BK506" t="s">
        <v>103</v>
      </c>
      <c r="BL506" t="s">
        <v>1339</v>
      </c>
      <c r="BM506" t="s">
        <v>9797</v>
      </c>
      <c r="BN506" t="s">
        <v>74</v>
      </c>
      <c r="BO506" t="s">
        <v>131</v>
      </c>
      <c r="BP506" t="s">
        <v>74</v>
      </c>
      <c r="BQ506" t="s">
        <v>74</v>
      </c>
      <c r="BR506" t="s">
        <v>106</v>
      </c>
      <c r="BS506" t="s">
        <v>9815</v>
      </c>
      <c r="BT506" t="str">
        <f>HYPERLINK("https%3A%2F%2Fwww.webofscience.com%2Fwos%2Fwoscc%2Ffull-record%2FWOS:000396124800003","View Full Record in Web of Science")</f>
        <v>View Full Record in Web of Science</v>
      </c>
    </row>
    <row r="507" spans="1:72" x14ac:dyDescent="0.15">
      <c r="A507" t="s">
        <v>72</v>
      </c>
      <c r="B507" t="s">
        <v>9816</v>
      </c>
      <c r="C507" t="s">
        <v>74</v>
      </c>
      <c r="D507" t="s">
        <v>74</v>
      </c>
      <c r="E507" t="s">
        <v>74</v>
      </c>
      <c r="F507" t="s">
        <v>9817</v>
      </c>
      <c r="G507" t="s">
        <v>74</v>
      </c>
      <c r="H507" t="s">
        <v>74</v>
      </c>
      <c r="I507" t="s">
        <v>9818</v>
      </c>
      <c r="J507" t="s">
        <v>9819</v>
      </c>
      <c r="K507" t="s">
        <v>74</v>
      </c>
      <c r="L507" t="s">
        <v>74</v>
      </c>
      <c r="M507" t="s">
        <v>78</v>
      </c>
      <c r="N507" t="s">
        <v>79</v>
      </c>
      <c r="O507" t="s">
        <v>74</v>
      </c>
      <c r="P507" t="s">
        <v>74</v>
      </c>
      <c r="Q507" t="s">
        <v>74</v>
      </c>
      <c r="R507" t="s">
        <v>74</v>
      </c>
      <c r="S507" t="s">
        <v>74</v>
      </c>
      <c r="T507" t="s">
        <v>74</v>
      </c>
      <c r="U507" t="s">
        <v>9820</v>
      </c>
      <c r="V507" t="s">
        <v>74</v>
      </c>
      <c r="W507" t="s">
        <v>9821</v>
      </c>
      <c r="X507" t="s">
        <v>9822</v>
      </c>
      <c r="Y507" t="s">
        <v>9823</v>
      </c>
      <c r="Z507" t="s">
        <v>9824</v>
      </c>
      <c r="AA507" t="s">
        <v>9825</v>
      </c>
      <c r="AB507" t="s">
        <v>9826</v>
      </c>
      <c r="AC507" t="s">
        <v>9827</v>
      </c>
      <c r="AD507" t="s">
        <v>9828</v>
      </c>
      <c r="AE507" t="s">
        <v>9829</v>
      </c>
      <c r="AF507" t="s">
        <v>74</v>
      </c>
      <c r="AG507">
        <v>78</v>
      </c>
      <c r="AH507">
        <v>14</v>
      </c>
      <c r="AI507">
        <v>14</v>
      </c>
      <c r="AJ507">
        <v>0</v>
      </c>
      <c r="AK507">
        <v>13</v>
      </c>
      <c r="AL507" t="s">
        <v>656</v>
      </c>
      <c r="AM507" t="s">
        <v>93</v>
      </c>
      <c r="AN507" t="s">
        <v>657</v>
      </c>
      <c r="AO507" t="s">
        <v>9830</v>
      </c>
      <c r="AP507" t="s">
        <v>74</v>
      </c>
      <c r="AQ507" t="s">
        <v>74</v>
      </c>
      <c r="AR507" t="s">
        <v>9831</v>
      </c>
      <c r="AS507" t="s">
        <v>9832</v>
      </c>
      <c r="AT507" t="s">
        <v>8336</v>
      </c>
      <c r="AU507">
        <v>2017</v>
      </c>
      <c r="AV507">
        <v>75</v>
      </c>
      <c r="AW507" t="s">
        <v>74</v>
      </c>
      <c r="AX507" t="s">
        <v>74</v>
      </c>
      <c r="AY507" t="s">
        <v>74</v>
      </c>
      <c r="AZ507" t="s">
        <v>74</v>
      </c>
      <c r="BA507" t="s">
        <v>74</v>
      </c>
      <c r="BB507">
        <v>134</v>
      </c>
      <c r="BC507">
        <v>143</v>
      </c>
      <c r="BD507" t="s">
        <v>74</v>
      </c>
      <c r="BE507" t="s">
        <v>9833</v>
      </c>
      <c r="BF507" t="str">
        <f>HYPERLINK("http://dx.doi.org/10.1016/j.jsames.2017.02.007","http://dx.doi.org/10.1016/j.jsames.2017.02.007")</f>
        <v>http://dx.doi.org/10.1016/j.jsames.2017.02.007</v>
      </c>
      <c r="BG507" t="s">
        <v>74</v>
      </c>
      <c r="BH507" t="s">
        <v>74</v>
      </c>
      <c r="BI507">
        <v>10</v>
      </c>
      <c r="BJ507" t="s">
        <v>437</v>
      </c>
      <c r="BK507" t="s">
        <v>103</v>
      </c>
      <c r="BL507" t="s">
        <v>438</v>
      </c>
      <c r="BM507" t="s">
        <v>9834</v>
      </c>
      <c r="BN507" t="s">
        <v>74</v>
      </c>
      <c r="BO507" t="s">
        <v>1100</v>
      </c>
      <c r="BP507" t="s">
        <v>74</v>
      </c>
      <c r="BQ507" t="s">
        <v>74</v>
      </c>
      <c r="BR507" t="s">
        <v>106</v>
      </c>
      <c r="BS507" t="s">
        <v>9835</v>
      </c>
      <c r="BT507" t="str">
        <f>HYPERLINK("https%3A%2F%2Fwww.webofscience.com%2Fwos%2Fwoscc%2Ffull-record%2FWOS:000397694500010","View Full Record in Web of Science")</f>
        <v>View Full Record in Web of Science</v>
      </c>
    </row>
    <row r="508" spans="1:72" x14ac:dyDescent="0.15">
      <c r="A508" t="s">
        <v>72</v>
      </c>
      <c r="B508" t="s">
        <v>9836</v>
      </c>
      <c r="C508" t="s">
        <v>74</v>
      </c>
      <c r="D508" t="s">
        <v>74</v>
      </c>
      <c r="E508" t="s">
        <v>74</v>
      </c>
      <c r="F508" t="s">
        <v>9837</v>
      </c>
      <c r="G508" t="s">
        <v>74</v>
      </c>
      <c r="H508" t="s">
        <v>74</v>
      </c>
      <c r="I508" t="s">
        <v>9838</v>
      </c>
      <c r="J508" t="s">
        <v>6054</v>
      </c>
      <c r="K508" t="s">
        <v>74</v>
      </c>
      <c r="L508" t="s">
        <v>74</v>
      </c>
      <c r="M508" t="s">
        <v>78</v>
      </c>
      <c r="N508" t="s">
        <v>79</v>
      </c>
      <c r="O508" t="s">
        <v>74</v>
      </c>
      <c r="P508" t="s">
        <v>74</v>
      </c>
      <c r="Q508" t="s">
        <v>74</v>
      </c>
      <c r="R508" t="s">
        <v>74</v>
      </c>
      <c r="S508" t="s">
        <v>74</v>
      </c>
      <c r="T508" t="s">
        <v>9839</v>
      </c>
      <c r="U508" t="s">
        <v>74</v>
      </c>
      <c r="V508" t="s">
        <v>9840</v>
      </c>
      <c r="W508" t="s">
        <v>9841</v>
      </c>
      <c r="X508" t="s">
        <v>9842</v>
      </c>
      <c r="Y508" t="s">
        <v>9843</v>
      </c>
      <c r="Z508" t="s">
        <v>9844</v>
      </c>
      <c r="AA508" t="s">
        <v>74</v>
      </c>
      <c r="AB508" t="s">
        <v>9845</v>
      </c>
      <c r="AC508" t="s">
        <v>74</v>
      </c>
      <c r="AD508" t="s">
        <v>74</v>
      </c>
      <c r="AE508" t="s">
        <v>74</v>
      </c>
      <c r="AF508" t="s">
        <v>74</v>
      </c>
      <c r="AG508">
        <v>45</v>
      </c>
      <c r="AH508">
        <v>2</v>
      </c>
      <c r="AI508">
        <v>2</v>
      </c>
      <c r="AJ508">
        <v>0</v>
      </c>
      <c r="AK508">
        <v>11</v>
      </c>
      <c r="AL508" t="s">
        <v>374</v>
      </c>
      <c r="AM508" t="s">
        <v>93</v>
      </c>
      <c r="AN508" t="s">
        <v>375</v>
      </c>
      <c r="AO508" t="s">
        <v>6063</v>
      </c>
      <c r="AP508" t="s">
        <v>6064</v>
      </c>
      <c r="AQ508" t="s">
        <v>74</v>
      </c>
      <c r="AR508" t="s">
        <v>6065</v>
      </c>
      <c r="AS508" t="s">
        <v>6066</v>
      </c>
      <c r="AT508" t="s">
        <v>8336</v>
      </c>
      <c r="AU508">
        <v>2017</v>
      </c>
      <c r="AV508">
        <v>78</v>
      </c>
      <c r="AW508" t="s">
        <v>74</v>
      </c>
      <c r="AX508" t="s">
        <v>74</v>
      </c>
      <c r="AY508" t="s">
        <v>74</v>
      </c>
      <c r="AZ508" t="s">
        <v>74</v>
      </c>
      <c r="BA508" t="s">
        <v>74</v>
      </c>
      <c r="BB508">
        <v>1</v>
      </c>
      <c r="BC508">
        <v>10</v>
      </c>
      <c r="BD508" t="s">
        <v>74</v>
      </c>
      <c r="BE508" t="s">
        <v>9846</v>
      </c>
      <c r="BF508" t="str">
        <f>HYPERLINK("http://dx.doi.org/10.1016/j.marpol.2017.01.007","http://dx.doi.org/10.1016/j.marpol.2017.01.007")</f>
        <v>http://dx.doi.org/10.1016/j.marpol.2017.01.007</v>
      </c>
      <c r="BG508" t="s">
        <v>74</v>
      </c>
      <c r="BH508" t="s">
        <v>74</v>
      </c>
      <c r="BI508">
        <v>10</v>
      </c>
      <c r="BJ508" t="s">
        <v>6068</v>
      </c>
      <c r="BK508" t="s">
        <v>3321</v>
      </c>
      <c r="BL508" t="s">
        <v>6069</v>
      </c>
      <c r="BM508" t="s">
        <v>9847</v>
      </c>
      <c r="BN508" t="s">
        <v>74</v>
      </c>
      <c r="BO508" t="s">
        <v>74</v>
      </c>
      <c r="BP508" t="s">
        <v>74</v>
      </c>
      <c r="BQ508" t="s">
        <v>74</v>
      </c>
      <c r="BR508" t="s">
        <v>106</v>
      </c>
      <c r="BS508" t="s">
        <v>9848</v>
      </c>
      <c r="BT508" t="str">
        <f>HYPERLINK("https%3A%2F%2Fwww.webofscience.com%2Fwos%2Fwoscc%2Ffull-record%2FWOS:000397351500001","View Full Record in Web of Science")</f>
        <v>View Full Record in Web of Science</v>
      </c>
    </row>
    <row r="509" spans="1:72" x14ac:dyDescent="0.15">
      <c r="A509" t="s">
        <v>72</v>
      </c>
      <c r="B509" t="s">
        <v>9849</v>
      </c>
      <c r="C509" t="s">
        <v>74</v>
      </c>
      <c r="D509" t="s">
        <v>74</v>
      </c>
      <c r="E509" t="s">
        <v>74</v>
      </c>
      <c r="F509" t="s">
        <v>9850</v>
      </c>
      <c r="G509" t="s">
        <v>74</v>
      </c>
      <c r="H509" t="s">
        <v>74</v>
      </c>
      <c r="I509" t="s">
        <v>9851</v>
      </c>
      <c r="J509" t="s">
        <v>9852</v>
      </c>
      <c r="K509" t="s">
        <v>74</v>
      </c>
      <c r="L509" t="s">
        <v>74</v>
      </c>
      <c r="M509" t="s">
        <v>78</v>
      </c>
      <c r="N509" t="s">
        <v>79</v>
      </c>
      <c r="O509" t="s">
        <v>74</v>
      </c>
      <c r="P509" t="s">
        <v>74</v>
      </c>
      <c r="Q509" t="s">
        <v>74</v>
      </c>
      <c r="R509" t="s">
        <v>74</v>
      </c>
      <c r="S509" t="s">
        <v>74</v>
      </c>
      <c r="T509" t="s">
        <v>9853</v>
      </c>
      <c r="U509" t="s">
        <v>9854</v>
      </c>
      <c r="V509" t="s">
        <v>9855</v>
      </c>
      <c r="W509" t="s">
        <v>9856</v>
      </c>
      <c r="X509" t="s">
        <v>9857</v>
      </c>
      <c r="Y509" t="s">
        <v>9858</v>
      </c>
      <c r="Z509" t="s">
        <v>9859</v>
      </c>
      <c r="AA509" t="s">
        <v>9860</v>
      </c>
      <c r="AB509" t="s">
        <v>9861</v>
      </c>
      <c r="AC509" t="s">
        <v>9862</v>
      </c>
      <c r="AD509" t="s">
        <v>9863</v>
      </c>
      <c r="AE509" t="s">
        <v>9864</v>
      </c>
      <c r="AF509" t="s">
        <v>74</v>
      </c>
      <c r="AG509">
        <v>50</v>
      </c>
      <c r="AH509">
        <v>17</v>
      </c>
      <c r="AI509">
        <v>19</v>
      </c>
      <c r="AJ509">
        <v>1</v>
      </c>
      <c r="AK509">
        <v>42</v>
      </c>
      <c r="AL509" t="s">
        <v>986</v>
      </c>
      <c r="AM509" t="s">
        <v>1191</v>
      </c>
      <c r="AN509" t="s">
        <v>1192</v>
      </c>
      <c r="AO509" t="s">
        <v>9865</v>
      </c>
      <c r="AP509" t="s">
        <v>9866</v>
      </c>
      <c r="AQ509" t="s">
        <v>74</v>
      </c>
      <c r="AR509" t="s">
        <v>9867</v>
      </c>
      <c r="AS509" t="s">
        <v>9868</v>
      </c>
      <c r="AT509" t="s">
        <v>8336</v>
      </c>
      <c r="AU509">
        <v>2017</v>
      </c>
      <c r="AV509">
        <v>81</v>
      </c>
      <c r="AW509">
        <v>3</v>
      </c>
      <c r="AX509" t="s">
        <v>74</v>
      </c>
      <c r="AY509" t="s">
        <v>74</v>
      </c>
      <c r="AZ509" t="s">
        <v>74</v>
      </c>
      <c r="BA509" t="s">
        <v>74</v>
      </c>
      <c r="BB509">
        <v>409</v>
      </c>
      <c r="BC509">
        <v>418</v>
      </c>
      <c r="BD509" t="s">
        <v>74</v>
      </c>
      <c r="BE509" t="s">
        <v>9869</v>
      </c>
      <c r="BF509" t="str">
        <f>HYPERLINK("http://dx.doi.org/10.1007/s10725-016-0217-4","http://dx.doi.org/10.1007/s10725-016-0217-4")</f>
        <v>http://dx.doi.org/10.1007/s10725-016-0217-4</v>
      </c>
      <c r="BG509" t="s">
        <v>74</v>
      </c>
      <c r="BH509" t="s">
        <v>74</v>
      </c>
      <c r="BI509">
        <v>10</v>
      </c>
      <c r="BJ509" t="s">
        <v>102</v>
      </c>
      <c r="BK509" t="s">
        <v>103</v>
      </c>
      <c r="BL509" t="s">
        <v>102</v>
      </c>
      <c r="BM509" t="s">
        <v>9870</v>
      </c>
      <c r="BN509" t="s">
        <v>74</v>
      </c>
      <c r="BO509" t="s">
        <v>74</v>
      </c>
      <c r="BP509" t="s">
        <v>74</v>
      </c>
      <c r="BQ509" t="s">
        <v>74</v>
      </c>
      <c r="BR509" t="s">
        <v>106</v>
      </c>
      <c r="BS509" t="s">
        <v>9871</v>
      </c>
      <c r="BT509" t="str">
        <f>HYPERLINK("https%3A%2F%2Fwww.webofscience.com%2Fwos%2Fwoscc%2Ffull-record%2FWOS:000398582200005","View Full Record in Web of Science")</f>
        <v>View Full Record in Web of Science</v>
      </c>
    </row>
    <row r="510" spans="1:72" x14ac:dyDescent="0.15">
      <c r="A510" t="s">
        <v>72</v>
      </c>
      <c r="B510" t="s">
        <v>9872</v>
      </c>
      <c r="C510" t="s">
        <v>74</v>
      </c>
      <c r="D510" t="s">
        <v>74</v>
      </c>
      <c r="E510" t="s">
        <v>74</v>
      </c>
      <c r="F510" t="s">
        <v>9873</v>
      </c>
      <c r="G510" t="s">
        <v>74</v>
      </c>
      <c r="H510" t="s">
        <v>74</v>
      </c>
      <c r="I510" t="s">
        <v>9874</v>
      </c>
      <c r="J510" t="s">
        <v>1000</v>
      </c>
      <c r="K510" t="s">
        <v>74</v>
      </c>
      <c r="L510" t="s">
        <v>74</v>
      </c>
      <c r="M510" t="s">
        <v>78</v>
      </c>
      <c r="N510" t="s">
        <v>79</v>
      </c>
      <c r="O510" t="s">
        <v>74</v>
      </c>
      <c r="P510" t="s">
        <v>74</v>
      </c>
      <c r="Q510" t="s">
        <v>74</v>
      </c>
      <c r="R510" t="s">
        <v>74</v>
      </c>
      <c r="S510" t="s">
        <v>74</v>
      </c>
      <c r="T510" t="s">
        <v>9875</v>
      </c>
      <c r="U510" t="s">
        <v>9876</v>
      </c>
      <c r="V510" t="s">
        <v>9877</v>
      </c>
      <c r="W510" t="s">
        <v>9878</v>
      </c>
      <c r="X510" t="s">
        <v>9879</v>
      </c>
      <c r="Y510" t="s">
        <v>9880</v>
      </c>
      <c r="Z510" t="s">
        <v>9881</v>
      </c>
      <c r="AA510" t="s">
        <v>9882</v>
      </c>
      <c r="AB510" t="s">
        <v>9883</v>
      </c>
      <c r="AC510" t="s">
        <v>9884</v>
      </c>
      <c r="AD510" t="s">
        <v>9885</v>
      </c>
      <c r="AE510" t="s">
        <v>9886</v>
      </c>
      <c r="AF510" t="s">
        <v>74</v>
      </c>
      <c r="AG510">
        <v>101</v>
      </c>
      <c r="AH510">
        <v>5</v>
      </c>
      <c r="AI510">
        <v>5</v>
      </c>
      <c r="AJ510">
        <v>0</v>
      </c>
      <c r="AK510">
        <v>28</v>
      </c>
      <c r="AL510" t="s">
        <v>986</v>
      </c>
      <c r="AM510" t="s">
        <v>430</v>
      </c>
      <c r="AN510" t="s">
        <v>987</v>
      </c>
      <c r="AO510" t="s">
        <v>1013</v>
      </c>
      <c r="AP510" t="s">
        <v>1014</v>
      </c>
      <c r="AQ510" t="s">
        <v>74</v>
      </c>
      <c r="AR510" t="s">
        <v>1015</v>
      </c>
      <c r="AS510" t="s">
        <v>1016</v>
      </c>
      <c r="AT510" t="s">
        <v>8336</v>
      </c>
      <c r="AU510">
        <v>2017</v>
      </c>
      <c r="AV510">
        <v>40</v>
      </c>
      <c r="AW510">
        <v>4</v>
      </c>
      <c r="AX510" t="s">
        <v>74</v>
      </c>
      <c r="AY510" t="s">
        <v>74</v>
      </c>
      <c r="AZ510" t="s">
        <v>74</v>
      </c>
      <c r="BA510" t="s">
        <v>74</v>
      </c>
      <c r="BB510">
        <v>787</v>
      </c>
      <c r="BC510">
        <v>797</v>
      </c>
      <c r="BD510" t="s">
        <v>74</v>
      </c>
      <c r="BE510" t="s">
        <v>9887</v>
      </c>
      <c r="BF510" t="str">
        <f>HYPERLINK("http://dx.doi.org/10.1007/s00300-016-2001-3","http://dx.doi.org/10.1007/s00300-016-2001-3")</f>
        <v>http://dx.doi.org/10.1007/s00300-016-2001-3</v>
      </c>
      <c r="BG510" t="s">
        <v>74</v>
      </c>
      <c r="BH510" t="s">
        <v>74</v>
      </c>
      <c r="BI510">
        <v>11</v>
      </c>
      <c r="BJ510" t="s">
        <v>1018</v>
      </c>
      <c r="BK510" t="s">
        <v>103</v>
      </c>
      <c r="BL510" t="s">
        <v>326</v>
      </c>
      <c r="BM510" t="s">
        <v>9888</v>
      </c>
      <c r="BN510" t="s">
        <v>74</v>
      </c>
      <c r="BO510" t="s">
        <v>74</v>
      </c>
      <c r="BP510" t="s">
        <v>74</v>
      </c>
      <c r="BQ510" t="s">
        <v>74</v>
      </c>
      <c r="BR510" t="s">
        <v>106</v>
      </c>
      <c r="BS510" t="s">
        <v>9889</v>
      </c>
      <c r="BT510" t="str">
        <f>HYPERLINK("https%3A%2F%2Fwww.webofscience.com%2Fwos%2Fwoscc%2Ffull-record%2FWOS:000398176500005","View Full Record in Web of Science")</f>
        <v>View Full Record in Web of Science</v>
      </c>
    </row>
    <row r="511" spans="1:72" x14ac:dyDescent="0.15">
      <c r="A511" t="s">
        <v>72</v>
      </c>
      <c r="B511" t="s">
        <v>9890</v>
      </c>
      <c r="C511" t="s">
        <v>74</v>
      </c>
      <c r="D511" t="s">
        <v>74</v>
      </c>
      <c r="E511" t="s">
        <v>74</v>
      </c>
      <c r="F511" t="s">
        <v>9891</v>
      </c>
      <c r="G511" t="s">
        <v>74</v>
      </c>
      <c r="H511" t="s">
        <v>74</v>
      </c>
      <c r="I511" t="s">
        <v>9892</v>
      </c>
      <c r="J511" t="s">
        <v>1000</v>
      </c>
      <c r="K511" t="s">
        <v>74</v>
      </c>
      <c r="L511" t="s">
        <v>74</v>
      </c>
      <c r="M511" t="s">
        <v>78</v>
      </c>
      <c r="N511" t="s">
        <v>79</v>
      </c>
      <c r="O511" t="s">
        <v>74</v>
      </c>
      <c r="P511" t="s">
        <v>74</v>
      </c>
      <c r="Q511" t="s">
        <v>74</v>
      </c>
      <c r="R511" t="s">
        <v>74</v>
      </c>
      <c r="S511" t="s">
        <v>74</v>
      </c>
      <c r="T511" t="s">
        <v>9893</v>
      </c>
      <c r="U511" t="s">
        <v>9894</v>
      </c>
      <c r="V511" t="s">
        <v>9895</v>
      </c>
      <c r="W511" t="s">
        <v>9896</v>
      </c>
      <c r="X511" t="s">
        <v>9897</v>
      </c>
      <c r="Y511" t="s">
        <v>9898</v>
      </c>
      <c r="Z511" t="s">
        <v>9899</v>
      </c>
      <c r="AA511" t="s">
        <v>9900</v>
      </c>
      <c r="AB511" t="s">
        <v>9901</v>
      </c>
      <c r="AC511" t="s">
        <v>9902</v>
      </c>
      <c r="AD511" t="s">
        <v>9903</v>
      </c>
      <c r="AE511" t="s">
        <v>9904</v>
      </c>
      <c r="AF511" t="s">
        <v>74</v>
      </c>
      <c r="AG511">
        <v>47</v>
      </c>
      <c r="AH511">
        <v>5</v>
      </c>
      <c r="AI511">
        <v>6</v>
      </c>
      <c r="AJ511">
        <v>0</v>
      </c>
      <c r="AK511">
        <v>20</v>
      </c>
      <c r="AL511" t="s">
        <v>986</v>
      </c>
      <c r="AM511" t="s">
        <v>430</v>
      </c>
      <c r="AN511" t="s">
        <v>987</v>
      </c>
      <c r="AO511" t="s">
        <v>1013</v>
      </c>
      <c r="AP511" t="s">
        <v>1014</v>
      </c>
      <c r="AQ511" t="s">
        <v>74</v>
      </c>
      <c r="AR511" t="s">
        <v>1015</v>
      </c>
      <c r="AS511" t="s">
        <v>1016</v>
      </c>
      <c r="AT511" t="s">
        <v>8336</v>
      </c>
      <c r="AU511">
        <v>2017</v>
      </c>
      <c r="AV511">
        <v>40</v>
      </c>
      <c r="AW511">
        <v>4</v>
      </c>
      <c r="AX511" t="s">
        <v>74</v>
      </c>
      <c r="AY511" t="s">
        <v>74</v>
      </c>
      <c r="AZ511" t="s">
        <v>74</v>
      </c>
      <c r="BA511" t="s">
        <v>74</v>
      </c>
      <c r="BB511">
        <v>837</v>
      </c>
      <c r="BC511">
        <v>851</v>
      </c>
      <c r="BD511" t="s">
        <v>74</v>
      </c>
      <c r="BE511" t="s">
        <v>9905</v>
      </c>
      <c r="BF511" t="str">
        <f>HYPERLINK("http://dx.doi.org/10.1007/s00300-016-2009-8","http://dx.doi.org/10.1007/s00300-016-2009-8")</f>
        <v>http://dx.doi.org/10.1007/s00300-016-2009-8</v>
      </c>
      <c r="BG511" t="s">
        <v>74</v>
      </c>
      <c r="BH511" t="s">
        <v>74</v>
      </c>
      <c r="BI511">
        <v>15</v>
      </c>
      <c r="BJ511" t="s">
        <v>1018</v>
      </c>
      <c r="BK511" t="s">
        <v>103</v>
      </c>
      <c r="BL511" t="s">
        <v>326</v>
      </c>
      <c r="BM511" t="s">
        <v>9888</v>
      </c>
      <c r="BN511" t="s">
        <v>74</v>
      </c>
      <c r="BO511" t="s">
        <v>74</v>
      </c>
      <c r="BP511" t="s">
        <v>74</v>
      </c>
      <c r="BQ511" t="s">
        <v>74</v>
      </c>
      <c r="BR511" t="s">
        <v>106</v>
      </c>
      <c r="BS511" t="s">
        <v>9906</v>
      </c>
      <c r="BT511" t="str">
        <f>HYPERLINK("https%3A%2F%2Fwww.webofscience.com%2Fwos%2Fwoscc%2Ffull-record%2FWOS:000398176500009","View Full Record in Web of Science")</f>
        <v>View Full Record in Web of Science</v>
      </c>
    </row>
    <row r="512" spans="1:72" x14ac:dyDescent="0.15">
      <c r="A512" t="s">
        <v>72</v>
      </c>
      <c r="B512" t="s">
        <v>9907</v>
      </c>
      <c r="C512" t="s">
        <v>74</v>
      </c>
      <c r="D512" t="s">
        <v>74</v>
      </c>
      <c r="E512" t="s">
        <v>74</v>
      </c>
      <c r="F512" t="s">
        <v>9908</v>
      </c>
      <c r="G512" t="s">
        <v>74</v>
      </c>
      <c r="H512" t="s">
        <v>74</v>
      </c>
      <c r="I512" t="s">
        <v>9909</v>
      </c>
      <c r="J512" t="s">
        <v>1000</v>
      </c>
      <c r="K512" t="s">
        <v>74</v>
      </c>
      <c r="L512" t="s">
        <v>74</v>
      </c>
      <c r="M512" t="s">
        <v>78</v>
      </c>
      <c r="N512" t="s">
        <v>79</v>
      </c>
      <c r="O512" t="s">
        <v>74</v>
      </c>
      <c r="P512" t="s">
        <v>74</v>
      </c>
      <c r="Q512" t="s">
        <v>74</v>
      </c>
      <c r="R512" t="s">
        <v>74</v>
      </c>
      <c r="S512" t="s">
        <v>74</v>
      </c>
      <c r="T512" t="s">
        <v>9910</v>
      </c>
      <c r="U512" t="s">
        <v>9911</v>
      </c>
      <c r="V512" t="s">
        <v>9912</v>
      </c>
      <c r="W512" t="s">
        <v>9913</v>
      </c>
      <c r="X512" t="s">
        <v>9914</v>
      </c>
      <c r="Y512" t="s">
        <v>9915</v>
      </c>
      <c r="Z512" t="s">
        <v>9916</v>
      </c>
      <c r="AA512" t="s">
        <v>9917</v>
      </c>
      <c r="AB512" t="s">
        <v>9918</v>
      </c>
      <c r="AC512" t="s">
        <v>9919</v>
      </c>
      <c r="AD512" t="s">
        <v>9920</v>
      </c>
      <c r="AE512" t="s">
        <v>9921</v>
      </c>
      <c r="AF512" t="s">
        <v>74</v>
      </c>
      <c r="AG512">
        <v>112</v>
      </c>
      <c r="AH512">
        <v>9</v>
      </c>
      <c r="AI512">
        <v>9</v>
      </c>
      <c r="AJ512">
        <v>0</v>
      </c>
      <c r="AK512">
        <v>4</v>
      </c>
      <c r="AL512" t="s">
        <v>986</v>
      </c>
      <c r="AM512" t="s">
        <v>430</v>
      </c>
      <c r="AN512" t="s">
        <v>987</v>
      </c>
      <c r="AO512" t="s">
        <v>1013</v>
      </c>
      <c r="AP512" t="s">
        <v>1014</v>
      </c>
      <c r="AQ512" t="s">
        <v>74</v>
      </c>
      <c r="AR512" t="s">
        <v>1015</v>
      </c>
      <c r="AS512" t="s">
        <v>1016</v>
      </c>
      <c r="AT512" t="s">
        <v>8336</v>
      </c>
      <c r="AU512">
        <v>2017</v>
      </c>
      <c r="AV512">
        <v>40</v>
      </c>
      <c r="AW512">
        <v>4</v>
      </c>
      <c r="AX512" t="s">
        <v>74</v>
      </c>
      <c r="AY512" t="s">
        <v>74</v>
      </c>
      <c r="AZ512" t="s">
        <v>74</v>
      </c>
      <c r="BA512" t="s">
        <v>74</v>
      </c>
      <c r="BB512">
        <v>863</v>
      </c>
      <c r="BC512">
        <v>872</v>
      </c>
      <c r="BD512" t="s">
        <v>74</v>
      </c>
      <c r="BE512" t="s">
        <v>9922</v>
      </c>
      <c r="BF512" t="str">
        <f>HYPERLINK("http://dx.doi.org/10.1007/s00300-016-2013-z","http://dx.doi.org/10.1007/s00300-016-2013-z")</f>
        <v>http://dx.doi.org/10.1007/s00300-016-2013-z</v>
      </c>
      <c r="BG512" t="s">
        <v>74</v>
      </c>
      <c r="BH512" t="s">
        <v>74</v>
      </c>
      <c r="BI512">
        <v>10</v>
      </c>
      <c r="BJ512" t="s">
        <v>1018</v>
      </c>
      <c r="BK512" t="s">
        <v>103</v>
      </c>
      <c r="BL512" t="s">
        <v>326</v>
      </c>
      <c r="BM512" t="s">
        <v>9888</v>
      </c>
      <c r="BN512" t="s">
        <v>74</v>
      </c>
      <c r="BO512" t="s">
        <v>1538</v>
      </c>
      <c r="BP512" t="s">
        <v>74</v>
      </c>
      <c r="BQ512" t="s">
        <v>74</v>
      </c>
      <c r="BR512" t="s">
        <v>106</v>
      </c>
      <c r="BS512" t="s">
        <v>9923</v>
      </c>
      <c r="BT512" t="str">
        <f>HYPERLINK("https%3A%2F%2Fwww.webofscience.com%2Fwos%2Fwoscc%2Ffull-record%2FWOS:000398176500011","View Full Record in Web of Science")</f>
        <v>View Full Record in Web of Science</v>
      </c>
    </row>
    <row r="513" spans="1:72" x14ac:dyDescent="0.15">
      <c r="A513" t="s">
        <v>72</v>
      </c>
      <c r="B513" t="s">
        <v>9924</v>
      </c>
      <c r="C513" t="s">
        <v>74</v>
      </c>
      <c r="D513" t="s">
        <v>74</v>
      </c>
      <c r="E513" t="s">
        <v>74</v>
      </c>
      <c r="F513" t="s">
        <v>9925</v>
      </c>
      <c r="G513" t="s">
        <v>74</v>
      </c>
      <c r="H513" t="s">
        <v>74</v>
      </c>
      <c r="I513" t="s">
        <v>9926</v>
      </c>
      <c r="J513" t="s">
        <v>1000</v>
      </c>
      <c r="K513" t="s">
        <v>74</v>
      </c>
      <c r="L513" t="s">
        <v>74</v>
      </c>
      <c r="M513" t="s">
        <v>78</v>
      </c>
      <c r="N513" t="s">
        <v>79</v>
      </c>
      <c r="O513" t="s">
        <v>74</v>
      </c>
      <c r="P513" t="s">
        <v>74</v>
      </c>
      <c r="Q513" t="s">
        <v>74</v>
      </c>
      <c r="R513" t="s">
        <v>74</v>
      </c>
      <c r="S513" t="s">
        <v>74</v>
      </c>
      <c r="T513" t="s">
        <v>9927</v>
      </c>
      <c r="U513" t="s">
        <v>9928</v>
      </c>
      <c r="V513" t="s">
        <v>9929</v>
      </c>
      <c r="W513" t="s">
        <v>9930</v>
      </c>
      <c r="X513" t="s">
        <v>9931</v>
      </c>
      <c r="Y513" t="s">
        <v>9932</v>
      </c>
      <c r="Z513" t="s">
        <v>9933</v>
      </c>
      <c r="AA513" t="s">
        <v>9934</v>
      </c>
      <c r="AB513" t="s">
        <v>9935</v>
      </c>
      <c r="AC513" t="s">
        <v>9936</v>
      </c>
      <c r="AD513" t="s">
        <v>9937</v>
      </c>
      <c r="AE513" t="s">
        <v>9938</v>
      </c>
      <c r="AF513" t="s">
        <v>74</v>
      </c>
      <c r="AG513">
        <v>65</v>
      </c>
      <c r="AH513">
        <v>5</v>
      </c>
      <c r="AI513">
        <v>6</v>
      </c>
      <c r="AJ513">
        <v>0</v>
      </c>
      <c r="AK513">
        <v>2</v>
      </c>
      <c r="AL513" t="s">
        <v>986</v>
      </c>
      <c r="AM513" t="s">
        <v>430</v>
      </c>
      <c r="AN513" t="s">
        <v>987</v>
      </c>
      <c r="AO513" t="s">
        <v>1013</v>
      </c>
      <c r="AP513" t="s">
        <v>1014</v>
      </c>
      <c r="AQ513" t="s">
        <v>74</v>
      </c>
      <c r="AR513" t="s">
        <v>1015</v>
      </c>
      <c r="AS513" t="s">
        <v>1016</v>
      </c>
      <c r="AT513" t="s">
        <v>8336</v>
      </c>
      <c r="AU513">
        <v>2017</v>
      </c>
      <c r="AV513">
        <v>40</v>
      </c>
      <c r="AW513">
        <v>4</v>
      </c>
      <c r="AX513" t="s">
        <v>74</v>
      </c>
      <c r="AY513" t="s">
        <v>74</v>
      </c>
      <c r="AZ513" t="s">
        <v>74</v>
      </c>
      <c r="BA513" t="s">
        <v>74</v>
      </c>
      <c r="BB513">
        <v>891</v>
      </c>
      <c r="BC513">
        <v>901</v>
      </c>
      <c r="BD513" t="s">
        <v>74</v>
      </c>
      <c r="BE513" t="s">
        <v>9939</v>
      </c>
      <c r="BF513" t="str">
        <f>HYPERLINK("http://dx.doi.org/10.1007/s00300-016-2016-9","http://dx.doi.org/10.1007/s00300-016-2016-9")</f>
        <v>http://dx.doi.org/10.1007/s00300-016-2016-9</v>
      </c>
      <c r="BG513" t="s">
        <v>74</v>
      </c>
      <c r="BH513" t="s">
        <v>74</v>
      </c>
      <c r="BI513">
        <v>11</v>
      </c>
      <c r="BJ513" t="s">
        <v>1018</v>
      </c>
      <c r="BK513" t="s">
        <v>103</v>
      </c>
      <c r="BL513" t="s">
        <v>326</v>
      </c>
      <c r="BM513" t="s">
        <v>9888</v>
      </c>
      <c r="BN513" t="s">
        <v>74</v>
      </c>
      <c r="BO513" t="s">
        <v>74</v>
      </c>
      <c r="BP513" t="s">
        <v>74</v>
      </c>
      <c r="BQ513" t="s">
        <v>74</v>
      </c>
      <c r="BR513" t="s">
        <v>106</v>
      </c>
      <c r="BS513" t="s">
        <v>9940</v>
      </c>
      <c r="BT513" t="str">
        <f>HYPERLINK("https%3A%2F%2Fwww.webofscience.com%2Fwos%2Fwoscc%2Ffull-record%2FWOS:000398176500013","View Full Record in Web of Science")</f>
        <v>View Full Record in Web of Science</v>
      </c>
    </row>
    <row r="514" spans="1:72" x14ac:dyDescent="0.15">
      <c r="A514" t="s">
        <v>72</v>
      </c>
      <c r="B514" t="s">
        <v>9941</v>
      </c>
      <c r="C514" t="s">
        <v>74</v>
      </c>
      <c r="D514" t="s">
        <v>74</v>
      </c>
      <c r="E514" t="s">
        <v>74</v>
      </c>
      <c r="F514" t="s">
        <v>9942</v>
      </c>
      <c r="G514" t="s">
        <v>74</v>
      </c>
      <c r="H514" t="s">
        <v>74</v>
      </c>
      <c r="I514" t="s">
        <v>9943</v>
      </c>
      <c r="J514" t="s">
        <v>1000</v>
      </c>
      <c r="K514" t="s">
        <v>74</v>
      </c>
      <c r="L514" t="s">
        <v>74</v>
      </c>
      <c r="M514" t="s">
        <v>78</v>
      </c>
      <c r="N514" t="s">
        <v>79</v>
      </c>
      <c r="O514" t="s">
        <v>74</v>
      </c>
      <c r="P514" t="s">
        <v>74</v>
      </c>
      <c r="Q514" t="s">
        <v>74</v>
      </c>
      <c r="R514" t="s">
        <v>74</v>
      </c>
      <c r="S514" t="s">
        <v>74</v>
      </c>
      <c r="T514" t="s">
        <v>9944</v>
      </c>
      <c r="U514" t="s">
        <v>9945</v>
      </c>
      <c r="V514" t="s">
        <v>9946</v>
      </c>
      <c r="W514" t="s">
        <v>9947</v>
      </c>
      <c r="X514" t="s">
        <v>9948</v>
      </c>
      <c r="Y514" t="s">
        <v>9949</v>
      </c>
      <c r="Z514" t="s">
        <v>9950</v>
      </c>
      <c r="AA514" t="s">
        <v>9951</v>
      </c>
      <c r="AB514" t="s">
        <v>9952</v>
      </c>
      <c r="AC514" t="s">
        <v>9953</v>
      </c>
      <c r="AD514" t="s">
        <v>9954</v>
      </c>
      <c r="AE514" t="s">
        <v>9955</v>
      </c>
      <c r="AF514" t="s">
        <v>74</v>
      </c>
      <c r="AG514">
        <v>41</v>
      </c>
      <c r="AH514">
        <v>20</v>
      </c>
      <c r="AI514">
        <v>21</v>
      </c>
      <c r="AJ514">
        <v>2</v>
      </c>
      <c r="AK514">
        <v>26</v>
      </c>
      <c r="AL514" t="s">
        <v>986</v>
      </c>
      <c r="AM514" t="s">
        <v>430</v>
      </c>
      <c r="AN514" t="s">
        <v>1663</v>
      </c>
      <c r="AO514" t="s">
        <v>1013</v>
      </c>
      <c r="AP514" t="s">
        <v>1014</v>
      </c>
      <c r="AQ514" t="s">
        <v>74</v>
      </c>
      <c r="AR514" t="s">
        <v>1015</v>
      </c>
      <c r="AS514" t="s">
        <v>1016</v>
      </c>
      <c r="AT514" t="s">
        <v>8336</v>
      </c>
      <c r="AU514">
        <v>2017</v>
      </c>
      <c r="AV514">
        <v>40</v>
      </c>
      <c r="AW514">
        <v>4</v>
      </c>
      <c r="AX514" t="s">
        <v>74</v>
      </c>
      <c r="AY514" t="s">
        <v>74</v>
      </c>
      <c r="AZ514" t="s">
        <v>74</v>
      </c>
      <c r="BA514" t="s">
        <v>74</v>
      </c>
      <c r="BB514">
        <v>947</v>
      </c>
      <c r="BC514">
        <v>953</v>
      </c>
      <c r="BD514" t="s">
        <v>74</v>
      </c>
      <c r="BE514" t="s">
        <v>9956</v>
      </c>
      <c r="BF514" t="str">
        <f>HYPERLINK("http://dx.doi.org/10.1007/s00300-016-2012-0","http://dx.doi.org/10.1007/s00300-016-2012-0")</f>
        <v>http://dx.doi.org/10.1007/s00300-016-2012-0</v>
      </c>
      <c r="BG514" t="s">
        <v>74</v>
      </c>
      <c r="BH514" t="s">
        <v>74</v>
      </c>
      <c r="BI514">
        <v>7</v>
      </c>
      <c r="BJ514" t="s">
        <v>1018</v>
      </c>
      <c r="BK514" t="s">
        <v>103</v>
      </c>
      <c r="BL514" t="s">
        <v>326</v>
      </c>
      <c r="BM514" t="s">
        <v>9888</v>
      </c>
      <c r="BN514" t="s">
        <v>74</v>
      </c>
      <c r="BO514" t="s">
        <v>74</v>
      </c>
      <c r="BP514" t="s">
        <v>74</v>
      </c>
      <c r="BQ514" t="s">
        <v>74</v>
      </c>
      <c r="BR514" t="s">
        <v>106</v>
      </c>
      <c r="BS514" t="s">
        <v>9957</v>
      </c>
      <c r="BT514" t="str">
        <f>HYPERLINK("https%3A%2F%2Fwww.webofscience.com%2Fwos%2Fwoscc%2Ffull-record%2FWOS:000398176500018","View Full Record in Web of Science")</f>
        <v>View Full Record in Web of Science</v>
      </c>
    </row>
    <row r="515" spans="1:72" x14ac:dyDescent="0.15">
      <c r="A515" t="s">
        <v>72</v>
      </c>
      <c r="B515" t="s">
        <v>9958</v>
      </c>
      <c r="C515" t="s">
        <v>74</v>
      </c>
      <c r="D515" t="s">
        <v>74</v>
      </c>
      <c r="E515" t="s">
        <v>74</v>
      </c>
      <c r="F515" t="s">
        <v>9959</v>
      </c>
      <c r="G515" t="s">
        <v>74</v>
      </c>
      <c r="H515" t="s">
        <v>74</v>
      </c>
      <c r="I515" t="s">
        <v>9960</v>
      </c>
      <c r="J515" t="s">
        <v>9961</v>
      </c>
      <c r="K515" t="s">
        <v>74</v>
      </c>
      <c r="L515" t="s">
        <v>74</v>
      </c>
      <c r="M515" t="s">
        <v>78</v>
      </c>
      <c r="N515" t="s">
        <v>79</v>
      </c>
      <c r="O515" t="s">
        <v>74</v>
      </c>
      <c r="P515" t="s">
        <v>74</v>
      </c>
      <c r="Q515" t="s">
        <v>74</v>
      </c>
      <c r="R515" t="s">
        <v>74</v>
      </c>
      <c r="S515" t="s">
        <v>74</v>
      </c>
      <c r="T515" t="s">
        <v>9962</v>
      </c>
      <c r="U515" t="s">
        <v>9963</v>
      </c>
      <c r="V515" t="s">
        <v>9964</v>
      </c>
      <c r="W515" t="s">
        <v>9965</v>
      </c>
      <c r="X515" t="s">
        <v>9966</v>
      </c>
      <c r="Y515" t="s">
        <v>9967</v>
      </c>
      <c r="Z515" t="s">
        <v>9968</v>
      </c>
      <c r="AA515" t="s">
        <v>9969</v>
      </c>
      <c r="AB515" t="s">
        <v>9970</v>
      </c>
      <c r="AC515" t="s">
        <v>9971</v>
      </c>
      <c r="AD515" t="s">
        <v>9972</v>
      </c>
      <c r="AE515" t="s">
        <v>9973</v>
      </c>
      <c r="AF515" t="s">
        <v>74</v>
      </c>
      <c r="AG515">
        <v>12</v>
      </c>
      <c r="AH515">
        <v>8</v>
      </c>
      <c r="AI515">
        <v>8</v>
      </c>
      <c r="AJ515">
        <v>0</v>
      </c>
      <c r="AK515">
        <v>3</v>
      </c>
      <c r="AL515" t="s">
        <v>1141</v>
      </c>
      <c r="AM515" t="s">
        <v>318</v>
      </c>
      <c r="AN515" t="s">
        <v>1142</v>
      </c>
      <c r="AO515" t="s">
        <v>9974</v>
      </c>
      <c r="AP515" t="s">
        <v>9975</v>
      </c>
      <c r="AQ515" t="s">
        <v>74</v>
      </c>
      <c r="AR515" t="s">
        <v>9961</v>
      </c>
      <c r="AS515" t="s">
        <v>9976</v>
      </c>
      <c r="AT515" t="s">
        <v>8336</v>
      </c>
      <c r="AU515">
        <v>2017</v>
      </c>
      <c r="AV515">
        <v>70</v>
      </c>
      <c r="AW515" t="s">
        <v>74</v>
      </c>
      <c r="AX515" t="s">
        <v>74</v>
      </c>
      <c r="AY515" t="s">
        <v>74</v>
      </c>
      <c r="AZ515" t="s">
        <v>100</v>
      </c>
      <c r="BA515" t="s">
        <v>74</v>
      </c>
      <c r="BB515">
        <v>3</v>
      </c>
      <c r="BC515">
        <v>14</v>
      </c>
      <c r="BD515" t="s">
        <v>74</v>
      </c>
      <c r="BE515" t="s">
        <v>9977</v>
      </c>
      <c r="BF515" t="str">
        <f>HYPERLINK("http://dx.doi.org/10.1016/j.wavemoti.2016.08.002","http://dx.doi.org/10.1016/j.wavemoti.2016.08.002")</f>
        <v>http://dx.doi.org/10.1016/j.wavemoti.2016.08.002</v>
      </c>
      <c r="BG515" t="s">
        <v>74</v>
      </c>
      <c r="BH515" t="s">
        <v>74</v>
      </c>
      <c r="BI515">
        <v>12</v>
      </c>
      <c r="BJ515" t="s">
        <v>9978</v>
      </c>
      <c r="BK515" t="s">
        <v>103</v>
      </c>
      <c r="BL515" t="s">
        <v>9979</v>
      </c>
      <c r="BM515" t="s">
        <v>9980</v>
      </c>
      <c r="BN515" t="s">
        <v>74</v>
      </c>
      <c r="BO515" t="s">
        <v>9716</v>
      </c>
      <c r="BP515" t="s">
        <v>74</v>
      </c>
      <c r="BQ515" t="s">
        <v>74</v>
      </c>
      <c r="BR515" t="s">
        <v>106</v>
      </c>
      <c r="BS515" t="s">
        <v>9981</v>
      </c>
      <c r="BT515" t="str">
        <f>HYPERLINK("https%3A%2F%2Fwww.webofscience.com%2Fwos%2Fwoscc%2Ffull-record%2FWOS:000397375900002","View Full Record in Web of Science")</f>
        <v>View Full Record in Web of Science</v>
      </c>
    </row>
    <row r="516" spans="1:72" x14ac:dyDescent="0.15">
      <c r="A516" t="s">
        <v>72</v>
      </c>
      <c r="B516" t="s">
        <v>9982</v>
      </c>
      <c r="C516" t="s">
        <v>74</v>
      </c>
      <c r="D516" t="s">
        <v>74</v>
      </c>
      <c r="E516" t="s">
        <v>74</v>
      </c>
      <c r="F516" t="s">
        <v>9983</v>
      </c>
      <c r="G516" t="s">
        <v>74</v>
      </c>
      <c r="H516" t="s">
        <v>74</v>
      </c>
      <c r="I516" t="s">
        <v>9984</v>
      </c>
      <c r="J516" t="s">
        <v>9961</v>
      </c>
      <c r="K516" t="s">
        <v>74</v>
      </c>
      <c r="L516" t="s">
        <v>74</v>
      </c>
      <c r="M516" t="s">
        <v>78</v>
      </c>
      <c r="N516" t="s">
        <v>79</v>
      </c>
      <c r="O516" t="s">
        <v>74</v>
      </c>
      <c r="P516" t="s">
        <v>74</v>
      </c>
      <c r="Q516" t="s">
        <v>74</v>
      </c>
      <c r="R516" t="s">
        <v>74</v>
      </c>
      <c r="S516" t="s">
        <v>74</v>
      </c>
      <c r="T516" t="s">
        <v>9985</v>
      </c>
      <c r="U516" t="s">
        <v>9986</v>
      </c>
      <c r="V516" t="s">
        <v>9987</v>
      </c>
      <c r="W516" t="s">
        <v>9988</v>
      </c>
      <c r="X516" t="s">
        <v>9989</v>
      </c>
      <c r="Y516" t="s">
        <v>9990</v>
      </c>
      <c r="Z516" t="s">
        <v>9991</v>
      </c>
      <c r="AA516" t="s">
        <v>9992</v>
      </c>
      <c r="AB516" t="s">
        <v>9993</v>
      </c>
      <c r="AC516" t="s">
        <v>9994</v>
      </c>
      <c r="AD516" t="s">
        <v>9995</v>
      </c>
      <c r="AE516" t="s">
        <v>9996</v>
      </c>
      <c r="AF516" t="s">
        <v>74</v>
      </c>
      <c r="AG516">
        <v>30</v>
      </c>
      <c r="AH516">
        <v>39</v>
      </c>
      <c r="AI516">
        <v>41</v>
      </c>
      <c r="AJ516">
        <v>1</v>
      </c>
      <c r="AK516">
        <v>15</v>
      </c>
      <c r="AL516" t="s">
        <v>317</v>
      </c>
      <c r="AM516" t="s">
        <v>318</v>
      </c>
      <c r="AN516" t="s">
        <v>319</v>
      </c>
      <c r="AO516" t="s">
        <v>9974</v>
      </c>
      <c r="AP516" t="s">
        <v>9975</v>
      </c>
      <c r="AQ516" t="s">
        <v>74</v>
      </c>
      <c r="AR516" t="s">
        <v>9961</v>
      </c>
      <c r="AS516" t="s">
        <v>9976</v>
      </c>
      <c r="AT516" t="s">
        <v>8336</v>
      </c>
      <c r="AU516">
        <v>2017</v>
      </c>
      <c r="AV516">
        <v>70</v>
      </c>
      <c r="AW516" t="s">
        <v>74</v>
      </c>
      <c r="AX516" t="s">
        <v>74</v>
      </c>
      <c r="AY516" t="s">
        <v>74</v>
      </c>
      <c r="AZ516" t="s">
        <v>100</v>
      </c>
      <c r="BA516" t="s">
        <v>74</v>
      </c>
      <c r="BB516">
        <v>209</v>
      </c>
      <c r="BC516">
        <v>221</v>
      </c>
      <c r="BD516" t="s">
        <v>74</v>
      </c>
      <c r="BE516" t="s">
        <v>9997</v>
      </c>
      <c r="BF516" t="str">
        <f>HYPERLINK("http://dx.doi.org/10.1016/j.wavemoti.2016.09.003","http://dx.doi.org/10.1016/j.wavemoti.2016.09.003")</f>
        <v>http://dx.doi.org/10.1016/j.wavemoti.2016.09.003</v>
      </c>
      <c r="BG516" t="s">
        <v>74</v>
      </c>
      <c r="BH516" t="s">
        <v>74</v>
      </c>
      <c r="BI516">
        <v>13</v>
      </c>
      <c r="BJ516" t="s">
        <v>9978</v>
      </c>
      <c r="BK516" t="s">
        <v>103</v>
      </c>
      <c r="BL516" t="s">
        <v>9979</v>
      </c>
      <c r="BM516" t="s">
        <v>9980</v>
      </c>
      <c r="BN516" t="s">
        <v>74</v>
      </c>
      <c r="BO516" t="s">
        <v>2390</v>
      </c>
      <c r="BP516" t="s">
        <v>74</v>
      </c>
      <c r="BQ516" t="s">
        <v>74</v>
      </c>
      <c r="BR516" t="s">
        <v>106</v>
      </c>
      <c r="BS516" t="s">
        <v>9998</v>
      </c>
      <c r="BT516" t="str">
        <f>HYPERLINK("https%3A%2F%2Fwww.webofscience.com%2Fwos%2Fwoscc%2Ffull-record%2FWOS:000397375900015","View Full Record in Web of Science")</f>
        <v>View Full Record in Web of Science</v>
      </c>
    </row>
    <row r="517" spans="1:72" x14ac:dyDescent="0.15">
      <c r="A517" t="s">
        <v>72</v>
      </c>
      <c r="B517" t="s">
        <v>9999</v>
      </c>
      <c r="C517" t="s">
        <v>74</v>
      </c>
      <c r="D517" t="s">
        <v>74</v>
      </c>
      <c r="E517" t="s">
        <v>74</v>
      </c>
      <c r="F517" t="s">
        <v>10000</v>
      </c>
      <c r="G517" t="s">
        <v>74</v>
      </c>
      <c r="H517" t="s">
        <v>74</v>
      </c>
      <c r="I517" t="s">
        <v>10001</v>
      </c>
      <c r="J517" t="s">
        <v>9961</v>
      </c>
      <c r="K517" t="s">
        <v>74</v>
      </c>
      <c r="L517" t="s">
        <v>74</v>
      </c>
      <c r="M517" t="s">
        <v>78</v>
      </c>
      <c r="N517" t="s">
        <v>79</v>
      </c>
      <c r="O517" t="s">
        <v>74</v>
      </c>
      <c r="P517" t="s">
        <v>74</v>
      </c>
      <c r="Q517" t="s">
        <v>74</v>
      </c>
      <c r="R517" t="s">
        <v>74</v>
      </c>
      <c r="S517" t="s">
        <v>74</v>
      </c>
      <c r="T517" t="s">
        <v>10002</v>
      </c>
      <c r="U517" t="s">
        <v>10003</v>
      </c>
      <c r="V517" t="s">
        <v>10004</v>
      </c>
      <c r="W517" t="s">
        <v>10005</v>
      </c>
      <c r="X517" t="s">
        <v>10006</v>
      </c>
      <c r="Y517" t="s">
        <v>10007</v>
      </c>
      <c r="Z517" t="s">
        <v>10008</v>
      </c>
      <c r="AA517" t="s">
        <v>9992</v>
      </c>
      <c r="AB517" t="s">
        <v>10009</v>
      </c>
      <c r="AC517" t="s">
        <v>10010</v>
      </c>
      <c r="AD517" t="s">
        <v>10011</v>
      </c>
      <c r="AE517" t="s">
        <v>10012</v>
      </c>
      <c r="AF517" t="s">
        <v>74</v>
      </c>
      <c r="AG517">
        <v>42</v>
      </c>
      <c r="AH517">
        <v>54</v>
      </c>
      <c r="AI517">
        <v>55</v>
      </c>
      <c r="AJ517">
        <v>2</v>
      </c>
      <c r="AK517">
        <v>15</v>
      </c>
      <c r="AL517" t="s">
        <v>317</v>
      </c>
      <c r="AM517" t="s">
        <v>318</v>
      </c>
      <c r="AN517" t="s">
        <v>319</v>
      </c>
      <c r="AO517" t="s">
        <v>9974</v>
      </c>
      <c r="AP517" t="s">
        <v>9975</v>
      </c>
      <c r="AQ517" t="s">
        <v>74</v>
      </c>
      <c r="AR517" t="s">
        <v>9961</v>
      </c>
      <c r="AS517" t="s">
        <v>9976</v>
      </c>
      <c r="AT517" t="s">
        <v>8336</v>
      </c>
      <c r="AU517">
        <v>2017</v>
      </c>
      <c r="AV517">
        <v>70</v>
      </c>
      <c r="AW517" t="s">
        <v>74</v>
      </c>
      <c r="AX517" t="s">
        <v>74</v>
      </c>
      <c r="AY517" t="s">
        <v>74</v>
      </c>
      <c r="AZ517" t="s">
        <v>100</v>
      </c>
      <c r="BA517" t="s">
        <v>74</v>
      </c>
      <c r="BB517">
        <v>240</v>
      </c>
      <c r="BC517">
        <v>250</v>
      </c>
      <c r="BD517" t="s">
        <v>74</v>
      </c>
      <c r="BE517" t="s">
        <v>10013</v>
      </c>
      <c r="BF517" t="str">
        <f>HYPERLINK("http://dx.doi.org/10.1016/j.wavemoti.2016.06.014","http://dx.doi.org/10.1016/j.wavemoti.2016.06.014")</f>
        <v>http://dx.doi.org/10.1016/j.wavemoti.2016.06.014</v>
      </c>
      <c r="BG517" t="s">
        <v>74</v>
      </c>
      <c r="BH517" t="s">
        <v>74</v>
      </c>
      <c r="BI517">
        <v>11</v>
      </c>
      <c r="BJ517" t="s">
        <v>9978</v>
      </c>
      <c r="BK517" t="s">
        <v>103</v>
      </c>
      <c r="BL517" t="s">
        <v>9979</v>
      </c>
      <c r="BM517" t="s">
        <v>9980</v>
      </c>
      <c r="BN517" t="s">
        <v>74</v>
      </c>
      <c r="BO517" t="s">
        <v>10014</v>
      </c>
      <c r="BP517" t="s">
        <v>74</v>
      </c>
      <c r="BQ517" t="s">
        <v>74</v>
      </c>
      <c r="BR517" t="s">
        <v>106</v>
      </c>
      <c r="BS517" t="s">
        <v>10015</v>
      </c>
      <c r="BT517" t="str">
        <f>HYPERLINK("https%3A%2F%2Fwww.webofscience.com%2Fwos%2Fwoscc%2Ffull-record%2FWOS:000397375900017","View Full Record in Web of Science")</f>
        <v>View Full Record in Web of Science</v>
      </c>
    </row>
    <row r="518" spans="1:72" x14ac:dyDescent="0.15">
      <c r="A518" t="s">
        <v>72</v>
      </c>
      <c r="B518" t="s">
        <v>10016</v>
      </c>
      <c r="C518" t="s">
        <v>74</v>
      </c>
      <c r="D518" t="s">
        <v>74</v>
      </c>
      <c r="E518" t="s">
        <v>74</v>
      </c>
      <c r="F518" t="s">
        <v>10017</v>
      </c>
      <c r="G518" t="s">
        <v>74</v>
      </c>
      <c r="H518" t="s">
        <v>74</v>
      </c>
      <c r="I518" t="s">
        <v>10018</v>
      </c>
      <c r="J518" t="s">
        <v>6115</v>
      </c>
      <c r="K518" t="s">
        <v>74</v>
      </c>
      <c r="L518" t="s">
        <v>74</v>
      </c>
      <c r="M518" t="s">
        <v>78</v>
      </c>
      <c r="N518" t="s">
        <v>79</v>
      </c>
      <c r="O518" t="s">
        <v>74</v>
      </c>
      <c r="P518" t="s">
        <v>74</v>
      </c>
      <c r="Q518" t="s">
        <v>74</v>
      </c>
      <c r="R518" t="s">
        <v>74</v>
      </c>
      <c r="S518" t="s">
        <v>74</v>
      </c>
      <c r="T518" t="s">
        <v>74</v>
      </c>
      <c r="U518" t="s">
        <v>10019</v>
      </c>
      <c r="V518" t="s">
        <v>10020</v>
      </c>
      <c r="W518" t="s">
        <v>10021</v>
      </c>
      <c r="X518" t="s">
        <v>10022</v>
      </c>
      <c r="Y518" t="s">
        <v>10023</v>
      </c>
      <c r="Z518" t="s">
        <v>10024</v>
      </c>
      <c r="AA518" t="s">
        <v>74</v>
      </c>
      <c r="AB518" t="s">
        <v>74</v>
      </c>
      <c r="AC518" t="s">
        <v>10025</v>
      </c>
      <c r="AD518" t="s">
        <v>10026</v>
      </c>
      <c r="AE518" t="s">
        <v>10027</v>
      </c>
      <c r="AF518" t="s">
        <v>74</v>
      </c>
      <c r="AG518">
        <v>55</v>
      </c>
      <c r="AH518">
        <v>7</v>
      </c>
      <c r="AI518">
        <v>8</v>
      </c>
      <c r="AJ518">
        <v>0</v>
      </c>
      <c r="AK518">
        <v>16</v>
      </c>
      <c r="AL518" t="s">
        <v>5777</v>
      </c>
      <c r="AM518" t="s">
        <v>5778</v>
      </c>
      <c r="AN518" t="s">
        <v>5779</v>
      </c>
      <c r="AO518" t="s">
        <v>6128</v>
      </c>
      <c r="AP518" t="s">
        <v>6129</v>
      </c>
      <c r="AQ518" t="s">
        <v>74</v>
      </c>
      <c r="AR518" t="s">
        <v>6130</v>
      </c>
      <c r="AS518" t="s">
        <v>6131</v>
      </c>
      <c r="AT518" t="s">
        <v>8336</v>
      </c>
      <c r="AU518">
        <v>2017</v>
      </c>
      <c r="AV518">
        <v>34</v>
      </c>
      <c r="AW518">
        <v>4</v>
      </c>
      <c r="AX518" t="s">
        <v>74</v>
      </c>
      <c r="AY518" t="s">
        <v>74</v>
      </c>
      <c r="AZ518" t="s">
        <v>74</v>
      </c>
      <c r="BA518" t="s">
        <v>74</v>
      </c>
      <c r="BB518">
        <v>521</v>
      </c>
      <c r="BC518">
        <v>531</v>
      </c>
      <c r="BD518" t="s">
        <v>74</v>
      </c>
      <c r="BE518" t="s">
        <v>10028</v>
      </c>
      <c r="BF518" t="str">
        <f>HYPERLINK("http://dx.doi.org/10.1007/s00376-016-6021-2","http://dx.doi.org/10.1007/s00376-016-6021-2")</f>
        <v>http://dx.doi.org/10.1007/s00376-016-6021-2</v>
      </c>
      <c r="BG518" t="s">
        <v>74</v>
      </c>
      <c r="BH518" t="s">
        <v>74</v>
      </c>
      <c r="BI518">
        <v>11</v>
      </c>
      <c r="BJ518" t="s">
        <v>1261</v>
      </c>
      <c r="BK518" t="s">
        <v>103</v>
      </c>
      <c r="BL518" t="s">
        <v>1261</v>
      </c>
      <c r="BM518" t="s">
        <v>10029</v>
      </c>
      <c r="BN518" t="s">
        <v>74</v>
      </c>
      <c r="BO518" t="s">
        <v>74</v>
      </c>
      <c r="BP518" t="s">
        <v>74</v>
      </c>
      <c r="BQ518" t="s">
        <v>74</v>
      </c>
      <c r="BR518" t="s">
        <v>106</v>
      </c>
      <c r="BS518" t="s">
        <v>10030</v>
      </c>
      <c r="BT518" t="str">
        <f>HYPERLINK("https%3A%2F%2Fwww.webofscience.com%2Fwos%2Fwoscc%2Ffull-record%2FWOS:000395108300008","View Full Record in Web of Science")</f>
        <v>View Full Record in Web of Science</v>
      </c>
    </row>
    <row r="519" spans="1:72" x14ac:dyDescent="0.15">
      <c r="A519" t="s">
        <v>72</v>
      </c>
      <c r="B519" t="s">
        <v>10031</v>
      </c>
      <c r="C519" t="s">
        <v>74</v>
      </c>
      <c r="D519" t="s">
        <v>74</v>
      </c>
      <c r="E519" t="s">
        <v>74</v>
      </c>
      <c r="F519" t="s">
        <v>10032</v>
      </c>
      <c r="G519" t="s">
        <v>74</v>
      </c>
      <c r="H519" t="s">
        <v>74</v>
      </c>
      <c r="I519" t="s">
        <v>10033</v>
      </c>
      <c r="J519" t="s">
        <v>2173</v>
      </c>
      <c r="K519" t="s">
        <v>74</v>
      </c>
      <c r="L519" t="s">
        <v>74</v>
      </c>
      <c r="M519" t="s">
        <v>78</v>
      </c>
      <c r="N519" t="s">
        <v>79</v>
      </c>
      <c r="O519" t="s">
        <v>74</v>
      </c>
      <c r="P519" t="s">
        <v>74</v>
      </c>
      <c r="Q519" t="s">
        <v>74</v>
      </c>
      <c r="R519" t="s">
        <v>74</v>
      </c>
      <c r="S519" t="s">
        <v>74</v>
      </c>
      <c r="T519" t="s">
        <v>10034</v>
      </c>
      <c r="U519" t="s">
        <v>10035</v>
      </c>
      <c r="V519" t="s">
        <v>10036</v>
      </c>
      <c r="W519" t="s">
        <v>10037</v>
      </c>
      <c r="X519" t="s">
        <v>10038</v>
      </c>
      <c r="Y519" t="s">
        <v>10039</v>
      </c>
      <c r="Z519" t="s">
        <v>10040</v>
      </c>
      <c r="AA519" t="s">
        <v>10041</v>
      </c>
      <c r="AB519" t="s">
        <v>10042</v>
      </c>
      <c r="AC519" t="s">
        <v>10043</v>
      </c>
      <c r="AD519" t="s">
        <v>10043</v>
      </c>
      <c r="AE519" t="s">
        <v>10044</v>
      </c>
      <c r="AF519" t="s">
        <v>74</v>
      </c>
      <c r="AG519">
        <v>53</v>
      </c>
      <c r="AH519">
        <v>36</v>
      </c>
      <c r="AI519">
        <v>38</v>
      </c>
      <c r="AJ519">
        <v>2</v>
      </c>
      <c r="AK519">
        <v>98</v>
      </c>
      <c r="AL519" t="s">
        <v>656</v>
      </c>
      <c r="AM519" t="s">
        <v>93</v>
      </c>
      <c r="AN519" t="s">
        <v>657</v>
      </c>
      <c r="AO519" t="s">
        <v>2185</v>
      </c>
      <c r="AP519" t="s">
        <v>2186</v>
      </c>
      <c r="AQ519" t="s">
        <v>74</v>
      </c>
      <c r="AR519" t="s">
        <v>2173</v>
      </c>
      <c r="AS519" t="s">
        <v>2187</v>
      </c>
      <c r="AT519" t="s">
        <v>8336</v>
      </c>
      <c r="AU519">
        <v>2017</v>
      </c>
      <c r="AV519">
        <v>173</v>
      </c>
      <c r="AW519" t="s">
        <v>74</v>
      </c>
      <c r="AX519" t="s">
        <v>74</v>
      </c>
      <c r="AY519" t="s">
        <v>74</v>
      </c>
      <c r="AZ519" t="s">
        <v>74</v>
      </c>
      <c r="BA519" t="s">
        <v>74</v>
      </c>
      <c r="BB519">
        <v>330</v>
      </c>
      <c r="BC519">
        <v>339</v>
      </c>
      <c r="BD519" t="s">
        <v>74</v>
      </c>
      <c r="BE519" t="s">
        <v>10045</v>
      </c>
      <c r="BF519" t="str">
        <f>HYPERLINK("http://dx.doi.org/10.1016/j.chemosphere.2017.01.016","http://dx.doi.org/10.1016/j.chemosphere.2017.01.016")</f>
        <v>http://dx.doi.org/10.1016/j.chemosphere.2017.01.016</v>
      </c>
      <c r="BG519" t="s">
        <v>74</v>
      </c>
      <c r="BH519" t="s">
        <v>74</v>
      </c>
      <c r="BI519">
        <v>10</v>
      </c>
      <c r="BJ519" t="s">
        <v>2189</v>
      </c>
      <c r="BK519" t="s">
        <v>103</v>
      </c>
      <c r="BL519" t="s">
        <v>993</v>
      </c>
      <c r="BM519" t="s">
        <v>10046</v>
      </c>
      <c r="BN519">
        <v>28122292</v>
      </c>
      <c r="BO519" t="s">
        <v>74</v>
      </c>
      <c r="BP519" t="s">
        <v>74</v>
      </c>
      <c r="BQ519" t="s">
        <v>74</v>
      </c>
      <c r="BR519" t="s">
        <v>106</v>
      </c>
      <c r="BS519" t="s">
        <v>10047</v>
      </c>
      <c r="BT519" t="str">
        <f>HYPERLINK("https%3A%2F%2Fwww.webofscience.com%2Fwos%2Fwoscc%2Ffull-record%2FWOS:000395213700037","View Full Record in Web of Science")</f>
        <v>View Full Record in Web of Science</v>
      </c>
    </row>
    <row r="520" spans="1:72" x14ac:dyDescent="0.15">
      <c r="A520" t="s">
        <v>72</v>
      </c>
      <c r="B520" t="s">
        <v>10048</v>
      </c>
      <c r="C520" t="s">
        <v>74</v>
      </c>
      <c r="D520" t="s">
        <v>74</v>
      </c>
      <c r="E520" t="s">
        <v>74</v>
      </c>
      <c r="F520" t="s">
        <v>10049</v>
      </c>
      <c r="G520" t="s">
        <v>74</v>
      </c>
      <c r="H520" t="s">
        <v>74</v>
      </c>
      <c r="I520" t="s">
        <v>10050</v>
      </c>
      <c r="J520" t="s">
        <v>3352</v>
      </c>
      <c r="K520" t="s">
        <v>74</v>
      </c>
      <c r="L520" t="s">
        <v>74</v>
      </c>
      <c r="M520" t="s">
        <v>78</v>
      </c>
      <c r="N520" t="s">
        <v>79</v>
      </c>
      <c r="O520" t="s">
        <v>74</v>
      </c>
      <c r="P520" t="s">
        <v>74</v>
      </c>
      <c r="Q520" t="s">
        <v>74</v>
      </c>
      <c r="R520" t="s">
        <v>74</v>
      </c>
      <c r="S520" t="s">
        <v>74</v>
      </c>
      <c r="T520" t="s">
        <v>10051</v>
      </c>
      <c r="U520" t="s">
        <v>10052</v>
      </c>
      <c r="V520" t="s">
        <v>10053</v>
      </c>
      <c r="W520" t="s">
        <v>10054</v>
      </c>
      <c r="X520" t="s">
        <v>10055</v>
      </c>
      <c r="Y520" t="s">
        <v>10056</v>
      </c>
      <c r="Z520" t="s">
        <v>10057</v>
      </c>
      <c r="AA520" t="s">
        <v>10058</v>
      </c>
      <c r="AB520" t="s">
        <v>74</v>
      </c>
      <c r="AC520" t="s">
        <v>10059</v>
      </c>
      <c r="AD520" t="s">
        <v>10060</v>
      </c>
      <c r="AE520" t="s">
        <v>10061</v>
      </c>
      <c r="AF520" t="s">
        <v>74</v>
      </c>
      <c r="AG520">
        <v>52</v>
      </c>
      <c r="AH520">
        <v>37</v>
      </c>
      <c r="AI520">
        <v>42</v>
      </c>
      <c r="AJ520">
        <v>3</v>
      </c>
      <c r="AK520">
        <v>112</v>
      </c>
      <c r="AL520" t="s">
        <v>317</v>
      </c>
      <c r="AM520" t="s">
        <v>318</v>
      </c>
      <c r="AN520" t="s">
        <v>319</v>
      </c>
      <c r="AO520" t="s">
        <v>3365</v>
      </c>
      <c r="AP520" t="s">
        <v>3366</v>
      </c>
      <c r="AQ520" t="s">
        <v>74</v>
      </c>
      <c r="AR520" t="s">
        <v>3367</v>
      </c>
      <c r="AS520" t="s">
        <v>3368</v>
      </c>
      <c r="AT520" t="s">
        <v>8595</v>
      </c>
      <c r="AU520">
        <v>2017</v>
      </c>
      <c r="AV520">
        <v>583</v>
      </c>
      <c r="AW520" t="s">
        <v>74</v>
      </c>
      <c r="AX520" t="s">
        <v>74</v>
      </c>
      <c r="AY520" t="s">
        <v>74</v>
      </c>
      <c r="AZ520" t="s">
        <v>74</v>
      </c>
      <c r="BA520" t="s">
        <v>74</v>
      </c>
      <c r="BB520">
        <v>64</v>
      </c>
      <c r="BC520">
        <v>71</v>
      </c>
      <c r="BD520" t="s">
        <v>74</v>
      </c>
      <c r="BE520" t="s">
        <v>10062</v>
      </c>
      <c r="BF520" t="str">
        <f>HYPERLINK("http://dx.doi.org/10.1016/j.scitotenv.2016.12.189","http://dx.doi.org/10.1016/j.scitotenv.2016.12.189")</f>
        <v>http://dx.doi.org/10.1016/j.scitotenv.2016.12.189</v>
      </c>
      <c r="BG520" t="s">
        <v>74</v>
      </c>
      <c r="BH520" t="s">
        <v>74</v>
      </c>
      <c r="BI520">
        <v>8</v>
      </c>
      <c r="BJ520" t="s">
        <v>2189</v>
      </c>
      <c r="BK520" t="s">
        <v>103</v>
      </c>
      <c r="BL520" t="s">
        <v>993</v>
      </c>
      <c r="BM520" t="s">
        <v>10063</v>
      </c>
      <c r="BN520">
        <v>28100418</v>
      </c>
      <c r="BO520" t="s">
        <v>2390</v>
      </c>
      <c r="BP520" t="s">
        <v>74</v>
      </c>
      <c r="BQ520" t="s">
        <v>74</v>
      </c>
      <c r="BR520" t="s">
        <v>106</v>
      </c>
      <c r="BS520" t="s">
        <v>10064</v>
      </c>
      <c r="BT520" t="str">
        <f>HYPERLINK("https%3A%2F%2Fwww.webofscience.com%2Fwos%2Fwoscc%2Ffull-record%2FWOS:000394556400007","View Full Record in Web of Science")</f>
        <v>View Full Record in Web of Science</v>
      </c>
    </row>
    <row r="521" spans="1:72" x14ac:dyDescent="0.15">
      <c r="A521" t="s">
        <v>72</v>
      </c>
      <c r="B521" t="s">
        <v>10065</v>
      </c>
      <c r="C521" t="s">
        <v>74</v>
      </c>
      <c r="D521" t="s">
        <v>74</v>
      </c>
      <c r="E521" t="s">
        <v>74</v>
      </c>
      <c r="F521" t="s">
        <v>10066</v>
      </c>
      <c r="G521" t="s">
        <v>74</v>
      </c>
      <c r="H521" t="s">
        <v>74</v>
      </c>
      <c r="I521" t="s">
        <v>10067</v>
      </c>
      <c r="J521" t="s">
        <v>10068</v>
      </c>
      <c r="K521" t="s">
        <v>74</v>
      </c>
      <c r="L521" t="s">
        <v>74</v>
      </c>
      <c r="M521" t="s">
        <v>78</v>
      </c>
      <c r="N521" t="s">
        <v>79</v>
      </c>
      <c r="O521" t="s">
        <v>74</v>
      </c>
      <c r="P521" t="s">
        <v>74</v>
      </c>
      <c r="Q521" t="s">
        <v>74</v>
      </c>
      <c r="R521" t="s">
        <v>74</v>
      </c>
      <c r="S521" t="s">
        <v>74</v>
      </c>
      <c r="T521" t="s">
        <v>10069</v>
      </c>
      <c r="U521" t="s">
        <v>10070</v>
      </c>
      <c r="V521" t="s">
        <v>10071</v>
      </c>
      <c r="W521" t="s">
        <v>10072</v>
      </c>
      <c r="X521" t="s">
        <v>10073</v>
      </c>
      <c r="Y521" t="s">
        <v>10074</v>
      </c>
      <c r="Z521" t="s">
        <v>10075</v>
      </c>
      <c r="AA521" t="s">
        <v>10076</v>
      </c>
      <c r="AB521" t="s">
        <v>10077</v>
      </c>
      <c r="AC521" t="s">
        <v>10078</v>
      </c>
      <c r="AD521" t="s">
        <v>10078</v>
      </c>
      <c r="AE521" t="s">
        <v>10079</v>
      </c>
      <c r="AF521" t="s">
        <v>74</v>
      </c>
      <c r="AG521">
        <v>51</v>
      </c>
      <c r="AH521">
        <v>34</v>
      </c>
      <c r="AI521">
        <v>35</v>
      </c>
      <c r="AJ521">
        <v>1</v>
      </c>
      <c r="AK521">
        <v>27</v>
      </c>
      <c r="AL521" t="s">
        <v>317</v>
      </c>
      <c r="AM521" t="s">
        <v>318</v>
      </c>
      <c r="AN521" t="s">
        <v>319</v>
      </c>
      <c r="AO521" t="s">
        <v>10080</v>
      </c>
      <c r="AP521" t="s">
        <v>10081</v>
      </c>
      <c r="AQ521" t="s">
        <v>74</v>
      </c>
      <c r="AR521" t="s">
        <v>10082</v>
      </c>
      <c r="AS521" t="s">
        <v>10083</v>
      </c>
      <c r="AT521" t="s">
        <v>8336</v>
      </c>
      <c r="AU521">
        <v>2017</v>
      </c>
      <c r="AV521">
        <v>44</v>
      </c>
      <c r="AW521" t="s">
        <v>74</v>
      </c>
      <c r="AX521" t="s">
        <v>74</v>
      </c>
      <c r="AY521" t="s">
        <v>74</v>
      </c>
      <c r="AZ521" t="s">
        <v>74</v>
      </c>
      <c r="BA521" t="s">
        <v>74</v>
      </c>
      <c r="BB521">
        <v>219</v>
      </c>
      <c r="BC521">
        <v>227</v>
      </c>
      <c r="BD521" t="s">
        <v>74</v>
      </c>
      <c r="BE521" t="s">
        <v>10084</v>
      </c>
      <c r="BF521" t="str">
        <f>HYPERLINK("http://dx.doi.org/10.1016/j.gr.2016.12.006","http://dx.doi.org/10.1016/j.gr.2016.12.006")</f>
        <v>http://dx.doi.org/10.1016/j.gr.2016.12.006</v>
      </c>
      <c r="BG521" t="s">
        <v>74</v>
      </c>
      <c r="BH521" t="s">
        <v>74</v>
      </c>
      <c r="BI521">
        <v>9</v>
      </c>
      <c r="BJ521" t="s">
        <v>437</v>
      </c>
      <c r="BK521" t="s">
        <v>103</v>
      </c>
      <c r="BL521" t="s">
        <v>438</v>
      </c>
      <c r="BM521" t="s">
        <v>10085</v>
      </c>
      <c r="BN521" t="s">
        <v>74</v>
      </c>
      <c r="BO521" t="s">
        <v>1538</v>
      </c>
      <c r="BP521" t="s">
        <v>74</v>
      </c>
      <c r="BQ521" t="s">
        <v>74</v>
      </c>
      <c r="BR521" t="s">
        <v>106</v>
      </c>
      <c r="BS521" t="s">
        <v>10086</v>
      </c>
      <c r="BT521" t="str">
        <f>HYPERLINK("https%3A%2F%2Fwww.webofscience.com%2Fwos%2Fwoscc%2Ffull-record%2FWOS:000397874400015","View Full Record in Web of Science")</f>
        <v>View Full Record in Web of Science</v>
      </c>
    </row>
    <row r="522" spans="1:72" x14ac:dyDescent="0.15">
      <c r="A522" t="s">
        <v>72</v>
      </c>
      <c r="B522" t="s">
        <v>10087</v>
      </c>
      <c r="C522" t="s">
        <v>74</v>
      </c>
      <c r="D522" t="s">
        <v>74</v>
      </c>
      <c r="E522" t="s">
        <v>74</v>
      </c>
      <c r="F522" t="s">
        <v>10088</v>
      </c>
      <c r="G522" t="s">
        <v>74</v>
      </c>
      <c r="H522" t="s">
        <v>74</v>
      </c>
      <c r="I522" t="s">
        <v>10089</v>
      </c>
      <c r="J522" t="s">
        <v>2639</v>
      </c>
      <c r="K522" t="s">
        <v>74</v>
      </c>
      <c r="L522" t="s">
        <v>74</v>
      </c>
      <c r="M522" t="s">
        <v>78</v>
      </c>
      <c r="N522" t="s">
        <v>79</v>
      </c>
      <c r="O522" t="s">
        <v>74</v>
      </c>
      <c r="P522" t="s">
        <v>74</v>
      </c>
      <c r="Q522" t="s">
        <v>74</v>
      </c>
      <c r="R522" t="s">
        <v>74</v>
      </c>
      <c r="S522" t="s">
        <v>74</v>
      </c>
      <c r="T522" t="s">
        <v>10090</v>
      </c>
      <c r="U522" t="s">
        <v>10091</v>
      </c>
      <c r="V522" t="s">
        <v>10092</v>
      </c>
      <c r="W522" t="s">
        <v>10093</v>
      </c>
      <c r="X522" t="s">
        <v>10094</v>
      </c>
      <c r="Y522" t="s">
        <v>10095</v>
      </c>
      <c r="Z522" t="s">
        <v>10096</v>
      </c>
      <c r="AA522" t="s">
        <v>10097</v>
      </c>
      <c r="AB522" t="s">
        <v>10098</v>
      </c>
      <c r="AC522" t="s">
        <v>10099</v>
      </c>
      <c r="AD522" t="s">
        <v>10100</v>
      </c>
      <c r="AE522" t="s">
        <v>10101</v>
      </c>
      <c r="AF522" t="s">
        <v>74</v>
      </c>
      <c r="AG522">
        <v>62</v>
      </c>
      <c r="AH522">
        <v>22</v>
      </c>
      <c r="AI522">
        <v>27</v>
      </c>
      <c r="AJ522">
        <v>1</v>
      </c>
      <c r="AK522">
        <v>43</v>
      </c>
      <c r="AL522" t="s">
        <v>1141</v>
      </c>
      <c r="AM522" t="s">
        <v>318</v>
      </c>
      <c r="AN522" t="s">
        <v>1142</v>
      </c>
      <c r="AO522" t="s">
        <v>2652</v>
      </c>
      <c r="AP522" t="s">
        <v>2653</v>
      </c>
      <c r="AQ522" t="s">
        <v>74</v>
      </c>
      <c r="AR522" t="s">
        <v>2654</v>
      </c>
      <c r="AS522" t="s">
        <v>2655</v>
      </c>
      <c r="AT522" t="s">
        <v>8336</v>
      </c>
      <c r="AU522">
        <v>2017</v>
      </c>
      <c r="AV522">
        <v>168</v>
      </c>
      <c r="AW522" t="s">
        <v>74</v>
      </c>
      <c r="AX522" t="s">
        <v>74</v>
      </c>
      <c r="AY522" t="s">
        <v>74</v>
      </c>
      <c r="AZ522" t="s">
        <v>74</v>
      </c>
      <c r="BA522" t="s">
        <v>74</v>
      </c>
      <c r="BB522">
        <v>31</v>
      </c>
      <c r="BC522">
        <v>37</v>
      </c>
      <c r="BD522" t="s">
        <v>74</v>
      </c>
      <c r="BE522" t="s">
        <v>10102</v>
      </c>
      <c r="BF522" t="str">
        <f>HYPERLINK("http://dx.doi.org/10.1016/j.jmarsys.2016.12.006","http://dx.doi.org/10.1016/j.jmarsys.2016.12.006")</f>
        <v>http://dx.doi.org/10.1016/j.jmarsys.2016.12.006</v>
      </c>
      <c r="BG522" t="s">
        <v>74</v>
      </c>
      <c r="BH522" t="s">
        <v>74</v>
      </c>
      <c r="BI522">
        <v>7</v>
      </c>
      <c r="BJ522" t="s">
        <v>2657</v>
      </c>
      <c r="BK522" t="s">
        <v>103</v>
      </c>
      <c r="BL522" t="s">
        <v>2658</v>
      </c>
      <c r="BM522" t="s">
        <v>10103</v>
      </c>
      <c r="BN522" t="s">
        <v>74</v>
      </c>
      <c r="BO522" t="s">
        <v>74</v>
      </c>
      <c r="BP522" t="s">
        <v>74</v>
      </c>
      <c r="BQ522" t="s">
        <v>74</v>
      </c>
      <c r="BR522" t="s">
        <v>106</v>
      </c>
      <c r="BS522" t="s">
        <v>10104</v>
      </c>
      <c r="BT522" t="str">
        <f>HYPERLINK("https%3A%2F%2Fwww.webofscience.com%2Fwos%2Fwoscc%2Ffull-record%2FWOS:000395845300003","View Full Record in Web of Science")</f>
        <v>View Full Record in Web of Science</v>
      </c>
    </row>
    <row r="523" spans="1:72" x14ac:dyDescent="0.15">
      <c r="A523" t="s">
        <v>72</v>
      </c>
      <c r="B523" t="s">
        <v>10105</v>
      </c>
      <c r="C523" t="s">
        <v>74</v>
      </c>
      <c r="D523" t="s">
        <v>74</v>
      </c>
      <c r="E523" t="s">
        <v>74</v>
      </c>
      <c r="F523" t="s">
        <v>10106</v>
      </c>
      <c r="G523" t="s">
        <v>74</v>
      </c>
      <c r="H523" t="s">
        <v>74</v>
      </c>
      <c r="I523" t="s">
        <v>10107</v>
      </c>
      <c r="J523" t="s">
        <v>10108</v>
      </c>
      <c r="K523" t="s">
        <v>74</v>
      </c>
      <c r="L523" t="s">
        <v>74</v>
      </c>
      <c r="M523" t="s">
        <v>78</v>
      </c>
      <c r="N523" t="s">
        <v>79</v>
      </c>
      <c r="O523" t="s">
        <v>74</v>
      </c>
      <c r="P523" t="s">
        <v>74</v>
      </c>
      <c r="Q523" t="s">
        <v>74</v>
      </c>
      <c r="R523" t="s">
        <v>74</v>
      </c>
      <c r="S523" t="s">
        <v>74</v>
      </c>
      <c r="T523" t="s">
        <v>10109</v>
      </c>
      <c r="U523" t="s">
        <v>10110</v>
      </c>
      <c r="V523" t="s">
        <v>10111</v>
      </c>
      <c r="W523" t="s">
        <v>10112</v>
      </c>
      <c r="X523" t="s">
        <v>10113</v>
      </c>
      <c r="Y523" t="s">
        <v>10114</v>
      </c>
      <c r="Z523" t="s">
        <v>10115</v>
      </c>
      <c r="AA523" t="s">
        <v>10116</v>
      </c>
      <c r="AB523" t="s">
        <v>10117</v>
      </c>
      <c r="AC523" t="s">
        <v>10118</v>
      </c>
      <c r="AD523" t="s">
        <v>10119</v>
      </c>
      <c r="AE523" t="s">
        <v>10120</v>
      </c>
      <c r="AF523" t="s">
        <v>74</v>
      </c>
      <c r="AG523">
        <v>82</v>
      </c>
      <c r="AH523">
        <v>54</v>
      </c>
      <c r="AI523">
        <v>56</v>
      </c>
      <c r="AJ523">
        <v>2</v>
      </c>
      <c r="AK523">
        <v>71</v>
      </c>
      <c r="AL523" t="s">
        <v>317</v>
      </c>
      <c r="AM523" t="s">
        <v>318</v>
      </c>
      <c r="AN523" t="s">
        <v>319</v>
      </c>
      <c r="AO523" t="s">
        <v>10121</v>
      </c>
      <c r="AP523" t="s">
        <v>74</v>
      </c>
      <c r="AQ523" t="s">
        <v>74</v>
      </c>
      <c r="AR523" t="s">
        <v>10122</v>
      </c>
      <c r="AS523" t="s">
        <v>10123</v>
      </c>
      <c r="AT523" t="s">
        <v>8336</v>
      </c>
      <c r="AU523">
        <v>2017</v>
      </c>
      <c r="AV523">
        <v>23</v>
      </c>
      <c r="AW523" t="s">
        <v>74</v>
      </c>
      <c r="AX523" t="s">
        <v>74</v>
      </c>
      <c r="AY523" t="s">
        <v>74</v>
      </c>
      <c r="AZ523" t="s">
        <v>74</v>
      </c>
      <c r="BA523" t="s">
        <v>74</v>
      </c>
      <c r="BB523">
        <v>28</v>
      </c>
      <c r="BC523">
        <v>36</v>
      </c>
      <c r="BD523" t="s">
        <v>74</v>
      </c>
      <c r="BE523" t="s">
        <v>10124</v>
      </c>
      <c r="BF523" t="str">
        <f>HYPERLINK("http://dx.doi.org/10.1016/j.algal.2017.01.002","http://dx.doi.org/10.1016/j.algal.2017.01.002")</f>
        <v>http://dx.doi.org/10.1016/j.algal.2017.01.002</v>
      </c>
      <c r="BG523" t="s">
        <v>74</v>
      </c>
      <c r="BH523" t="s">
        <v>74</v>
      </c>
      <c r="BI523">
        <v>9</v>
      </c>
      <c r="BJ523" t="s">
        <v>3566</v>
      </c>
      <c r="BK523" t="s">
        <v>103</v>
      </c>
      <c r="BL523" t="s">
        <v>3566</v>
      </c>
      <c r="BM523" t="s">
        <v>10125</v>
      </c>
      <c r="BN523" t="s">
        <v>74</v>
      </c>
      <c r="BO523" t="s">
        <v>74</v>
      </c>
      <c r="BP523" t="s">
        <v>74</v>
      </c>
      <c r="BQ523" t="s">
        <v>74</v>
      </c>
      <c r="BR523" t="s">
        <v>106</v>
      </c>
      <c r="BS523" t="s">
        <v>10126</v>
      </c>
      <c r="BT523" t="str">
        <f>HYPERLINK("https%3A%2F%2Fwww.webofscience.com%2Fwos%2Fwoscc%2Ffull-record%2FWOS:000397462700004","View Full Record in Web of Science")</f>
        <v>View Full Record in Web of Science</v>
      </c>
    </row>
    <row r="524" spans="1:72" x14ac:dyDescent="0.15">
      <c r="A524" t="s">
        <v>72</v>
      </c>
      <c r="B524" t="s">
        <v>2079</v>
      </c>
      <c r="C524" t="s">
        <v>74</v>
      </c>
      <c r="D524" t="s">
        <v>74</v>
      </c>
      <c r="E524" t="s">
        <v>74</v>
      </c>
      <c r="F524" t="s">
        <v>2080</v>
      </c>
      <c r="G524" t="s">
        <v>74</v>
      </c>
      <c r="H524" t="s">
        <v>74</v>
      </c>
      <c r="I524" t="s">
        <v>10127</v>
      </c>
      <c r="J524" t="s">
        <v>791</v>
      </c>
      <c r="K524" t="s">
        <v>74</v>
      </c>
      <c r="L524" t="s">
        <v>74</v>
      </c>
      <c r="M524" t="s">
        <v>78</v>
      </c>
      <c r="N524" t="s">
        <v>2082</v>
      </c>
      <c r="O524" t="s">
        <v>74</v>
      </c>
      <c r="P524" t="s">
        <v>74</v>
      </c>
      <c r="Q524" t="s">
        <v>74</v>
      </c>
      <c r="R524" t="s">
        <v>74</v>
      </c>
      <c r="S524" t="s">
        <v>74</v>
      </c>
      <c r="T524" t="s">
        <v>74</v>
      </c>
      <c r="U524" t="s">
        <v>74</v>
      </c>
      <c r="V524" t="s">
        <v>74</v>
      </c>
      <c r="W524" t="s">
        <v>74</v>
      </c>
      <c r="X524" t="s">
        <v>74</v>
      </c>
      <c r="Y524" t="s">
        <v>74</v>
      </c>
      <c r="Z524" t="s">
        <v>74</v>
      </c>
      <c r="AA524" t="s">
        <v>74</v>
      </c>
      <c r="AB524" t="s">
        <v>74</v>
      </c>
      <c r="AC524" t="s">
        <v>74</v>
      </c>
      <c r="AD524" t="s">
        <v>74</v>
      </c>
      <c r="AE524" t="s">
        <v>74</v>
      </c>
      <c r="AF524" t="s">
        <v>74</v>
      </c>
      <c r="AG524">
        <v>0</v>
      </c>
      <c r="AH524">
        <v>0</v>
      </c>
      <c r="AI524">
        <v>0</v>
      </c>
      <c r="AJ524">
        <v>0</v>
      </c>
      <c r="AK524">
        <v>2</v>
      </c>
      <c r="AL524" t="s">
        <v>803</v>
      </c>
      <c r="AM524" t="s">
        <v>430</v>
      </c>
      <c r="AN524" t="s">
        <v>804</v>
      </c>
      <c r="AO524" t="s">
        <v>805</v>
      </c>
      <c r="AP524" t="s">
        <v>806</v>
      </c>
      <c r="AQ524" t="s">
        <v>74</v>
      </c>
      <c r="AR524" t="s">
        <v>807</v>
      </c>
      <c r="AS524" t="s">
        <v>808</v>
      </c>
      <c r="AT524" t="s">
        <v>8336</v>
      </c>
      <c r="AU524">
        <v>2017</v>
      </c>
      <c r="AV524">
        <v>29</v>
      </c>
      <c r="AW524">
        <v>2</v>
      </c>
      <c r="AX524" t="s">
        <v>74</v>
      </c>
      <c r="AY524" t="s">
        <v>74</v>
      </c>
      <c r="AZ524" t="s">
        <v>74</v>
      </c>
      <c r="BA524" t="s">
        <v>74</v>
      </c>
      <c r="BB524">
        <v>95</v>
      </c>
      <c r="BC524">
        <v>95</v>
      </c>
      <c r="BD524" t="s">
        <v>74</v>
      </c>
      <c r="BE524" t="s">
        <v>10128</v>
      </c>
      <c r="BF524" t="str">
        <f>HYPERLINK("http://dx.doi.org/10.1017/S0954102017000086","http://dx.doi.org/10.1017/S0954102017000086")</f>
        <v>http://dx.doi.org/10.1017/S0954102017000086</v>
      </c>
      <c r="BG524" t="s">
        <v>74</v>
      </c>
      <c r="BH524" t="s">
        <v>74</v>
      </c>
      <c r="BI524">
        <v>1</v>
      </c>
      <c r="BJ524" t="s">
        <v>810</v>
      </c>
      <c r="BK524" t="s">
        <v>103</v>
      </c>
      <c r="BL524" t="s">
        <v>811</v>
      </c>
      <c r="BM524" t="s">
        <v>9492</v>
      </c>
      <c r="BN524" t="s">
        <v>74</v>
      </c>
      <c r="BO524" t="s">
        <v>412</v>
      </c>
      <c r="BP524" t="s">
        <v>74</v>
      </c>
      <c r="BQ524" t="s">
        <v>74</v>
      </c>
      <c r="BR524" t="s">
        <v>106</v>
      </c>
      <c r="BS524" t="s">
        <v>10129</v>
      </c>
      <c r="BT524" t="str">
        <f>HYPERLINK("https%3A%2F%2Fwww.webofscience.com%2Fwos%2Fwoscc%2Ffull-record%2FWOS:000396346900001","View Full Record in Web of Science")</f>
        <v>View Full Record in Web of Science</v>
      </c>
    </row>
    <row r="525" spans="1:72" x14ac:dyDescent="0.15">
      <c r="A525" t="s">
        <v>72</v>
      </c>
      <c r="B525" t="s">
        <v>10130</v>
      </c>
      <c r="C525" t="s">
        <v>74</v>
      </c>
      <c r="D525" t="s">
        <v>74</v>
      </c>
      <c r="E525" t="s">
        <v>74</v>
      </c>
      <c r="F525" t="s">
        <v>10131</v>
      </c>
      <c r="G525" t="s">
        <v>74</v>
      </c>
      <c r="H525" t="s">
        <v>74</v>
      </c>
      <c r="I525" t="s">
        <v>10132</v>
      </c>
      <c r="J525" t="s">
        <v>10133</v>
      </c>
      <c r="K525" t="s">
        <v>74</v>
      </c>
      <c r="L525" t="s">
        <v>74</v>
      </c>
      <c r="M525" t="s">
        <v>78</v>
      </c>
      <c r="N525" t="s">
        <v>79</v>
      </c>
      <c r="O525" t="s">
        <v>74</v>
      </c>
      <c r="P525" t="s">
        <v>74</v>
      </c>
      <c r="Q525" t="s">
        <v>74</v>
      </c>
      <c r="R525" t="s">
        <v>74</v>
      </c>
      <c r="S525" t="s">
        <v>74</v>
      </c>
      <c r="T525" t="s">
        <v>10134</v>
      </c>
      <c r="U525" t="s">
        <v>10135</v>
      </c>
      <c r="V525" t="s">
        <v>10136</v>
      </c>
      <c r="W525" t="s">
        <v>10137</v>
      </c>
      <c r="X525" t="s">
        <v>1525</v>
      </c>
      <c r="Y525" t="s">
        <v>10138</v>
      </c>
      <c r="Z525" t="s">
        <v>10139</v>
      </c>
      <c r="AA525" t="s">
        <v>10140</v>
      </c>
      <c r="AB525" t="s">
        <v>10141</v>
      </c>
      <c r="AC525" t="s">
        <v>10142</v>
      </c>
      <c r="AD525" t="s">
        <v>8661</v>
      </c>
      <c r="AE525" t="s">
        <v>10143</v>
      </c>
      <c r="AF525" t="s">
        <v>74</v>
      </c>
      <c r="AG525">
        <v>24</v>
      </c>
      <c r="AH525">
        <v>15</v>
      </c>
      <c r="AI525">
        <v>16</v>
      </c>
      <c r="AJ525">
        <v>0</v>
      </c>
      <c r="AK525">
        <v>10</v>
      </c>
      <c r="AL525" t="s">
        <v>611</v>
      </c>
      <c r="AM525" t="s">
        <v>612</v>
      </c>
      <c r="AN525" t="s">
        <v>613</v>
      </c>
      <c r="AO525" t="s">
        <v>74</v>
      </c>
      <c r="AP525" t="s">
        <v>10144</v>
      </c>
      <c r="AQ525" t="s">
        <v>74</v>
      </c>
      <c r="AR525" t="s">
        <v>10145</v>
      </c>
      <c r="AS525" t="s">
        <v>10146</v>
      </c>
      <c r="AT525" t="s">
        <v>8336</v>
      </c>
      <c r="AU525">
        <v>2017</v>
      </c>
      <c r="AV525">
        <v>7</v>
      </c>
      <c r="AW525">
        <v>4</v>
      </c>
      <c r="AX525" t="s">
        <v>74</v>
      </c>
      <c r="AY525" t="s">
        <v>74</v>
      </c>
      <c r="AZ525" t="s">
        <v>74</v>
      </c>
      <c r="BA525" t="s">
        <v>74</v>
      </c>
      <c r="BB525" t="s">
        <v>74</v>
      </c>
      <c r="BC525" t="s">
        <v>74</v>
      </c>
      <c r="BD525">
        <v>330</v>
      </c>
      <c r="BE525" t="s">
        <v>10147</v>
      </c>
      <c r="BF525" t="str">
        <f>HYPERLINK("http://dx.doi.org/10.3390/app7040330","http://dx.doi.org/10.3390/app7040330")</f>
        <v>http://dx.doi.org/10.3390/app7040330</v>
      </c>
      <c r="BG525" t="s">
        <v>74</v>
      </c>
      <c r="BH525" t="s">
        <v>74</v>
      </c>
      <c r="BI525">
        <v>22</v>
      </c>
      <c r="BJ525" t="s">
        <v>10148</v>
      </c>
      <c r="BK525" t="s">
        <v>103</v>
      </c>
      <c r="BL525" t="s">
        <v>10149</v>
      </c>
      <c r="BM525" t="s">
        <v>10150</v>
      </c>
      <c r="BN525" t="s">
        <v>74</v>
      </c>
      <c r="BO525" t="s">
        <v>2009</v>
      </c>
      <c r="BP525" t="s">
        <v>74</v>
      </c>
      <c r="BQ525" t="s">
        <v>74</v>
      </c>
      <c r="BR525" t="s">
        <v>106</v>
      </c>
      <c r="BS525" t="s">
        <v>10151</v>
      </c>
      <c r="BT525" t="str">
        <f>HYPERLINK("https%3A%2F%2Fwww.webofscience.com%2Fwos%2Fwoscc%2Ffull-record%2FWOS:000404447600020","View Full Record in Web of Science")</f>
        <v>View Full Record in Web of Science</v>
      </c>
    </row>
    <row r="526" spans="1:72" x14ac:dyDescent="0.15">
      <c r="A526" t="s">
        <v>72</v>
      </c>
      <c r="B526" t="s">
        <v>10152</v>
      </c>
      <c r="C526" t="s">
        <v>74</v>
      </c>
      <c r="D526" t="s">
        <v>74</v>
      </c>
      <c r="E526" t="s">
        <v>74</v>
      </c>
      <c r="F526" t="s">
        <v>10153</v>
      </c>
      <c r="G526" t="s">
        <v>74</v>
      </c>
      <c r="H526" t="s">
        <v>74</v>
      </c>
      <c r="I526" t="s">
        <v>10154</v>
      </c>
      <c r="J526" t="s">
        <v>9592</v>
      </c>
      <c r="K526" t="s">
        <v>74</v>
      </c>
      <c r="L526" t="s">
        <v>74</v>
      </c>
      <c r="M526" t="s">
        <v>78</v>
      </c>
      <c r="N526" t="s">
        <v>2082</v>
      </c>
      <c r="O526" t="s">
        <v>74</v>
      </c>
      <c r="P526" t="s">
        <v>74</v>
      </c>
      <c r="Q526" t="s">
        <v>74</v>
      </c>
      <c r="R526" t="s">
        <v>74</v>
      </c>
      <c r="S526" t="s">
        <v>74</v>
      </c>
      <c r="T526" t="s">
        <v>10155</v>
      </c>
      <c r="U526" t="s">
        <v>10156</v>
      </c>
      <c r="V526" t="s">
        <v>10157</v>
      </c>
      <c r="W526" t="s">
        <v>10158</v>
      </c>
      <c r="X526" t="s">
        <v>10159</v>
      </c>
      <c r="Y526" t="s">
        <v>10160</v>
      </c>
      <c r="Z526" t="s">
        <v>10161</v>
      </c>
      <c r="AA526" t="s">
        <v>10162</v>
      </c>
      <c r="AB526" t="s">
        <v>10163</v>
      </c>
      <c r="AC526" t="s">
        <v>10164</v>
      </c>
      <c r="AD526" t="s">
        <v>10165</v>
      </c>
      <c r="AE526" t="s">
        <v>10166</v>
      </c>
      <c r="AF526" t="s">
        <v>74</v>
      </c>
      <c r="AG526">
        <v>41</v>
      </c>
      <c r="AH526">
        <v>9</v>
      </c>
      <c r="AI526">
        <v>9</v>
      </c>
      <c r="AJ526">
        <v>0</v>
      </c>
      <c r="AK526">
        <v>48</v>
      </c>
      <c r="AL526" t="s">
        <v>10167</v>
      </c>
      <c r="AM526" t="s">
        <v>10168</v>
      </c>
      <c r="AN526" t="s">
        <v>10169</v>
      </c>
      <c r="AO526" t="s">
        <v>10170</v>
      </c>
      <c r="AP526" t="s">
        <v>9605</v>
      </c>
      <c r="AQ526" t="s">
        <v>74</v>
      </c>
      <c r="AR526" t="s">
        <v>9592</v>
      </c>
      <c r="AS526" t="s">
        <v>9592</v>
      </c>
      <c r="AT526" t="s">
        <v>8336</v>
      </c>
      <c r="AU526">
        <v>2017</v>
      </c>
      <c r="AV526">
        <v>134</v>
      </c>
      <c r="AW526">
        <v>1</v>
      </c>
      <c r="AX526" t="s">
        <v>74</v>
      </c>
      <c r="AY526" t="s">
        <v>74</v>
      </c>
      <c r="AZ526" t="s">
        <v>74</v>
      </c>
      <c r="BA526" t="s">
        <v>74</v>
      </c>
      <c r="BB526">
        <v>39</v>
      </c>
      <c r="BC526">
        <v>50</v>
      </c>
      <c r="BD526" t="s">
        <v>74</v>
      </c>
      <c r="BE526" t="s">
        <v>10171</v>
      </c>
      <c r="BF526" t="str">
        <f>HYPERLINK("http://dx.doi.org/10.1642/AUK-16-125.1","http://dx.doi.org/10.1642/AUK-16-125.1")</f>
        <v>http://dx.doi.org/10.1642/AUK-16-125.1</v>
      </c>
      <c r="BG526" t="s">
        <v>74</v>
      </c>
      <c r="BH526" t="s">
        <v>74</v>
      </c>
      <c r="BI526">
        <v>12</v>
      </c>
      <c r="BJ526" t="s">
        <v>554</v>
      </c>
      <c r="BK526" t="s">
        <v>103</v>
      </c>
      <c r="BL526" t="s">
        <v>555</v>
      </c>
      <c r="BM526" t="s">
        <v>10172</v>
      </c>
      <c r="BN526" t="s">
        <v>74</v>
      </c>
      <c r="BO526" t="s">
        <v>412</v>
      </c>
      <c r="BP526" t="s">
        <v>74</v>
      </c>
      <c r="BQ526" t="s">
        <v>74</v>
      </c>
      <c r="BR526" t="s">
        <v>106</v>
      </c>
      <c r="BS526" t="s">
        <v>10173</v>
      </c>
      <c r="BT526" t="str">
        <f>HYPERLINK("https%3A%2F%2Fwww.webofscience.com%2Fwos%2Fwoscc%2Ffull-record%2FWOS:000392206100005","View Full Record in Web of Science")</f>
        <v>View Full Record in Web of Science</v>
      </c>
    </row>
    <row r="527" spans="1:72" x14ac:dyDescent="0.15">
      <c r="A527" t="s">
        <v>72</v>
      </c>
      <c r="B527" t="s">
        <v>10174</v>
      </c>
      <c r="C527" t="s">
        <v>74</v>
      </c>
      <c r="D527" t="s">
        <v>74</v>
      </c>
      <c r="E527" t="s">
        <v>74</v>
      </c>
      <c r="F527" t="s">
        <v>10175</v>
      </c>
      <c r="G527" t="s">
        <v>74</v>
      </c>
      <c r="H527" t="s">
        <v>74</v>
      </c>
      <c r="I527" t="s">
        <v>10176</v>
      </c>
      <c r="J527" t="s">
        <v>10177</v>
      </c>
      <c r="K527" t="s">
        <v>74</v>
      </c>
      <c r="L527" t="s">
        <v>74</v>
      </c>
      <c r="M527" t="s">
        <v>78</v>
      </c>
      <c r="N527" t="s">
        <v>79</v>
      </c>
      <c r="O527" t="s">
        <v>74</v>
      </c>
      <c r="P527" t="s">
        <v>74</v>
      </c>
      <c r="Q527" t="s">
        <v>74</v>
      </c>
      <c r="R527" t="s">
        <v>74</v>
      </c>
      <c r="S527" t="s">
        <v>74</v>
      </c>
      <c r="T527" t="s">
        <v>10178</v>
      </c>
      <c r="U527" t="s">
        <v>10179</v>
      </c>
      <c r="V527" t="s">
        <v>10180</v>
      </c>
      <c r="W527" t="s">
        <v>10181</v>
      </c>
      <c r="X527" t="s">
        <v>10182</v>
      </c>
      <c r="Y527" t="s">
        <v>10183</v>
      </c>
      <c r="Z527" t="s">
        <v>10184</v>
      </c>
      <c r="AA527" t="s">
        <v>10185</v>
      </c>
      <c r="AB527" t="s">
        <v>10186</v>
      </c>
      <c r="AC527" t="s">
        <v>10187</v>
      </c>
      <c r="AD527" t="s">
        <v>10188</v>
      </c>
      <c r="AE527" t="s">
        <v>10189</v>
      </c>
      <c r="AF527" t="s">
        <v>74</v>
      </c>
      <c r="AG527">
        <v>64</v>
      </c>
      <c r="AH527">
        <v>14</v>
      </c>
      <c r="AI527">
        <v>14</v>
      </c>
      <c r="AJ527">
        <v>0</v>
      </c>
      <c r="AK527">
        <v>10</v>
      </c>
      <c r="AL527" t="s">
        <v>92</v>
      </c>
      <c r="AM527" t="s">
        <v>93</v>
      </c>
      <c r="AN527" t="s">
        <v>94</v>
      </c>
      <c r="AO527" t="s">
        <v>10190</v>
      </c>
      <c r="AP527" t="s">
        <v>10191</v>
      </c>
      <c r="AQ527" t="s">
        <v>74</v>
      </c>
      <c r="AR527" t="s">
        <v>10192</v>
      </c>
      <c r="AS527" t="s">
        <v>10193</v>
      </c>
      <c r="AT527" t="s">
        <v>8595</v>
      </c>
      <c r="AU527">
        <v>2017</v>
      </c>
      <c r="AV527">
        <v>120</v>
      </c>
      <c r="AW527">
        <v>4</v>
      </c>
      <c r="AX527" t="s">
        <v>74</v>
      </c>
      <c r="AY527" t="s">
        <v>74</v>
      </c>
      <c r="AZ527" t="s">
        <v>74</v>
      </c>
      <c r="BA527" t="s">
        <v>74</v>
      </c>
      <c r="BB527">
        <v>788</v>
      </c>
      <c r="BC527">
        <v>803</v>
      </c>
      <c r="BD527" t="s">
        <v>74</v>
      </c>
      <c r="BE527" t="s">
        <v>74</v>
      </c>
      <c r="BF527" t="s">
        <v>74</v>
      </c>
      <c r="BG527" t="s">
        <v>74</v>
      </c>
      <c r="BH527" t="s">
        <v>74</v>
      </c>
      <c r="BI527">
        <v>16</v>
      </c>
      <c r="BJ527" t="s">
        <v>10194</v>
      </c>
      <c r="BK527" t="s">
        <v>103</v>
      </c>
      <c r="BL527" t="s">
        <v>10194</v>
      </c>
      <c r="BM527" t="s">
        <v>10195</v>
      </c>
      <c r="BN527" t="s">
        <v>74</v>
      </c>
      <c r="BO527" t="s">
        <v>10196</v>
      </c>
      <c r="BP527" t="s">
        <v>74</v>
      </c>
      <c r="BQ527" t="s">
        <v>74</v>
      </c>
      <c r="BR527" t="s">
        <v>106</v>
      </c>
      <c r="BS527" t="s">
        <v>10197</v>
      </c>
      <c r="BT527" t="str">
        <f>HYPERLINK("https%3A%2F%2Fwww.webofscience.com%2Fwos%2Fwoscc%2Ffull-record%2FWOS:000400945300005","View Full Record in Web of Science")</f>
        <v>View Full Record in Web of Science</v>
      </c>
    </row>
    <row r="528" spans="1:72" x14ac:dyDescent="0.15">
      <c r="A528" t="s">
        <v>72</v>
      </c>
      <c r="B528" t="s">
        <v>10198</v>
      </c>
      <c r="C528" t="s">
        <v>74</v>
      </c>
      <c r="D528" t="s">
        <v>74</v>
      </c>
      <c r="E528" t="s">
        <v>74</v>
      </c>
      <c r="F528" t="s">
        <v>10199</v>
      </c>
      <c r="G528" t="s">
        <v>74</v>
      </c>
      <c r="H528" t="s">
        <v>74</v>
      </c>
      <c r="I528" t="s">
        <v>10200</v>
      </c>
      <c r="J528" t="s">
        <v>2173</v>
      </c>
      <c r="K528" t="s">
        <v>74</v>
      </c>
      <c r="L528" t="s">
        <v>74</v>
      </c>
      <c r="M528" t="s">
        <v>78</v>
      </c>
      <c r="N528" t="s">
        <v>79</v>
      </c>
      <c r="O528" t="s">
        <v>74</v>
      </c>
      <c r="P528" t="s">
        <v>74</v>
      </c>
      <c r="Q528" t="s">
        <v>74</v>
      </c>
      <c r="R528" t="s">
        <v>74</v>
      </c>
      <c r="S528" t="s">
        <v>74</v>
      </c>
      <c r="T528" t="s">
        <v>10201</v>
      </c>
      <c r="U528" t="s">
        <v>10202</v>
      </c>
      <c r="V528" t="s">
        <v>10203</v>
      </c>
      <c r="W528" t="s">
        <v>10204</v>
      </c>
      <c r="X528" t="s">
        <v>10205</v>
      </c>
      <c r="Y528" t="s">
        <v>10206</v>
      </c>
      <c r="Z528" t="s">
        <v>10207</v>
      </c>
      <c r="AA528" t="s">
        <v>10208</v>
      </c>
      <c r="AB528" t="s">
        <v>10209</v>
      </c>
      <c r="AC528" t="s">
        <v>10210</v>
      </c>
      <c r="AD528" t="s">
        <v>10211</v>
      </c>
      <c r="AE528" t="s">
        <v>10212</v>
      </c>
      <c r="AF528" t="s">
        <v>74</v>
      </c>
      <c r="AG528">
        <v>55</v>
      </c>
      <c r="AH528">
        <v>31</v>
      </c>
      <c r="AI528">
        <v>34</v>
      </c>
      <c r="AJ528">
        <v>1</v>
      </c>
      <c r="AK528">
        <v>39</v>
      </c>
      <c r="AL528" t="s">
        <v>656</v>
      </c>
      <c r="AM528" t="s">
        <v>93</v>
      </c>
      <c r="AN528" t="s">
        <v>657</v>
      </c>
      <c r="AO528" t="s">
        <v>2185</v>
      </c>
      <c r="AP528" t="s">
        <v>2186</v>
      </c>
      <c r="AQ528" t="s">
        <v>74</v>
      </c>
      <c r="AR528" t="s">
        <v>2173</v>
      </c>
      <c r="AS528" t="s">
        <v>2187</v>
      </c>
      <c r="AT528" t="s">
        <v>8336</v>
      </c>
      <c r="AU528">
        <v>2017</v>
      </c>
      <c r="AV528">
        <v>173</v>
      </c>
      <c r="AW528" t="s">
        <v>74</v>
      </c>
      <c r="AX528" t="s">
        <v>74</v>
      </c>
      <c r="AY528" t="s">
        <v>74</v>
      </c>
      <c r="AZ528" t="s">
        <v>74</v>
      </c>
      <c r="BA528" t="s">
        <v>74</v>
      </c>
      <c r="BB528">
        <v>116</v>
      </c>
      <c r="BC528">
        <v>123</v>
      </c>
      <c r="BD528" t="s">
        <v>74</v>
      </c>
      <c r="BE528" t="s">
        <v>10213</v>
      </c>
      <c r="BF528" t="str">
        <f>HYPERLINK("http://dx.doi.org/10.1016/j.chemosphere.2016.12.140","http://dx.doi.org/10.1016/j.chemosphere.2016.12.140")</f>
        <v>http://dx.doi.org/10.1016/j.chemosphere.2016.12.140</v>
      </c>
      <c r="BG528" t="s">
        <v>74</v>
      </c>
      <c r="BH528" t="s">
        <v>74</v>
      </c>
      <c r="BI528">
        <v>8</v>
      </c>
      <c r="BJ528" t="s">
        <v>2189</v>
      </c>
      <c r="BK528" t="s">
        <v>103</v>
      </c>
      <c r="BL528" t="s">
        <v>993</v>
      </c>
      <c r="BM528" t="s">
        <v>10046</v>
      </c>
      <c r="BN528">
        <v>28107709</v>
      </c>
      <c r="BO528" t="s">
        <v>74</v>
      </c>
      <c r="BP528" t="s">
        <v>74</v>
      </c>
      <c r="BQ528" t="s">
        <v>74</v>
      </c>
      <c r="BR528" t="s">
        <v>106</v>
      </c>
      <c r="BS528" t="s">
        <v>10214</v>
      </c>
      <c r="BT528" t="str">
        <f>HYPERLINK("https%3A%2F%2Fwww.webofscience.com%2Fwos%2Fwoscc%2Ffull-record%2FWOS:000395213700013","View Full Record in Web of Science")</f>
        <v>View Full Record in Web of Science</v>
      </c>
    </row>
    <row r="529" spans="1:72" x14ac:dyDescent="0.15">
      <c r="A529" t="s">
        <v>72</v>
      </c>
      <c r="B529" t="s">
        <v>10215</v>
      </c>
      <c r="C529" t="s">
        <v>74</v>
      </c>
      <c r="D529" t="s">
        <v>74</v>
      </c>
      <c r="E529" t="s">
        <v>74</v>
      </c>
      <c r="F529" t="s">
        <v>10216</v>
      </c>
      <c r="G529" t="s">
        <v>74</v>
      </c>
      <c r="H529" t="s">
        <v>74</v>
      </c>
      <c r="I529" t="s">
        <v>10217</v>
      </c>
      <c r="J529" t="s">
        <v>2173</v>
      </c>
      <c r="K529" t="s">
        <v>74</v>
      </c>
      <c r="L529" t="s">
        <v>74</v>
      </c>
      <c r="M529" t="s">
        <v>78</v>
      </c>
      <c r="N529" t="s">
        <v>79</v>
      </c>
      <c r="O529" t="s">
        <v>74</v>
      </c>
      <c r="P529" t="s">
        <v>74</v>
      </c>
      <c r="Q529" t="s">
        <v>74</v>
      </c>
      <c r="R529" t="s">
        <v>74</v>
      </c>
      <c r="S529" t="s">
        <v>74</v>
      </c>
      <c r="T529" t="s">
        <v>10218</v>
      </c>
      <c r="U529" t="s">
        <v>10219</v>
      </c>
      <c r="V529" t="s">
        <v>10220</v>
      </c>
      <c r="W529" t="s">
        <v>10221</v>
      </c>
      <c r="X529" t="s">
        <v>10222</v>
      </c>
      <c r="Y529" t="s">
        <v>10223</v>
      </c>
      <c r="Z529" t="s">
        <v>74</v>
      </c>
      <c r="AA529" t="s">
        <v>10224</v>
      </c>
      <c r="AB529" t="s">
        <v>10225</v>
      </c>
      <c r="AC529" t="s">
        <v>10226</v>
      </c>
      <c r="AD529" t="s">
        <v>10227</v>
      </c>
      <c r="AE529" t="s">
        <v>10228</v>
      </c>
      <c r="AF529" t="s">
        <v>74</v>
      </c>
      <c r="AG529">
        <v>69</v>
      </c>
      <c r="AH529">
        <v>11</v>
      </c>
      <c r="AI529">
        <v>13</v>
      </c>
      <c r="AJ529">
        <v>1</v>
      </c>
      <c r="AK529">
        <v>28</v>
      </c>
      <c r="AL529" t="s">
        <v>656</v>
      </c>
      <c r="AM529" t="s">
        <v>93</v>
      </c>
      <c r="AN529" t="s">
        <v>657</v>
      </c>
      <c r="AO529" t="s">
        <v>2185</v>
      </c>
      <c r="AP529" t="s">
        <v>2186</v>
      </c>
      <c r="AQ529" t="s">
        <v>74</v>
      </c>
      <c r="AR529" t="s">
        <v>2173</v>
      </c>
      <c r="AS529" t="s">
        <v>2187</v>
      </c>
      <c r="AT529" t="s">
        <v>8336</v>
      </c>
      <c r="AU529">
        <v>2017</v>
      </c>
      <c r="AV529">
        <v>172</v>
      </c>
      <c r="AW529" t="s">
        <v>74</v>
      </c>
      <c r="AX529" t="s">
        <v>74</v>
      </c>
      <c r="AY529" t="s">
        <v>74</v>
      </c>
      <c r="AZ529" t="s">
        <v>74</v>
      </c>
      <c r="BA529" t="s">
        <v>74</v>
      </c>
      <c r="BB529">
        <v>341</v>
      </c>
      <c r="BC529">
        <v>354</v>
      </c>
      <c r="BD529" t="s">
        <v>74</v>
      </c>
      <c r="BE529" t="s">
        <v>10229</v>
      </c>
      <c r="BF529" t="str">
        <f>HYPERLINK("http://dx.doi.org/10.1016/j.chemosphere.2016.12.143","http://dx.doi.org/10.1016/j.chemosphere.2016.12.143")</f>
        <v>http://dx.doi.org/10.1016/j.chemosphere.2016.12.143</v>
      </c>
      <c r="BG529" t="s">
        <v>74</v>
      </c>
      <c r="BH529" t="s">
        <v>74</v>
      </c>
      <c r="BI529">
        <v>14</v>
      </c>
      <c r="BJ529" t="s">
        <v>2189</v>
      </c>
      <c r="BK529" t="s">
        <v>103</v>
      </c>
      <c r="BL529" t="s">
        <v>993</v>
      </c>
      <c r="BM529" t="s">
        <v>10230</v>
      </c>
      <c r="BN529">
        <v>28088024</v>
      </c>
      <c r="BO529" t="s">
        <v>74</v>
      </c>
      <c r="BP529" t="s">
        <v>74</v>
      </c>
      <c r="BQ529" t="s">
        <v>74</v>
      </c>
      <c r="BR529" t="s">
        <v>106</v>
      </c>
      <c r="BS529" t="s">
        <v>10231</v>
      </c>
      <c r="BT529" t="str">
        <f>HYPERLINK("https%3A%2F%2Fwww.webofscience.com%2Fwos%2Fwoscc%2Ffull-record%2FWOS:000394065200040","View Full Record in Web of Science")</f>
        <v>View Full Record in Web of Science</v>
      </c>
    </row>
    <row r="530" spans="1:72" x14ac:dyDescent="0.15">
      <c r="A530" t="s">
        <v>72</v>
      </c>
      <c r="B530" t="s">
        <v>10232</v>
      </c>
      <c r="C530" t="s">
        <v>74</v>
      </c>
      <c r="D530" t="s">
        <v>74</v>
      </c>
      <c r="E530" t="s">
        <v>74</v>
      </c>
      <c r="F530" t="s">
        <v>10233</v>
      </c>
      <c r="G530" t="s">
        <v>74</v>
      </c>
      <c r="H530" t="s">
        <v>74</v>
      </c>
      <c r="I530" t="s">
        <v>10234</v>
      </c>
      <c r="J530" t="s">
        <v>6154</v>
      </c>
      <c r="K530" t="s">
        <v>74</v>
      </c>
      <c r="L530" t="s">
        <v>74</v>
      </c>
      <c r="M530" t="s">
        <v>78</v>
      </c>
      <c r="N530" t="s">
        <v>79</v>
      </c>
      <c r="O530" t="s">
        <v>74</v>
      </c>
      <c r="P530" t="s">
        <v>74</v>
      </c>
      <c r="Q530" t="s">
        <v>74</v>
      </c>
      <c r="R530" t="s">
        <v>74</v>
      </c>
      <c r="S530" t="s">
        <v>74</v>
      </c>
      <c r="T530" t="s">
        <v>10235</v>
      </c>
      <c r="U530" t="s">
        <v>10236</v>
      </c>
      <c r="V530" t="s">
        <v>10237</v>
      </c>
      <c r="W530" t="s">
        <v>10238</v>
      </c>
      <c r="X530" t="s">
        <v>10239</v>
      </c>
      <c r="Y530" t="s">
        <v>10240</v>
      </c>
      <c r="Z530" t="s">
        <v>10241</v>
      </c>
      <c r="AA530" t="s">
        <v>10242</v>
      </c>
      <c r="AB530" t="s">
        <v>10243</v>
      </c>
      <c r="AC530" t="s">
        <v>10244</v>
      </c>
      <c r="AD530" t="s">
        <v>10245</v>
      </c>
      <c r="AE530" t="s">
        <v>10246</v>
      </c>
      <c r="AF530" t="s">
        <v>74</v>
      </c>
      <c r="AG530">
        <v>67</v>
      </c>
      <c r="AH530">
        <v>37</v>
      </c>
      <c r="AI530">
        <v>41</v>
      </c>
      <c r="AJ530">
        <v>1</v>
      </c>
      <c r="AK530">
        <v>58</v>
      </c>
      <c r="AL530" t="s">
        <v>986</v>
      </c>
      <c r="AM530" t="s">
        <v>430</v>
      </c>
      <c r="AN530" t="s">
        <v>1663</v>
      </c>
      <c r="AO530" t="s">
        <v>6167</v>
      </c>
      <c r="AP530" t="s">
        <v>6168</v>
      </c>
      <c r="AQ530" t="s">
        <v>74</v>
      </c>
      <c r="AR530" t="s">
        <v>6169</v>
      </c>
      <c r="AS530" t="s">
        <v>6170</v>
      </c>
      <c r="AT530" t="s">
        <v>8336</v>
      </c>
      <c r="AU530">
        <v>2017</v>
      </c>
      <c r="AV530">
        <v>48</v>
      </c>
      <c r="AW530" t="s">
        <v>9280</v>
      </c>
      <c r="AX530" t="s">
        <v>74</v>
      </c>
      <c r="AY530" t="s">
        <v>74</v>
      </c>
      <c r="AZ530" t="s">
        <v>74</v>
      </c>
      <c r="BA530" t="s">
        <v>74</v>
      </c>
      <c r="BB530">
        <v>2653</v>
      </c>
      <c r="BC530">
        <v>2670</v>
      </c>
      <c r="BD530" t="s">
        <v>74</v>
      </c>
      <c r="BE530" t="s">
        <v>10247</v>
      </c>
      <c r="BF530" t="str">
        <f>HYPERLINK("http://dx.doi.org/10.1007/s00382-016-3230-4","http://dx.doi.org/10.1007/s00382-016-3230-4")</f>
        <v>http://dx.doi.org/10.1007/s00382-016-3230-4</v>
      </c>
      <c r="BG530" t="s">
        <v>74</v>
      </c>
      <c r="BH530" t="s">
        <v>74</v>
      </c>
      <c r="BI530">
        <v>18</v>
      </c>
      <c r="BJ530" t="s">
        <v>1261</v>
      </c>
      <c r="BK530" t="s">
        <v>103</v>
      </c>
      <c r="BL530" t="s">
        <v>1261</v>
      </c>
      <c r="BM530" t="s">
        <v>9282</v>
      </c>
      <c r="BN530" t="s">
        <v>74</v>
      </c>
      <c r="BO530" t="s">
        <v>74</v>
      </c>
      <c r="BP530" t="s">
        <v>74</v>
      </c>
      <c r="BQ530" t="s">
        <v>74</v>
      </c>
      <c r="BR530" t="s">
        <v>106</v>
      </c>
      <c r="BS530" t="s">
        <v>10248</v>
      </c>
      <c r="BT530" t="str">
        <f>HYPERLINK("https%3A%2F%2Fwww.webofscience.com%2Fwos%2Fwoscc%2Ffull-record%2FWOS:000398926400033","View Full Record in Web of Science")</f>
        <v>View Full Record in Web of Science</v>
      </c>
    </row>
    <row r="531" spans="1:72" x14ac:dyDescent="0.15">
      <c r="A531" t="s">
        <v>72</v>
      </c>
      <c r="B531" t="s">
        <v>10249</v>
      </c>
      <c r="C531" t="s">
        <v>74</v>
      </c>
      <c r="D531" t="s">
        <v>74</v>
      </c>
      <c r="E531" t="s">
        <v>74</v>
      </c>
      <c r="F531" t="s">
        <v>10250</v>
      </c>
      <c r="G531" t="s">
        <v>74</v>
      </c>
      <c r="H531" t="s">
        <v>74</v>
      </c>
      <c r="I531" t="s">
        <v>10251</v>
      </c>
      <c r="J531" t="s">
        <v>643</v>
      </c>
      <c r="K531" t="s">
        <v>74</v>
      </c>
      <c r="L531" t="s">
        <v>74</v>
      </c>
      <c r="M531" t="s">
        <v>78</v>
      </c>
      <c r="N531" t="s">
        <v>79</v>
      </c>
      <c r="O531" t="s">
        <v>74</v>
      </c>
      <c r="P531" t="s">
        <v>74</v>
      </c>
      <c r="Q531" t="s">
        <v>74</v>
      </c>
      <c r="R531" t="s">
        <v>74</v>
      </c>
      <c r="S531" t="s">
        <v>74</v>
      </c>
      <c r="T531" t="s">
        <v>10252</v>
      </c>
      <c r="U531" t="s">
        <v>10253</v>
      </c>
      <c r="V531" t="s">
        <v>10254</v>
      </c>
      <c r="W531" t="s">
        <v>10255</v>
      </c>
      <c r="X531" t="s">
        <v>10256</v>
      </c>
      <c r="Y531" t="s">
        <v>10257</v>
      </c>
      <c r="Z531" t="s">
        <v>10258</v>
      </c>
      <c r="AA531" t="s">
        <v>10259</v>
      </c>
      <c r="AB531" t="s">
        <v>10260</v>
      </c>
      <c r="AC531" t="s">
        <v>10261</v>
      </c>
      <c r="AD531" t="s">
        <v>10262</v>
      </c>
      <c r="AE531" t="s">
        <v>10263</v>
      </c>
      <c r="AF531" t="s">
        <v>74</v>
      </c>
      <c r="AG531">
        <v>73</v>
      </c>
      <c r="AH531">
        <v>51</v>
      </c>
      <c r="AI531">
        <v>54</v>
      </c>
      <c r="AJ531">
        <v>3</v>
      </c>
      <c r="AK531">
        <v>48</v>
      </c>
      <c r="AL531" t="s">
        <v>656</v>
      </c>
      <c r="AM531" t="s">
        <v>93</v>
      </c>
      <c r="AN531" t="s">
        <v>657</v>
      </c>
      <c r="AO531" t="s">
        <v>658</v>
      </c>
      <c r="AP531" t="s">
        <v>659</v>
      </c>
      <c r="AQ531" t="s">
        <v>74</v>
      </c>
      <c r="AR531" t="s">
        <v>660</v>
      </c>
      <c r="AS531" t="s">
        <v>661</v>
      </c>
      <c r="AT531" t="s">
        <v>8336</v>
      </c>
      <c r="AU531">
        <v>2017</v>
      </c>
      <c r="AV531">
        <v>122</v>
      </c>
      <c r="AW531" t="s">
        <v>74</v>
      </c>
      <c r="AX531" t="s">
        <v>74</v>
      </c>
      <c r="AY531" t="s">
        <v>74</v>
      </c>
      <c r="AZ531" t="s">
        <v>74</v>
      </c>
      <c r="BA531" t="s">
        <v>74</v>
      </c>
      <c r="BB531">
        <v>95</v>
      </c>
      <c r="BC531">
        <v>104</v>
      </c>
      <c r="BD531" t="s">
        <v>74</v>
      </c>
      <c r="BE531" t="s">
        <v>10264</v>
      </c>
      <c r="BF531" t="str">
        <f>HYPERLINK("http://dx.doi.org/10.1016/j.dsr.2017.03.002","http://dx.doi.org/10.1016/j.dsr.2017.03.002")</f>
        <v>http://dx.doi.org/10.1016/j.dsr.2017.03.002</v>
      </c>
      <c r="BG531" t="s">
        <v>74</v>
      </c>
      <c r="BH531" t="s">
        <v>74</v>
      </c>
      <c r="BI531">
        <v>10</v>
      </c>
      <c r="BJ531" t="s">
        <v>127</v>
      </c>
      <c r="BK531" t="s">
        <v>103</v>
      </c>
      <c r="BL531" t="s">
        <v>127</v>
      </c>
      <c r="BM531" t="s">
        <v>10265</v>
      </c>
      <c r="BN531" t="s">
        <v>74</v>
      </c>
      <c r="BO531" t="s">
        <v>384</v>
      </c>
      <c r="BP531" t="s">
        <v>74</v>
      </c>
      <c r="BQ531" t="s">
        <v>74</v>
      </c>
      <c r="BR531" t="s">
        <v>106</v>
      </c>
      <c r="BS531" t="s">
        <v>10266</v>
      </c>
      <c r="BT531" t="str">
        <f>HYPERLINK("https%3A%2F%2Fwww.webofscience.com%2Fwos%2Fwoscc%2Ffull-record%2FWOS:000400529700010","View Full Record in Web of Science")</f>
        <v>View Full Record in Web of Science</v>
      </c>
    </row>
    <row r="532" spans="1:72" x14ac:dyDescent="0.15">
      <c r="A532" t="s">
        <v>72</v>
      </c>
      <c r="B532" t="s">
        <v>10267</v>
      </c>
      <c r="C532" t="s">
        <v>74</v>
      </c>
      <c r="D532" t="s">
        <v>74</v>
      </c>
      <c r="E532" t="s">
        <v>74</v>
      </c>
      <c r="F532" t="s">
        <v>10268</v>
      </c>
      <c r="G532" t="s">
        <v>74</v>
      </c>
      <c r="H532" t="s">
        <v>74</v>
      </c>
      <c r="I532" t="s">
        <v>10269</v>
      </c>
      <c r="J532" t="s">
        <v>895</v>
      </c>
      <c r="K532" t="s">
        <v>74</v>
      </c>
      <c r="L532" t="s">
        <v>74</v>
      </c>
      <c r="M532" t="s">
        <v>78</v>
      </c>
      <c r="N532" t="s">
        <v>2082</v>
      </c>
      <c r="O532" t="s">
        <v>74</v>
      </c>
      <c r="P532" t="s">
        <v>74</v>
      </c>
      <c r="Q532" t="s">
        <v>74</v>
      </c>
      <c r="R532" t="s">
        <v>74</v>
      </c>
      <c r="S532" t="s">
        <v>74</v>
      </c>
      <c r="T532" t="s">
        <v>74</v>
      </c>
      <c r="U532" t="s">
        <v>10270</v>
      </c>
      <c r="V532" t="s">
        <v>74</v>
      </c>
      <c r="W532" t="s">
        <v>10271</v>
      </c>
      <c r="X532" t="s">
        <v>10272</v>
      </c>
      <c r="Y532" t="s">
        <v>10273</v>
      </c>
      <c r="Z532" t="s">
        <v>10274</v>
      </c>
      <c r="AA532" t="s">
        <v>74</v>
      </c>
      <c r="AB532" t="s">
        <v>10275</v>
      </c>
      <c r="AC532" t="s">
        <v>74</v>
      </c>
      <c r="AD532" t="s">
        <v>74</v>
      </c>
      <c r="AE532" t="s">
        <v>74</v>
      </c>
      <c r="AF532" t="s">
        <v>74</v>
      </c>
      <c r="AG532">
        <v>32</v>
      </c>
      <c r="AH532">
        <v>1</v>
      </c>
      <c r="AI532">
        <v>1</v>
      </c>
      <c r="AJ532">
        <v>0</v>
      </c>
      <c r="AK532">
        <v>14</v>
      </c>
      <c r="AL532" t="s">
        <v>656</v>
      </c>
      <c r="AM532" t="s">
        <v>93</v>
      </c>
      <c r="AN532" t="s">
        <v>657</v>
      </c>
      <c r="AO532" t="s">
        <v>911</v>
      </c>
      <c r="AP532" t="s">
        <v>912</v>
      </c>
      <c r="AQ532" t="s">
        <v>74</v>
      </c>
      <c r="AR532" t="s">
        <v>913</v>
      </c>
      <c r="AS532" t="s">
        <v>914</v>
      </c>
      <c r="AT532" t="s">
        <v>8336</v>
      </c>
      <c r="AU532">
        <v>2017</v>
      </c>
      <c r="AV532">
        <v>138</v>
      </c>
      <c r="AW532" t="s">
        <v>74</v>
      </c>
      <c r="AX532" t="s">
        <v>74</v>
      </c>
      <c r="AY532" t="s">
        <v>74</v>
      </c>
      <c r="AZ532" t="s">
        <v>74</v>
      </c>
      <c r="BA532" t="s">
        <v>74</v>
      </c>
      <c r="BB532">
        <v>1</v>
      </c>
      <c r="BC532">
        <v>5</v>
      </c>
      <c r="BD532" t="s">
        <v>74</v>
      </c>
      <c r="BE532" t="s">
        <v>10276</v>
      </c>
      <c r="BF532" t="str">
        <f>HYPERLINK("http://dx.doi.org/10.1016/j.dsr2.2017.02.009","http://dx.doi.org/10.1016/j.dsr2.2017.02.009")</f>
        <v>http://dx.doi.org/10.1016/j.dsr2.2017.02.009</v>
      </c>
      <c r="BG532" t="s">
        <v>74</v>
      </c>
      <c r="BH532" t="s">
        <v>74</v>
      </c>
      <c r="BI532">
        <v>5</v>
      </c>
      <c r="BJ532" t="s">
        <v>127</v>
      </c>
      <c r="BK532" t="s">
        <v>103</v>
      </c>
      <c r="BL532" t="s">
        <v>127</v>
      </c>
      <c r="BM532" t="s">
        <v>8823</v>
      </c>
      <c r="BN532" t="s">
        <v>74</v>
      </c>
      <c r="BO532" t="s">
        <v>74</v>
      </c>
      <c r="BP532" t="s">
        <v>74</v>
      </c>
      <c r="BQ532" t="s">
        <v>74</v>
      </c>
      <c r="BR532" t="s">
        <v>106</v>
      </c>
      <c r="BS532" t="s">
        <v>10277</v>
      </c>
      <c r="BT532" t="str">
        <f>HYPERLINK("https%3A%2F%2Fwww.webofscience.com%2Fwos%2Fwoscc%2Ffull-record%2FWOS:000401211100001","View Full Record in Web of Science")</f>
        <v>View Full Record in Web of Science</v>
      </c>
    </row>
    <row r="533" spans="1:72" x14ac:dyDescent="0.15">
      <c r="A533" t="s">
        <v>72</v>
      </c>
      <c r="B533" t="s">
        <v>10278</v>
      </c>
      <c r="C533" t="s">
        <v>74</v>
      </c>
      <c r="D533" t="s">
        <v>74</v>
      </c>
      <c r="E533" t="s">
        <v>74</v>
      </c>
      <c r="F533" t="s">
        <v>10279</v>
      </c>
      <c r="G533" t="s">
        <v>74</v>
      </c>
      <c r="H533" t="s">
        <v>74</v>
      </c>
      <c r="I533" t="s">
        <v>10280</v>
      </c>
      <c r="J533" t="s">
        <v>895</v>
      </c>
      <c r="K533" t="s">
        <v>74</v>
      </c>
      <c r="L533" t="s">
        <v>74</v>
      </c>
      <c r="M533" t="s">
        <v>78</v>
      </c>
      <c r="N533" t="s">
        <v>79</v>
      </c>
      <c r="O533" t="s">
        <v>74</v>
      </c>
      <c r="P533" t="s">
        <v>74</v>
      </c>
      <c r="Q533" t="s">
        <v>74</v>
      </c>
      <c r="R533" t="s">
        <v>74</v>
      </c>
      <c r="S533" t="s">
        <v>74</v>
      </c>
      <c r="T533" t="s">
        <v>74</v>
      </c>
      <c r="U533" t="s">
        <v>10281</v>
      </c>
      <c r="V533" t="s">
        <v>10282</v>
      </c>
      <c r="W533" t="s">
        <v>10283</v>
      </c>
      <c r="X533" t="s">
        <v>10284</v>
      </c>
      <c r="Y533" t="s">
        <v>10285</v>
      </c>
      <c r="Z533" t="s">
        <v>10274</v>
      </c>
      <c r="AA533" t="s">
        <v>10286</v>
      </c>
      <c r="AB533" t="s">
        <v>10287</v>
      </c>
      <c r="AC533" t="s">
        <v>10288</v>
      </c>
      <c r="AD533" t="s">
        <v>10289</v>
      </c>
      <c r="AE533" t="s">
        <v>10290</v>
      </c>
      <c r="AF533" t="s">
        <v>74</v>
      </c>
      <c r="AG533">
        <v>61</v>
      </c>
      <c r="AH533">
        <v>16</v>
      </c>
      <c r="AI533">
        <v>16</v>
      </c>
      <c r="AJ533">
        <v>1</v>
      </c>
      <c r="AK533">
        <v>42</v>
      </c>
      <c r="AL533" t="s">
        <v>656</v>
      </c>
      <c r="AM533" t="s">
        <v>93</v>
      </c>
      <c r="AN533" t="s">
        <v>657</v>
      </c>
      <c r="AO533" t="s">
        <v>911</v>
      </c>
      <c r="AP533" t="s">
        <v>912</v>
      </c>
      <c r="AQ533" t="s">
        <v>74</v>
      </c>
      <c r="AR533" t="s">
        <v>913</v>
      </c>
      <c r="AS533" t="s">
        <v>914</v>
      </c>
      <c r="AT533" t="s">
        <v>8336</v>
      </c>
      <c r="AU533">
        <v>2017</v>
      </c>
      <c r="AV533">
        <v>138</v>
      </c>
      <c r="AW533" t="s">
        <v>74</v>
      </c>
      <c r="AX533" t="s">
        <v>74</v>
      </c>
      <c r="AY533" t="s">
        <v>74</v>
      </c>
      <c r="AZ533" t="s">
        <v>74</v>
      </c>
      <c r="BA533" t="s">
        <v>74</v>
      </c>
      <c r="BB533">
        <v>6</v>
      </c>
      <c r="BC533">
        <v>25</v>
      </c>
      <c r="BD533" t="s">
        <v>74</v>
      </c>
      <c r="BE533" t="s">
        <v>10291</v>
      </c>
      <c r="BF533" t="str">
        <f>HYPERLINK("http://dx.doi.org/10.1016/j.dsr2.2016.05.018","http://dx.doi.org/10.1016/j.dsr2.2016.05.018")</f>
        <v>http://dx.doi.org/10.1016/j.dsr2.2016.05.018</v>
      </c>
      <c r="BG533" t="s">
        <v>74</v>
      </c>
      <c r="BH533" t="s">
        <v>74</v>
      </c>
      <c r="BI533">
        <v>20</v>
      </c>
      <c r="BJ533" t="s">
        <v>127</v>
      </c>
      <c r="BK533" t="s">
        <v>103</v>
      </c>
      <c r="BL533" t="s">
        <v>127</v>
      </c>
      <c r="BM533" t="s">
        <v>8823</v>
      </c>
      <c r="BN533" t="s">
        <v>74</v>
      </c>
      <c r="BO533" t="s">
        <v>74</v>
      </c>
      <c r="BP533" t="s">
        <v>74</v>
      </c>
      <c r="BQ533" t="s">
        <v>74</v>
      </c>
      <c r="BR533" t="s">
        <v>106</v>
      </c>
      <c r="BS533" t="s">
        <v>10292</v>
      </c>
      <c r="BT533" t="str">
        <f>HYPERLINK("https%3A%2F%2Fwww.webofscience.com%2Fwos%2Fwoscc%2Ffull-record%2FWOS:000401211100002","View Full Record in Web of Science")</f>
        <v>View Full Record in Web of Science</v>
      </c>
    </row>
    <row r="534" spans="1:72" x14ac:dyDescent="0.15">
      <c r="A534" t="s">
        <v>72</v>
      </c>
      <c r="B534" t="s">
        <v>10293</v>
      </c>
      <c r="C534" t="s">
        <v>74</v>
      </c>
      <c r="D534" t="s">
        <v>74</v>
      </c>
      <c r="E534" t="s">
        <v>74</v>
      </c>
      <c r="F534" t="s">
        <v>10294</v>
      </c>
      <c r="G534" t="s">
        <v>74</v>
      </c>
      <c r="H534" t="s">
        <v>74</v>
      </c>
      <c r="I534" t="s">
        <v>10295</v>
      </c>
      <c r="J534" t="s">
        <v>895</v>
      </c>
      <c r="K534" t="s">
        <v>74</v>
      </c>
      <c r="L534" t="s">
        <v>74</v>
      </c>
      <c r="M534" t="s">
        <v>78</v>
      </c>
      <c r="N534" t="s">
        <v>79</v>
      </c>
      <c r="O534" t="s">
        <v>74</v>
      </c>
      <c r="P534" t="s">
        <v>74</v>
      </c>
      <c r="Q534" t="s">
        <v>74</v>
      </c>
      <c r="R534" t="s">
        <v>74</v>
      </c>
      <c r="S534" t="s">
        <v>74</v>
      </c>
      <c r="T534" t="s">
        <v>10296</v>
      </c>
      <c r="U534" t="s">
        <v>10297</v>
      </c>
      <c r="V534" t="s">
        <v>10298</v>
      </c>
      <c r="W534" t="s">
        <v>10299</v>
      </c>
      <c r="X534" t="s">
        <v>10300</v>
      </c>
      <c r="Y534" t="s">
        <v>10301</v>
      </c>
      <c r="Z534" t="s">
        <v>10302</v>
      </c>
      <c r="AA534" t="s">
        <v>10303</v>
      </c>
      <c r="AB534" t="s">
        <v>10304</v>
      </c>
      <c r="AC534" t="s">
        <v>10305</v>
      </c>
      <c r="AD534" t="s">
        <v>10306</v>
      </c>
      <c r="AE534" t="s">
        <v>10307</v>
      </c>
      <c r="AF534" t="s">
        <v>74</v>
      </c>
      <c r="AG534">
        <v>67</v>
      </c>
      <c r="AH534">
        <v>13</v>
      </c>
      <c r="AI534">
        <v>13</v>
      </c>
      <c r="AJ534">
        <v>0</v>
      </c>
      <c r="AK534">
        <v>32</v>
      </c>
      <c r="AL534" t="s">
        <v>656</v>
      </c>
      <c r="AM534" t="s">
        <v>93</v>
      </c>
      <c r="AN534" t="s">
        <v>657</v>
      </c>
      <c r="AO534" t="s">
        <v>911</v>
      </c>
      <c r="AP534" t="s">
        <v>912</v>
      </c>
      <c r="AQ534" t="s">
        <v>74</v>
      </c>
      <c r="AR534" t="s">
        <v>913</v>
      </c>
      <c r="AS534" t="s">
        <v>914</v>
      </c>
      <c r="AT534" t="s">
        <v>8336</v>
      </c>
      <c r="AU534">
        <v>2017</v>
      </c>
      <c r="AV534">
        <v>138</v>
      </c>
      <c r="AW534" t="s">
        <v>74</v>
      </c>
      <c r="AX534" t="s">
        <v>74</v>
      </c>
      <c r="AY534" t="s">
        <v>74</v>
      </c>
      <c r="AZ534" t="s">
        <v>74</v>
      </c>
      <c r="BA534" t="s">
        <v>74</v>
      </c>
      <c r="BB534">
        <v>26</v>
      </c>
      <c r="BC534">
        <v>38</v>
      </c>
      <c r="BD534" t="s">
        <v>74</v>
      </c>
      <c r="BE534" t="s">
        <v>10308</v>
      </c>
      <c r="BF534" t="str">
        <f>HYPERLINK("http://dx.doi.org/10.1016/j.dsr2.2016.10.004","http://dx.doi.org/10.1016/j.dsr2.2016.10.004")</f>
        <v>http://dx.doi.org/10.1016/j.dsr2.2016.10.004</v>
      </c>
      <c r="BG534" t="s">
        <v>74</v>
      </c>
      <c r="BH534" t="s">
        <v>74</v>
      </c>
      <c r="BI534">
        <v>13</v>
      </c>
      <c r="BJ534" t="s">
        <v>127</v>
      </c>
      <c r="BK534" t="s">
        <v>103</v>
      </c>
      <c r="BL534" t="s">
        <v>127</v>
      </c>
      <c r="BM534" t="s">
        <v>8823</v>
      </c>
      <c r="BN534" t="s">
        <v>74</v>
      </c>
      <c r="BO534" t="s">
        <v>2912</v>
      </c>
      <c r="BP534" t="s">
        <v>74</v>
      </c>
      <c r="BQ534" t="s">
        <v>74</v>
      </c>
      <c r="BR534" t="s">
        <v>106</v>
      </c>
      <c r="BS534" t="s">
        <v>10309</v>
      </c>
      <c r="BT534" t="str">
        <f>HYPERLINK("https%3A%2F%2Fwww.webofscience.com%2Fwos%2Fwoscc%2Ffull-record%2FWOS:000401211100003","View Full Record in Web of Science")</f>
        <v>View Full Record in Web of Science</v>
      </c>
    </row>
    <row r="535" spans="1:72" x14ac:dyDescent="0.15">
      <c r="A535" t="s">
        <v>72</v>
      </c>
      <c r="B535" t="s">
        <v>10310</v>
      </c>
      <c r="C535" t="s">
        <v>74</v>
      </c>
      <c r="D535" t="s">
        <v>74</v>
      </c>
      <c r="E535" t="s">
        <v>74</v>
      </c>
      <c r="F535" t="s">
        <v>10311</v>
      </c>
      <c r="G535" t="s">
        <v>74</v>
      </c>
      <c r="H535" t="s">
        <v>74</v>
      </c>
      <c r="I535" t="s">
        <v>10312</v>
      </c>
      <c r="J535" t="s">
        <v>895</v>
      </c>
      <c r="K535" t="s">
        <v>74</v>
      </c>
      <c r="L535" t="s">
        <v>74</v>
      </c>
      <c r="M535" t="s">
        <v>78</v>
      </c>
      <c r="N535" t="s">
        <v>79</v>
      </c>
      <c r="O535" t="s">
        <v>74</v>
      </c>
      <c r="P535" t="s">
        <v>74</v>
      </c>
      <c r="Q535" t="s">
        <v>74</v>
      </c>
      <c r="R535" t="s">
        <v>74</v>
      </c>
      <c r="S535" t="s">
        <v>74</v>
      </c>
      <c r="T535" t="s">
        <v>10313</v>
      </c>
      <c r="U535" t="s">
        <v>10314</v>
      </c>
      <c r="V535" t="s">
        <v>10315</v>
      </c>
      <c r="W535" t="s">
        <v>10316</v>
      </c>
      <c r="X535" t="s">
        <v>10317</v>
      </c>
      <c r="Y535" t="s">
        <v>10318</v>
      </c>
      <c r="Z535" t="s">
        <v>4851</v>
      </c>
      <c r="AA535" t="s">
        <v>10319</v>
      </c>
      <c r="AB535" t="s">
        <v>10320</v>
      </c>
      <c r="AC535" t="s">
        <v>10321</v>
      </c>
      <c r="AD535" t="s">
        <v>10322</v>
      </c>
      <c r="AE535" t="s">
        <v>10323</v>
      </c>
      <c r="AF535" t="s">
        <v>74</v>
      </c>
      <c r="AG535">
        <v>57</v>
      </c>
      <c r="AH535">
        <v>17</v>
      </c>
      <c r="AI535">
        <v>18</v>
      </c>
      <c r="AJ535">
        <v>2</v>
      </c>
      <c r="AK535">
        <v>29</v>
      </c>
      <c r="AL535" t="s">
        <v>656</v>
      </c>
      <c r="AM535" t="s">
        <v>93</v>
      </c>
      <c r="AN535" t="s">
        <v>657</v>
      </c>
      <c r="AO535" t="s">
        <v>911</v>
      </c>
      <c r="AP535" t="s">
        <v>912</v>
      </c>
      <c r="AQ535" t="s">
        <v>74</v>
      </c>
      <c r="AR535" t="s">
        <v>913</v>
      </c>
      <c r="AS535" t="s">
        <v>914</v>
      </c>
      <c r="AT535" t="s">
        <v>8336</v>
      </c>
      <c r="AU535">
        <v>2017</v>
      </c>
      <c r="AV535">
        <v>138</v>
      </c>
      <c r="AW535" t="s">
        <v>74</v>
      </c>
      <c r="AX535" t="s">
        <v>74</v>
      </c>
      <c r="AY535" t="s">
        <v>74</v>
      </c>
      <c r="AZ535" t="s">
        <v>74</v>
      </c>
      <c r="BA535" t="s">
        <v>74</v>
      </c>
      <c r="BB535">
        <v>39</v>
      </c>
      <c r="BC535">
        <v>51</v>
      </c>
      <c r="BD535" t="s">
        <v>74</v>
      </c>
      <c r="BE535" t="s">
        <v>10324</v>
      </c>
      <c r="BF535" t="str">
        <f>HYPERLINK("http://dx.doi.org/10.1016/j.dsr2.2015.10.006","http://dx.doi.org/10.1016/j.dsr2.2015.10.006")</f>
        <v>http://dx.doi.org/10.1016/j.dsr2.2015.10.006</v>
      </c>
      <c r="BG535" t="s">
        <v>74</v>
      </c>
      <c r="BH535" t="s">
        <v>74</v>
      </c>
      <c r="BI535">
        <v>13</v>
      </c>
      <c r="BJ535" t="s">
        <v>127</v>
      </c>
      <c r="BK535" t="s">
        <v>103</v>
      </c>
      <c r="BL535" t="s">
        <v>127</v>
      </c>
      <c r="BM535" t="s">
        <v>8823</v>
      </c>
      <c r="BN535" t="s">
        <v>74</v>
      </c>
      <c r="BO535" t="s">
        <v>3371</v>
      </c>
      <c r="BP535" t="s">
        <v>74</v>
      </c>
      <c r="BQ535" t="s">
        <v>74</v>
      </c>
      <c r="BR535" t="s">
        <v>106</v>
      </c>
      <c r="BS535" t="s">
        <v>10325</v>
      </c>
      <c r="BT535" t="str">
        <f>HYPERLINK("https%3A%2F%2Fwww.webofscience.com%2Fwos%2Fwoscc%2Ffull-record%2FWOS:000401211100004","View Full Record in Web of Science")</f>
        <v>View Full Record in Web of Science</v>
      </c>
    </row>
    <row r="536" spans="1:72" x14ac:dyDescent="0.15">
      <c r="A536" t="s">
        <v>72</v>
      </c>
      <c r="B536" t="s">
        <v>10326</v>
      </c>
      <c r="C536" t="s">
        <v>74</v>
      </c>
      <c r="D536" t="s">
        <v>74</v>
      </c>
      <c r="E536" t="s">
        <v>74</v>
      </c>
      <c r="F536" t="s">
        <v>10327</v>
      </c>
      <c r="G536" t="s">
        <v>74</v>
      </c>
      <c r="H536" t="s">
        <v>74</v>
      </c>
      <c r="I536" t="s">
        <v>10328</v>
      </c>
      <c r="J536" t="s">
        <v>3239</v>
      </c>
      <c r="K536" t="s">
        <v>74</v>
      </c>
      <c r="L536" t="s">
        <v>74</v>
      </c>
      <c r="M536" t="s">
        <v>78</v>
      </c>
      <c r="N536" t="s">
        <v>79</v>
      </c>
      <c r="O536" t="s">
        <v>74</v>
      </c>
      <c r="P536" t="s">
        <v>74</v>
      </c>
      <c r="Q536" t="s">
        <v>74</v>
      </c>
      <c r="R536" t="s">
        <v>74</v>
      </c>
      <c r="S536" t="s">
        <v>74</v>
      </c>
      <c r="T536" t="s">
        <v>10329</v>
      </c>
      <c r="U536" t="s">
        <v>10330</v>
      </c>
      <c r="V536" t="s">
        <v>10331</v>
      </c>
      <c r="W536" t="s">
        <v>10332</v>
      </c>
      <c r="X536" t="s">
        <v>10333</v>
      </c>
      <c r="Y536" t="s">
        <v>10334</v>
      </c>
      <c r="Z536" t="s">
        <v>10335</v>
      </c>
      <c r="AA536" t="s">
        <v>10336</v>
      </c>
      <c r="AB536" t="s">
        <v>10337</v>
      </c>
      <c r="AC536" t="s">
        <v>10338</v>
      </c>
      <c r="AD536" t="s">
        <v>10339</v>
      </c>
      <c r="AE536" t="s">
        <v>10340</v>
      </c>
      <c r="AF536" t="s">
        <v>74</v>
      </c>
      <c r="AG536">
        <v>65</v>
      </c>
      <c r="AH536">
        <v>31</v>
      </c>
      <c r="AI536">
        <v>32</v>
      </c>
      <c r="AJ536">
        <v>1</v>
      </c>
      <c r="AK536">
        <v>29</v>
      </c>
      <c r="AL536" t="s">
        <v>317</v>
      </c>
      <c r="AM536" t="s">
        <v>318</v>
      </c>
      <c r="AN536" t="s">
        <v>319</v>
      </c>
      <c r="AO536" t="s">
        <v>3251</v>
      </c>
      <c r="AP536" t="s">
        <v>3252</v>
      </c>
      <c r="AQ536" t="s">
        <v>74</v>
      </c>
      <c r="AR536" t="s">
        <v>3253</v>
      </c>
      <c r="AS536" t="s">
        <v>3254</v>
      </c>
      <c r="AT536" t="s">
        <v>8595</v>
      </c>
      <c r="AU536">
        <v>2017</v>
      </c>
      <c r="AV536">
        <v>463</v>
      </c>
      <c r="AW536" t="s">
        <v>74</v>
      </c>
      <c r="AX536" t="s">
        <v>74</v>
      </c>
      <c r="AY536" t="s">
        <v>74</v>
      </c>
      <c r="AZ536" t="s">
        <v>74</v>
      </c>
      <c r="BA536" t="s">
        <v>74</v>
      </c>
      <c r="BB536">
        <v>118</v>
      </c>
      <c r="BC536">
        <v>126</v>
      </c>
      <c r="BD536" t="s">
        <v>74</v>
      </c>
      <c r="BE536" t="s">
        <v>10341</v>
      </c>
      <c r="BF536" t="str">
        <f>HYPERLINK("http://dx.doi.org/10.1016/j.epsl.2017.01.030","http://dx.doi.org/10.1016/j.epsl.2017.01.030")</f>
        <v>http://dx.doi.org/10.1016/j.epsl.2017.01.030</v>
      </c>
      <c r="BG536" t="s">
        <v>74</v>
      </c>
      <c r="BH536" t="s">
        <v>74</v>
      </c>
      <c r="BI536">
        <v>9</v>
      </c>
      <c r="BJ536" t="s">
        <v>176</v>
      </c>
      <c r="BK536" t="s">
        <v>103</v>
      </c>
      <c r="BL536" t="s">
        <v>176</v>
      </c>
      <c r="BM536" t="s">
        <v>10342</v>
      </c>
      <c r="BN536" t="s">
        <v>74</v>
      </c>
      <c r="BO536" t="s">
        <v>74</v>
      </c>
      <c r="BP536" t="s">
        <v>74</v>
      </c>
      <c r="BQ536" t="s">
        <v>74</v>
      </c>
      <c r="BR536" t="s">
        <v>106</v>
      </c>
      <c r="BS536" t="s">
        <v>10343</v>
      </c>
      <c r="BT536" t="str">
        <f>HYPERLINK("https%3A%2F%2Fwww.webofscience.com%2Fwos%2Fwoscc%2Ffull-record%2FWOS:000395919200011","View Full Record in Web of Science")</f>
        <v>View Full Record in Web of Science</v>
      </c>
    </row>
    <row r="537" spans="1:72" x14ac:dyDescent="0.15">
      <c r="A537" t="s">
        <v>72</v>
      </c>
      <c r="B537" t="s">
        <v>10344</v>
      </c>
      <c r="C537" t="s">
        <v>74</v>
      </c>
      <c r="D537" t="s">
        <v>74</v>
      </c>
      <c r="E537" t="s">
        <v>74</v>
      </c>
      <c r="F537" t="s">
        <v>10345</v>
      </c>
      <c r="G537" t="s">
        <v>74</v>
      </c>
      <c r="H537" t="s">
        <v>74</v>
      </c>
      <c r="I537" t="s">
        <v>10346</v>
      </c>
      <c r="J537" t="s">
        <v>10347</v>
      </c>
      <c r="K537" t="s">
        <v>74</v>
      </c>
      <c r="L537" t="s">
        <v>74</v>
      </c>
      <c r="M537" t="s">
        <v>78</v>
      </c>
      <c r="N537" t="s">
        <v>79</v>
      </c>
      <c r="O537" t="s">
        <v>74</v>
      </c>
      <c r="P537" t="s">
        <v>74</v>
      </c>
      <c r="Q537" t="s">
        <v>74</v>
      </c>
      <c r="R537" t="s">
        <v>74</v>
      </c>
      <c r="S537" t="s">
        <v>74</v>
      </c>
      <c r="T537" t="s">
        <v>74</v>
      </c>
      <c r="U537" t="s">
        <v>10348</v>
      </c>
      <c r="V537" t="s">
        <v>10349</v>
      </c>
      <c r="W537" t="s">
        <v>10350</v>
      </c>
      <c r="X537" t="s">
        <v>10351</v>
      </c>
      <c r="Y537" t="s">
        <v>10352</v>
      </c>
      <c r="Z537" t="s">
        <v>10353</v>
      </c>
      <c r="AA537" t="s">
        <v>10354</v>
      </c>
      <c r="AB537" t="s">
        <v>10355</v>
      </c>
      <c r="AC537" t="s">
        <v>10356</v>
      </c>
      <c r="AD537" t="s">
        <v>10357</v>
      </c>
      <c r="AE537" t="s">
        <v>10358</v>
      </c>
      <c r="AF537" t="s">
        <v>74</v>
      </c>
      <c r="AG537">
        <v>68</v>
      </c>
      <c r="AH537">
        <v>13</v>
      </c>
      <c r="AI537">
        <v>14</v>
      </c>
      <c r="AJ537">
        <v>0</v>
      </c>
      <c r="AK537">
        <v>33</v>
      </c>
      <c r="AL537" t="s">
        <v>681</v>
      </c>
      <c r="AM537" t="s">
        <v>682</v>
      </c>
      <c r="AN537" t="s">
        <v>683</v>
      </c>
      <c r="AO537" t="s">
        <v>10359</v>
      </c>
      <c r="AP537" t="s">
        <v>10360</v>
      </c>
      <c r="AQ537" t="s">
        <v>74</v>
      </c>
      <c r="AR537" t="s">
        <v>10347</v>
      </c>
      <c r="AS537" t="s">
        <v>10361</v>
      </c>
      <c r="AT537" t="s">
        <v>8336</v>
      </c>
      <c r="AU537">
        <v>2017</v>
      </c>
      <c r="AV537">
        <v>40</v>
      </c>
      <c r="AW537">
        <v>4</v>
      </c>
      <c r="AX537" t="s">
        <v>74</v>
      </c>
      <c r="AY537" t="s">
        <v>74</v>
      </c>
      <c r="AZ537" t="s">
        <v>74</v>
      </c>
      <c r="BA537" t="s">
        <v>74</v>
      </c>
      <c r="BB537">
        <v>549</v>
      </c>
      <c r="BC537">
        <v>560</v>
      </c>
      <c r="BD537" t="s">
        <v>74</v>
      </c>
      <c r="BE537" t="s">
        <v>10362</v>
      </c>
      <c r="BF537" t="str">
        <f>HYPERLINK("http://dx.doi.org/10.1111/ecog.01633","http://dx.doi.org/10.1111/ecog.01633")</f>
        <v>http://dx.doi.org/10.1111/ecog.01633</v>
      </c>
      <c r="BG537" t="s">
        <v>74</v>
      </c>
      <c r="BH537" t="s">
        <v>74</v>
      </c>
      <c r="BI537">
        <v>12</v>
      </c>
      <c r="BJ537" t="s">
        <v>1018</v>
      </c>
      <c r="BK537" t="s">
        <v>103</v>
      </c>
      <c r="BL537" t="s">
        <v>326</v>
      </c>
      <c r="BM537" t="s">
        <v>10363</v>
      </c>
      <c r="BN537" t="s">
        <v>74</v>
      </c>
      <c r="BO537" t="s">
        <v>9716</v>
      </c>
      <c r="BP537" t="s">
        <v>74</v>
      </c>
      <c r="BQ537" t="s">
        <v>74</v>
      </c>
      <c r="BR537" t="s">
        <v>106</v>
      </c>
      <c r="BS537" t="s">
        <v>10364</v>
      </c>
      <c r="BT537" t="str">
        <f>HYPERLINK("https%3A%2F%2Fwww.webofscience.com%2Fwos%2Fwoscc%2Ffull-record%2FWOS:000400176500010","View Full Record in Web of Science")</f>
        <v>View Full Record in Web of Science</v>
      </c>
    </row>
    <row r="538" spans="1:72" x14ac:dyDescent="0.15">
      <c r="A538" t="s">
        <v>72</v>
      </c>
      <c r="B538" t="s">
        <v>10365</v>
      </c>
      <c r="C538" t="s">
        <v>74</v>
      </c>
      <c r="D538" t="s">
        <v>74</v>
      </c>
      <c r="E538" t="s">
        <v>74</v>
      </c>
      <c r="F538" t="s">
        <v>10366</v>
      </c>
      <c r="G538" t="s">
        <v>74</v>
      </c>
      <c r="H538" t="s">
        <v>74</v>
      </c>
      <c r="I538" t="s">
        <v>10367</v>
      </c>
      <c r="J538" t="s">
        <v>951</v>
      </c>
      <c r="K538" t="s">
        <v>74</v>
      </c>
      <c r="L538" t="s">
        <v>74</v>
      </c>
      <c r="M538" t="s">
        <v>78</v>
      </c>
      <c r="N538" t="s">
        <v>79</v>
      </c>
      <c r="O538" t="s">
        <v>74</v>
      </c>
      <c r="P538" t="s">
        <v>74</v>
      </c>
      <c r="Q538" t="s">
        <v>74</v>
      </c>
      <c r="R538" t="s">
        <v>74</v>
      </c>
      <c r="S538" t="s">
        <v>74</v>
      </c>
      <c r="T538" t="s">
        <v>74</v>
      </c>
      <c r="U538" t="s">
        <v>10368</v>
      </c>
      <c r="V538" t="s">
        <v>10369</v>
      </c>
      <c r="W538" t="s">
        <v>10370</v>
      </c>
      <c r="X538" t="s">
        <v>10371</v>
      </c>
      <c r="Y538" t="s">
        <v>10372</v>
      </c>
      <c r="Z538" t="s">
        <v>10373</v>
      </c>
      <c r="AA538" t="s">
        <v>10374</v>
      </c>
      <c r="AB538" t="s">
        <v>10375</v>
      </c>
      <c r="AC538" t="s">
        <v>10376</v>
      </c>
      <c r="AD538" t="s">
        <v>10377</v>
      </c>
      <c r="AE538" t="s">
        <v>10378</v>
      </c>
      <c r="AF538" t="s">
        <v>74</v>
      </c>
      <c r="AG538">
        <v>47</v>
      </c>
      <c r="AH538">
        <v>76</v>
      </c>
      <c r="AI538">
        <v>85</v>
      </c>
      <c r="AJ538">
        <v>1</v>
      </c>
      <c r="AK538">
        <v>44</v>
      </c>
      <c r="AL538" t="s">
        <v>681</v>
      </c>
      <c r="AM538" t="s">
        <v>682</v>
      </c>
      <c r="AN538" t="s">
        <v>683</v>
      </c>
      <c r="AO538" t="s">
        <v>963</v>
      </c>
      <c r="AP538" t="s">
        <v>964</v>
      </c>
      <c r="AQ538" t="s">
        <v>74</v>
      </c>
      <c r="AR538" t="s">
        <v>965</v>
      </c>
      <c r="AS538" t="s">
        <v>966</v>
      </c>
      <c r="AT538" t="s">
        <v>8336</v>
      </c>
      <c r="AU538">
        <v>2017</v>
      </c>
      <c r="AV538">
        <v>19</v>
      </c>
      <c r="AW538">
        <v>4</v>
      </c>
      <c r="AX538" t="s">
        <v>74</v>
      </c>
      <c r="AY538" t="s">
        <v>74</v>
      </c>
      <c r="AZ538" t="s">
        <v>74</v>
      </c>
      <c r="BA538" t="s">
        <v>74</v>
      </c>
      <c r="BB538">
        <v>1612</v>
      </c>
      <c r="BC538">
        <v>1624</v>
      </c>
      <c r="BD538" t="s">
        <v>74</v>
      </c>
      <c r="BE538" t="s">
        <v>10379</v>
      </c>
      <c r="BF538" t="str">
        <f>HYPERLINK("http://dx.doi.org/10.1111/1462-2920.13681","http://dx.doi.org/10.1111/1462-2920.13681")</f>
        <v>http://dx.doi.org/10.1111/1462-2920.13681</v>
      </c>
      <c r="BG538" t="s">
        <v>74</v>
      </c>
      <c r="BH538" t="s">
        <v>74</v>
      </c>
      <c r="BI538">
        <v>13</v>
      </c>
      <c r="BJ538" t="s">
        <v>410</v>
      </c>
      <c r="BK538" t="s">
        <v>103</v>
      </c>
      <c r="BL538" t="s">
        <v>410</v>
      </c>
      <c r="BM538" t="s">
        <v>9171</v>
      </c>
      <c r="BN538">
        <v>28127878</v>
      </c>
      <c r="BO538" t="s">
        <v>74</v>
      </c>
      <c r="BP538" t="s">
        <v>74</v>
      </c>
      <c r="BQ538" t="s">
        <v>74</v>
      </c>
      <c r="BR538" t="s">
        <v>106</v>
      </c>
      <c r="BS538" t="s">
        <v>10380</v>
      </c>
      <c r="BT538" t="str">
        <f>HYPERLINK("https%3A%2F%2Fwww.webofscience.com%2Fwos%2Fwoscc%2Ffull-record%2FWOS:000398855400020","View Full Record in Web of Science")</f>
        <v>View Full Record in Web of Science</v>
      </c>
    </row>
    <row r="539" spans="1:72" x14ac:dyDescent="0.15">
      <c r="A539" t="s">
        <v>72</v>
      </c>
      <c r="B539" t="s">
        <v>10381</v>
      </c>
      <c r="C539" t="s">
        <v>74</v>
      </c>
      <c r="D539" t="s">
        <v>74</v>
      </c>
      <c r="E539" t="s">
        <v>74</v>
      </c>
      <c r="F539" t="s">
        <v>10382</v>
      </c>
      <c r="G539" t="s">
        <v>74</v>
      </c>
      <c r="H539" t="s">
        <v>74</v>
      </c>
      <c r="I539" t="s">
        <v>10383</v>
      </c>
      <c r="J539" t="s">
        <v>6483</v>
      </c>
      <c r="K539" t="s">
        <v>74</v>
      </c>
      <c r="L539" t="s">
        <v>74</v>
      </c>
      <c r="M539" t="s">
        <v>78</v>
      </c>
      <c r="N539" t="s">
        <v>79</v>
      </c>
      <c r="O539" t="s">
        <v>74</v>
      </c>
      <c r="P539" t="s">
        <v>74</v>
      </c>
      <c r="Q539" t="s">
        <v>74</v>
      </c>
      <c r="R539" t="s">
        <v>74</v>
      </c>
      <c r="S539" t="s">
        <v>74</v>
      </c>
      <c r="T539" t="s">
        <v>10384</v>
      </c>
      <c r="U539" t="s">
        <v>10385</v>
      </c>
      <c r="V539" t="s">
        <v>10386</v>
      </c>
      <c r="W539" t="s">
        <v>10387</v>
      </c>
      <c r="X539" t="s">
        <v>10388</v>
      </c>
      <c r="Y539" t="s">
        <v>10389</v>
      </c>
      <c r="Z539" t="s">
        <v>10390</v>
      </c>
      <c r="AA539" t="s">
        <v>10391</v>
      </c>
      <c r="AB539" t="s">
        <v>10392</v>
      </c>
      <c r="AC539" t="s">
        <v>74</v>
      </c>
      <c r="AD539" t="s">
        <v>74</v>
      </c>
      <c r="AE539" t="s">
        <v>74</v>
      </c>
      <c r="AF539" t="s">
        <v>74</v>
      </c>
      <c r="AG539">
        <v>33</v>
      </c>
      <c r="AH539">
        <v>93</v>
      </c>
      <c r="AI539">
        <v>99</v>
      </c>
      <c r="AJ539">
        <v>2</v>
      </c>
      <c r="AK539">
        <v>7</v>
      </c>
      <c r="AL539" t="s">
        <v>10393</v>
      </c>
      <c r="AM539" t="s">
        <v>6494</v>
      </c>
      <c r="AN539" t="s">
        <v>6495</v>
      </c>
      <c r="AO539" t="s">
        <v>6496</v>
      </c>
      <c r="AP539" t="s">
        <v>74</v>
      </c>
      <c r="AQ539" t="s">
        <v>74</v>
      </c>
      <c r="AR539" t="s">
        <v>6497</v>
      </c>
      <c r="AS539" t="s">
        <v>6498</v>
      </c>
      <c r="AT539" t="s">
        <v>8336</v>
      </c>
      <c r="AU539">
        <v>2017</v>
      </c>
      <c r="AV539">
        <v>12</v>
      </c>
      <c r="AW539">
        <v>4</v>
      </c>
      <c r="AX539" t="s">
        <v>74</v>
      </c>
      <c r="AY539" t="s">
        <v>74</v>
      </c>
      <c r="AZ539" t="s">
        <v>74</v>
      </c>
      <c r="BA539" t="s">
        <v>74</v>
      </c>
      <c r="BB539" t="s">
        <v>74</v>
      </c>
      <c r="BC539" t="s">
        <v>74</v>
      </c>
      <c r="BD539">
        <v>44013</v>
      </c>
      <c r="BE539" t="s">
        <v>10394</v>
      </c>
      <c r="BF539" t="str">
        <f>HYPERLINK("http://dx.doi.org/10.1088/1748-9326/aa6512","http://dx.doi.org/10.1088/1748-9326/aa6512")</f>
        <v>http://dx.doi.org/10.1088/1748-9326/aa6512</v>
      </c>
      <c r="BG539" t="s">
        <v>74</v>
      </c>
      <c r="BH539" t="s">
        <v>74</v>
      </c>
      <c r="BI539">
        <v>9</v>
      </c>
      <c r="BJ539" t="s">
        <v>3614</v>
      </c>
      <c r="BK539" t="s">
        <v>103</v>
      </c>
      <c r="BL539" t="s">
        <v>3615</v>
      </c>
      <c r="BM539" t="s">
        <v>10395</v>
      </c>
      <c r="BN539" t="s">
        <v>74</v>
      </c>
      <c r="BO539" t="s">
        <v>1224</v>
      </c>
      <c r="BP539" t="s">
        <v>74</v>
      </c>
      <c r="BQ539" t="s">
        <v>74</v>
      </c>
      <c r="BR539" t="s">
        <v>106</v>
      </c>
      <c r="BS539" t="s">
        <v>10396</v>
      </c>
      <c r="BT539" t="str">
        <f>HYPERLINK("https%3A%2F%2Fwww.webofscience.com%2Fwos%2Fwoscc%2Ffull-record%2FWOS:000398370600002","View Full Record in Web of Science")</f>
        <v>View Full Record in Web of Science</v>
      </c>
    </row>
    <row r="540" spans="1:72" x14ac:dyDescent="0.15">
      <c r="A540" t="s">
        <v>72</v>
      </c>
      <c r="B540" t="s">
        <v>10397</v>
      </c>
      <c r="C540" t="s">
        <v>74</v>
      </c>
      <c r="D540" t="s">
        <v>74</v>
      </c>
      <c r="E540" t="s">
        <v>74</v>
      </c>
      <c r="F540" t="s">
        <v>10398</v>
      </c>
      <c r="G540" t="s">
        <v>74</v>
      </c>
      <c r="H540" t="s">
        <v>74</v>
      </c>
      <c r="I540" t="s">
        <v>10399</v>
      </c>
      <c r="J540" t="s">
        <v>10400</v>
      </c>
      <c r="K540" t="s">
        <v>74</v>
      </c>
      <c r="L540" t="s">
        <v>74</v>
      </c>
      <c r="M540" t="s">
        <v>78</v>
      </c>
      <c r="N540" t="s">
        <v>79</v>
      </c>
      <c r="O540" t="s">
        <v>74</v>
      </c>
      <c r="P540" t="s">
        <v>74</v>
      </c>
      <c r="Q540" t="s">
        <v>74</v>
      </c>
      <c r="R540" t="s">
        <v>74</v>
      </c>
      <c r="S540" t="s">
        <v>74</v>
      </c>
      <c r="T540" t="s">
        <v>74</v>
      </c>
      <c r="U540" t="s">
        <v>10401</v>
      </c>
      <c r="V540" t="s">
        <v>10402</v>
      </c>
      <c r="W540" t="s">
        <v>10403</v>
      </c>
      <c r="X540" t="s">
        <v>10404</v>
      </c>
      <c r="Y540" t="s">
        <v>10405</v>
      </c>
      <c r="Z540" t="s">
        <v>10406</v>
      </c>
      <c r="AA540" t="s">
        <v>10407</v>
      </c>
      <c r="AB540" t="s">
        <v>10408</v>
      </c>
      <c r="AC540" t="s">
        <v>10409</v>
      </c>
      <c r="AD540" t="s">
        <v>10410</v>
      </c>
      <c r="AE540" t="s">
        <v>10411</v>
      </c>
      <c r="AF540" t="s">
        <v>74</v>
      </c>
      <c r="AG540">
        <v>17</v>
      </c>
      <c r="AH540">
        <v>23</v>
      </c>
      <c r="AI540">
        <v>26</v>
      </c>
      <c r="AJ540">
        <v>1</v>
      </c>
      <c r="AK540">
        <v>6</v>
      </c>
      <c r="AL540" t="s">
        <v>10412</v>
      </c>
      <c r="AM540" t="s">
        <v>223</v>
      </c>
      <c r="AN540" t="s">
        <v>10413</v>
      </c>
      <c r="AO540" t="s">
        <v>74</v>
      </c>
      <c r="AP540" t="s">
        <v>10414</v>
      </c>
      <c r="AQ540" t="s">
        <v>74</v>
      </c>
      <c r="AR540" t="s">
        <v>10400</v>
      </c>
      <c r="AS540" t="s">
        <v>10415</v>
      </c>
      <c r="AT540" t="s">
        <v>8336</v>
      </c>
      <c r="AU540">
        <v>2017</v>
      </c>
      <c r="AV540">
        <v>5</v>
      </c>
      <c r="AW540">
        <v>17</v>
      </c>
      <c r="AX540" t="s">
        <v>74</v>
      </c>
      <c r="AY540" t="s">
        <v>74</v>
      </c>
      <c r="AZ540" t="s">
        <v>74</v>
      </c>
      <c r="BA540" t="s">
        <v>74</v>
      </c>
      <c r="BB540" t="s">
        <v>74</v>
      </c>
      <c r="BC540" t="s">
        <v>74</v>
      </c>
      <c r="BD540" t="s">
        <v>10416</v>
      </c>
      <c r="BE540" t="s">
        <v>10417</v>
      </c>
      <c r="BF540" t="str">
        <f>HYPERLINK("http://dx.doi.org/10.1128/genomeA.00047-17","http://dx.doi.org/10.1128/genomeA.00047-17")</f>
        <v>http://dx.doi.org/10.1128/genomeA.00047-17</v>
      </c>
      <c r="BG540" t="s">
        <v>74</v>
      </c>
      <c r="BH540" t="s">
        <v>74</v>
      </c>
      <c r="BI540">
        <v>4</v>
      </c>
      <c r="BJ540" t="s">
        <v>410</v>
      </c>
      <c r="BK540" t="s">
        <v>1794</v>
      </c>
      <c r="BL540" t="s">
        <v>410</v>
      </c>
      <c r="BM540" t="s">
        <v>10418</v>
      </c>
      <c r="BN540">
        <v>28450499</v>
      </c>
      <c r="BO540" t="s">
        <v>2009</v>
      </c>
      <c r="BP540" t="s">
        <v>74</v>
      </c>
      <c r="BQ540" t="s">
        <v>74</v>
      </c>
      <c r="BR540" t="s">
        <v>106</v>
      </c>
      <c r="BS540" t="s">
        <v>10419</v>
      </c>
      <c r="BT540" t="str">
        <f>HYPERLINK("https%3A%2F%2Fwww.webofscience.com%2Fwos%2Fwoscc%2Ffull-record%2FWOS:000460695300001","View Full Record in Web of Science")</f>
        <v>View Full Record in Web of Science</v>
      </c>
    </row>
    <row r="541" spans="1:72" x14ac:dyDescent="0.15">
      <c r="A541" t="s">
        <v>72</v>
      </c>
      <c r="B541" t="s">
        <v>10420</v>
      </c>
      <c r="C541" t="s">
        <v>74</v>
      </c>
      <c r="D541" t="s">
        <v>74</v>
      </c>
      <c r="E541" t="s">
        <v>74</v>
      </c>
      <c r="F541" t="s">
        <v>10421</v>
      </c>
      <c r="G541" t="s">
        <v>74</v>
      </c>
      <c r="H541" t="s">
        <v>74</v>
      </c>
      <c r="I541" t="s">
        <v>10422</v>
      </c>
      <c r="J541" t="s">
        <v>10423</v>
      </c>
      <c r="K541" t="s">
        <v>74</v>
      </c>
      <c r="L541" t="s">
        <v>74</v>
      </c>
      <c r="M541" t="s">
        <v>78</v>
      </c>
      <c r="N541" t="s">
        <v>79</v>
      </c>
      <c r="O541" t="s">
        <v>74</v>
      </c>
      <c r="P541" t="s">
        <v>74</v>
      </c>
      <c r="Q541" t="s">
        <v>74</v>
      </c>
      <c r="R541" t="s">
        <v>74</v>
      </c>
      <c r="S541" t="s">
        <v>74</v>
      </c>
      <c r="T541" t="s">
        <v>10424</v>
      </c>
      <c r="U541" t="s">
        <v>10425</v>
      </c>
      <c r="V541" t="s">
        <v>10426</v>
      </c>
      <c r="W541" t="s">
        <v>10427</v>
      </c>
      <c r="X541" t="s">
        <v>2399</v>
      </c>
      <c r="Y541" t="s">
        <v>10428</v>
      </c>
      <c r="Z541" t="s">
        <v>10429</v>
      </c>
      <c r="AA541" t="s">
        <v>10430</v>
      </c>
      <c r="AB541" t="s">
        <v>10431</v>
      </c>
      <c r="AC541" t="s">
        <v>10432</v>
      </c>
      <c r="AD541" t="s">
        <v>10433</v>
      </c>
      <c r="AE541" t="s">
        <v>10434</v>
      </c>
      <c r="AF541" t="s">
        <v>74</v>
      </c>
      <c r="AG541">
        <v>50</v>
      </c>
      <c r="AH541">
        <v>17</v>
      </c>
      <c r="AI541">
        <v>17</v>
      </c>
      <c r="AJ541">
        <v>1</v>
      </c>
      <c r="AK541">
        <v>22</v>
      </c>
      <c r="AL541" t="s">
        <v>681</v>
      </c>
      <c r="AM541" t="s">
        <v>682</v>
      </c>
      <c r="AN541" t="s">
        <v>683</v>
      </c>
      <c r="AO541" t="s">
        <v>10435</v>
      </c>
      <c r="AP541" t="s">
        <v>10436</v>
      </c>
      <c r="AQ541" t="s">
        <v>74</v>
      </c>
      <c r="AR541" t="s">
        <v>10437</v>
      </c>
      <c r="AS541" t="s">
        <v>10438</v>
      </c>
      <c r="AT541" t="s">
        <v>8336</v>
      </c>
      <c r="AU541">
        <v>2017</v>
      </c>
      <c r="AV541">
        <v>37</v>
      </c>
      <c r="AW541">
        <v>5</v>
      </c>
      <c r="AX541" t="s">
        <v>74</v>
      </c>
      <c r="AY541" t="s">
        <v>74</v>
      </c>
      <c r="AZ541" t="s">
        <v>74</v>
      </c>
      <c r="BA541" t="s">
        <v>74</v>
      </c>
      <c r="BB541">
        <v>2325</v>
      </c>
      <c r="BC541">
        <v>2336</v>
      </c>
      <c r="BD541" t="s">
        <v>74</v>
      </c>
      <c r="BE541" t="s">
        <v>10439</v>
      </c>
      <c r="BF541" t="str">
        <f>HYPERLINK("http://dx.doi.org/10.1002/joc.4848","http://dx.doi.org/10.1002/joc.4848")</f>
        <v>http://dx.doi.org/10.1002/joc.4848</v>
      </c>
      <c r="BG541" t="s">
        <v>74</v>
      </c>
      <c r="BH541" t="s">
        <v>74</v>
      </c>
      <c r="BI541">
        <v>12</v>
      </c>
      <c r="BJ541" t="s">
        <v>1261</v>
      </c>
      <c r="BK541" t="s">
        <v>103</v>
      </c>
      <c r="BL541" t="s">
        <v>1261</v>
      </c>
      <c r="BM541" t="s">
        <v>10440</v>
      </c>
      <c r="BN541" t="s">
        <v>74</v>
      </c>
      <c r="BO541" t="s">
        <v>1100</v>
      </c>
      <c r="BP541" t="s">
        <v>74</v>
      </c>
      <c r="BQ541" t="s">
        <v>74</v>
      </c>
      <c r="BR541" t="s">
        <v>106</v>
      </c>
      <c r="BS541" t="s">
        <v>10441</v>
      </c>
      <c r="BT541" t="str">
        <f>HYPERLINK("https%3A%2F%2Fwww.webofscience.com%2Fwos%2Fwoscc%2Ffull-record%2FWOS:000398859700011","View Full Record in Web of Science")</f>
        <v>View Full Record in Web of Science</v>
      </c>
    </row>
    <row r="542" spans="1:72" x14ac:dyDescent="0.15">
      <c r="A542" t="s">
        <v>72</v>
      </c>
      <c r="B542" t="s">
        <v>10442</v>
      </c>
      <c r="C542" t="s">
        <v>74</v>
      </c>
      <c r="D542" t="s">
        <v>74</v>
      </c>
      <c r="E542" t="s">
        <v>74</v>
      </c>
      <c r="F542" t="s">
        <v>10443</v>
      </c>
      <c r="G542" t="s">
        <v>74</v>
      </c>
      <c r="H542" t="s">
        <v>74</v>
      </c>
      <c r="I542" t="s">
        <v>10444</v>
      </c>
      <c r="J542" t="s">
        <v>389</v>
      </c>
      <c r="K542" t="s">
        <v>74</v>
      </c>
      <c r="L542" t="s">
        <v>74</v>
      </c>
      <c r="M542" t="s">
        <v>78</v>
      </c>
      <c r="N542" t="s">
        <v>79</v>
      </c>
      <c r="O542" t="s">
        <v>74</v>
      </c>
      <c r="P542" t="s">
        <v>74</v>
      </c>
      <c r="Q542" t="s">
        <v>74</v>
      </c>
      <c r="R542" t="s">
        <v>74</v>
      </c>
      <c r="S542" t="s">
        <v>74</v>
      </c>
      <c r="T542" t="s">
        <v>10445</v>
      </c>
      <c r="U542" t="s">
        <v>10446</v>
      </c>
      <c r="V542" t="s">
        <v>10447</v>
      </c>
      <c r="W542" t="s">
        <v>10448</v>
      </c>
      <c r="X542" t="s">
        <v>10449</v>
      </c>
      <c r="Y542" t="s">
        <v>10450</v>
      </c>
      <c r="Z542" t="s">
        <v>10451</v>
      </c>
      <c r="AA542" t="s">
        <v>10452</v>
      </c>
      <c r="AB542" t="s">
        <v>10453</v>
      </c>
      <c r="AC542" t="s">
        <v>10454</v>
      </c>
      <c r="AD542" t="s">
        <v>10455</v>
      </c>
      <c r="AE542" t="s">
        <v>10456</v>
      </c>
      <c r="AF542" t="s">
        <v>74</v>
      </c>
      <c r="AG542">
        <v>25</v>
      </c>
      <c r="AH542">
        <v>14</v>
      </c>
      <c r="AI542">
        <v>17</v>
      </c>
      <c r="AJ542">
        <v>2</v>
      </c>
      <c r="AK542">
        <v>15</v>
      </c>
      <c r="AL542" t="s">
        <v>402</v>
      </c>
      <c r="AM542" t="s">
        <v>403</v>
      </c>
      <c r="AN542" t="s">
        <v>5114</v>
      </c>
      <c r="AO542" t="s">
        <v>405</v>
      </c>
      <c r="AP542" t="s">
        <v>406</v>
      </c>
      <c r="AQ542" t="s">
        <v>74</v>
      </c>
      <c r="AR542" t="s">
        <v>407</v>
      </c>
      <c r="AS542" t="s">
        <v>408</v>
      </c>
      <c r="AT542" t="s">
        <v>8336</v>
      </c>
      <c r="AU542">
        <v>2017</v>
      </c>
      <c r="AV542">
        <v>67</v>
      </c>
      <c r="AW542">
        <v>4</v>
      </c>
      <c r="AX542" t="s">
        <v>74</v>
      </c>
      <c r="AY542" t="s">
        <v>74</v>
      </c>
      <c r="AZ542" t="s">
        <v>74</v>
      </c>
      <c r="BA542" t="s">
        <v>74</v>
      </c>
      <c r="BB542">
        <v>944</v>
      </c>
      <c r="BC542">
        <v>950</v>
      </c>
      <c r="BD542" t="s">
        <v>74</v>
      </c>
      <c r="BE542" t="s">
        <v>10457</v>
      </c>
      <c r="BF542" t="str">
        <f>HYPERLINK("http://dx.doi.org/10.1099/ijsem.0.001721","http://dx.doi.org/10.1099/ijsem.0.001721")</f>
        <v>http://dx.doi.org/10.1099/ijsem.0.001721</v>
      </c>
      <c r="BG542" t="s">
        <v>74</v>
      </c>
      <c r="BH542" t="s">
        <v>74</v>
      </c>
      <c r="BI542">
        <v>7</v>
      </c>
      <c r="BJ542" t="s">
        <v>410</v>
      </c>
      <c r="BK542" t="s">
        <v>103</v>
      </c>
      <c r="BL542" t="s">
        <v>410</v>
      </c>
      <c r="BM542" t="s">
        <v>8746</v>
      </c>
      <c r="BN542">
        <v>27959786</v>
      </c>
      <c r="BO542" t="s">
        <v>7751</v>
      </c>
      <c r="BP542" t="s">
        <v>74</v>
      </c>
      <c r="BQ542" t="s">
        <v>74</v>
      </c>
      <c r="BR542" t="s">
        <v>106</v>
      </c>
      <c r="BS542" t="s">
        <v>10458</v>
      </c>
      <c r="BT542" t="str">
        <f>HYPERLINK("https%3A%2F%2Fwww.webofscience.com%2Fwos%2Fwoscc%2Ffull-record%2FWOS:000401992800030","View Full Record in Web of Science")</f>
        <v>View Full Record in Web of Science</v>
      </c>
    </row>
    <row r="543" spans="1:72" x14ac:dyDescent="0.15">
      <c r="A543" t="s">
        <v>72</v>
      </c>
      <c r="B543" t="s">
        <v>10459</v>
      </c>
      <c r="C543" t="s">
        <v>74</v>
      </c>
      <c r="D543" t="s">
        <v>74</v>
      </c>
      <c r="E543" t="s">
        <v>74</v>
      </c>
      <c r="F543" t="s">
        <v>10460</v>
      </c>
      <c r="G543" t="s">
        <v>74</v>
      </c>
      <c r="H543" t="s">
        <v>74</v>
      </c>
      <c r="I543" t="s">
        <v>10461</v>
      </c>
      <c r="J543" t="s">
        <v>10462</v>
      </c>
      <c r="K543" t="s">
        <v>74</v>
      </c>
      <c r="L543" t="s">
        <v>74</v>
      </c>
      <c r="M543" t="s">
        <v>78</v>
      </c>
      <c r="N543" t="s">
        <v>2082</v>
      </c>
      <c r="O543" t="s">
        <v>74</v>
      </c>
      <c r="P543" t="s">
        <v>74</v>
      </c>
      <c r="Q543" t="s">
        <v>74</v>
      </c>
      <c r="R543" t="s">
        <v>74</v>
      </c>
      <c r="S543" t="s">
        <v>74</v>
      </c>
      <c r="T543" t="s">
        <v>74</v>
      </c>
      <c r="U543" t="s">
        <v>74</v>
      </c>
      <c r="V543" t="s">
        <v>74</v>
      </c>
      <c r="W543" t="s">
        <v>10463</v>
      </c>
      <c r="X543" t="s">
        <v>10464</v>
      </c>
      <c r="Y543" t="s">
        <v>10465</v>
      </c>
      <c r="Z543" t="s">
        <v>74</v>
      </c>
      <c r="AA543" t="s">
        <v>10466</v>
      </c>
      <c r="AB543" t="s">
        <v>10467</v>
      </c>
      <c r="AC543" t="s">
        <v>74</v>
      </c>
      <c r="AD543" t="s">
        <v>74</v>
      </c>
      <c r="AE543" t="s">
        <v>74</v>
      </c>
      <c r="AF543" t="s">
        <v>74</v>
      </c>
      <c r="AG543">
        <v>0</v>
      </c>
      <c r="AH543">
        <v>0</v>
      </c>
      <c r="AI543">
        <v>0</v>
      </c>
      <c r="AJ543">
        <v>0</v>
      </c>
      <c r="AK543">
        <v>5</v>
      </c>
      <c r="AL543" t="s">
        <v>681</v>
      </c>
      <c r="AM543" t="s">
        <v>682</v>
      </c>
      <c r="AN543" t="s">
        <v>683</v>
      </c>
      <c r="AO543" t="s">
        <v>10468</v>
      </c>
      <c r="AP543" t="s">
        <v>10469</v>
      </c>
      <c r="AQ543" t="s">
        <v>74</v>
      </c>
      <c r="AR543" t="s">
        <v>10470</v>
      </c>
      <c r="AS543" t="s">
        <v>10471</v>
      </c>
      <c r="AT543" t="s">
        <v>8336</v>
      </c>
      <c r="AU543">
        <v>2017</v>
      </c>
      <c r="AV543">
        <v>33</v>
      </c>
      <c r="AW543">
        <v>2</v>
      </c>
      <c r="AX543" t="s">
        <v>74</v>
      </c>
      <c r="AY543" t="s">
        <v>74</v>
      </c>
      <c r="AZ543" t="s">
        <v>74</v>
      </c>
      <c r="BA543" t="s">
        <v>74</v>
      </c>
      <c r="BB543">
        <v>162</v>
      </c>
      <c r="BC543">
        <v>162</v>
      </c>
      <c r="BD543" t="s">
        <v>74</v>
      </c>
      <c r="BE543" t="s">
        <v>10472</v>
      </c>
      <c r="BF543" t="str">
        <f>HYPERLINK("http://dx.doi.org/10.1111/jai.13315","http://dx.doi.org/10.1111/jai.13315")</f>
        <v>http://dx.doi.org/10.1111/jai.13315</v>
      </c>
      <c r="BG543" t="s">
        <v>74</v>
      </c>
      <c r="BH543" t="s">
        <v>74</v>
      </c>
      <c r="BI543">
        <v>1</v>
      </c>
      <c r="BJ543" t="s">
        <v>1198</v>
      </c>
      <c r="BK543" t="s">
        <v>103</v>
      </c>
      <c r="BL543" t="s">
        <v>1198</v>
      </c>
      <c r="BM543" t="s">
        <v>10473</v>
      </c>
      <c r="BN543" t="s">
        <v>74</v>
      </c>
      <c r="BO543" t="s">
        <v>131</v>
      </c>
      <c r="BP543" t="s">
        <v>74</v>
      </c>
      <c r="BQ543" t="s">
        <v>74</v>
      </c>
      <c r="BR543" t="s">
        <v>106</v>
      </c>
      <c r="BS543" t="s">
        <v>10474</v>
      </c>
      <c r="BT543" t="str">
        <f>HYPERLINK("https%3A%2F%2Fwww.webofscience.com%2Fwos%2Fwoscc%2Ffull-record%2FWOS:000397476300001","View Full Record in Web of Science")</f>
        <v>View Full Record in Web of Science</v>
      </c>
    </row>
    <row r="544" spans="1:72" x14ac:dyDescent="0.15">
      <c r="A544" t="s">
        <v>72</v>
      </c>
      <c r="B544" t="s">
        <v>10475</v>
      </c>
      <c r="C544" t="s">
        <v>74</v>
      </c>
      <c r="D544" t="s">
        <v>74</v>
      </c>
      <c r="E544" t="s">
        <v>74</v>
      </c>
      <c r="F544" t="s">
        <v>10476</v>
      </c>
      <c r="G544" t="s">
        <v>74</v>
      </c>
      <c r="H544" t="s">
        <v>74</v>
      </c>
      <c r="I544" t="s">
        <v>10477</v>
      </c>
      <c r="J544" t="s">
        <v>9335</v>
      </c>
      <c r="K544" t="s">
        <v>74</v>
      </c>
      <c r="L544" t="s">
        <v>74</v>
      </c>
      <c r="M544" t="s">
        <v>78</v>
      </c>
      <c r="N544" t="s">
        <v>79</v>
      </c>
      <c r="O544" t="s">
        <v>74</v>
      </c>
      <c r="P544" t="s">
        <v>74</v>
      </c>
      <c r="Q544" t="s">
        <v>74</v>
      </c>
      <c r="R544" t="s">
        <v>74</v>
      </c>
      <c r="S544" t="s">
        <v>74</v>
      </c>
      <c r="T544" t="s">
        <v>10478</v>
      </c>
      <c r="U544" t="s">
        <v>10479</v>
      </c>
      <c r="V544" t="s">
        <v>10480</v>
      </c>
      <c r="W544" t="s">
        <v>10481</v>
      </c>
      <c r="X544" t="s">
        <v>10482</v>
      </c>
      <c r="Y544" t="s">
        <v>10483</v>
      </c>
      <c r="Z544" t="s">
        <v>10484</v>
      </c>
      <c r="AA544" t="s">
        <v>10485</v>
      </c>
      <c r="AB544" t="s">
        <v>10486</v>
      </c>
      <c r="AC544" t="s">
        <v>10487</v>
      </c>
      <c r="AD544" t="s">
        <v>10488</v>
      </c>
      <c r="AE544" t="s">
        <v>10489</v>
      </c>
      <c r="AF544" t="s">
        <v>74</v>
      </c>
      <c r="AG544">
        <v>52</v>
      </c>
      <c r="AH544">
        <v>9</v>
      </c>
      <c r="AI544">
        <v>9</v>
      </c>
      <c r="AJ544">
        <v>1</v>
      </c>
      <c r="AK544">
        <v>22</v>
      </c>
      <c r="AL544" t="s">
        <v>986</v>
      </c>
      <c r="AM544" t="s">
        <v>1191</v>
      </c>
      <c r="AN544" t="s">
        <v>1192</v>
      </c>
      <c r="AO544" t="s">
        <v>9348</v>
      </c>
      <c r="AP544" t="s">
        <v>9349</v>
      </c>
      <c r="AQ544" t="s">
        <v>74</v>
      </c>
      <c r="AR544" t="s">
        <v>9350</v>
      </c>
      <c r="AS544" t="s">
        <v>9351</v>
      </c>
      <c r="AT544" t="s">
        <v>8336</v>
      </c>
      <c r="AU544">
        <v>2017</v>
      </c>
      <c r="AV544">
        <v>29</v>
      </c>
      <c r="AW544">
        <v>2</v>
      </c>
      <c r="AX544" t="s">
        <v>74</v>
      </c>
      <c r="AY544" t="s">
        <v>74</v>
      </c>
      <c r="AZ544" t="s">
        <v>74</v>
      </c>
      <c r="BA544" t="s">
        <v>74</v>
      </c>
      <c r="BB544">
        <v>721</v>
      </c>
      <c r="BC544">
        <v>729</v>
      </c>
      <c r="BD544" t="s">
        <v>74</v>
      </c>
      <c r="BE544" t="s">
        <v>10490</v>
      </c>
      <c r="BF544" t="str">
        <f>HYPERLINK("http://dx.doi.org/10.1007/s10811-016-0913-5","http://dx.doi.org/10.1007/s10811-016-0913-5")</f>
        <v>http://dx.doi.org/10.1007/s10811-016-0913-5</v>
      </c>
      <c r="BG544" t="s">
        <v>74</v>
      </c>
      <c r="BH544" t="s">
        <v>74</v>
      </c>
      <c r="BI544">
        <v>9</v>
      </c>
      <c r="BJ544" t="s">
        <v>9353</v>
      </c>
      <c r="BK544" t="s">
        <v>103</v>
      </c>
      <c r="BL544" t="s">
        <v>9353</v>
      </c>
      <c r="BM544" t="s">
        <v>9354</v>
      </c>
      <c r="BN544" t="s">
        <v>74</v>
      </c>
      <c r="BO544" t="s">
        <v>74</v>
      </c>
      <c r="BP544" t="s">
        <v>74</v>
      </c>
      <c r="BQ544" t="s">
        <v>74</v>
      </c>
      <c r="BR544" t="s">
        <v>106</v>
      </c>
      <c r="BS544" t="s">
        <v>10491</v>
      </c>
      <c r="BT544" t="str">
        <f>HYPERLINK("https%3A%2F%2Fwww.webofscience.com%2Fwos%2Fwoscc%2Ffull-record%2FWOS:000399241500007","View Full Record in Web of Science")</f>
        <v>View Full Record in Web of Science</v>
      </c>
    </row>
    <row r="545" spans="1:72" x14ac:dyDescent="0.15">
      <c r="A545" t="s">
        <v>72</v>
      </c>
      <c r="B545" t="s">
        <v>10492</v>
      </c>
      <c r="C545" t="s">
        <v>74</v>
      </c>
      <c r="D545" t="s">
        <v>74</v>
      </c>
      <c r="E545" t="s">
        <v>74</v>
      </c>
      <c r="F545" t="s">
        <v>10493</v>
      </c>
      <c r="G545" t="s">
        <v>74</v>
      </c>
      <c r="H545" t="s">
        <v>74</v>
      </c>
      <c r="I545" t="s">
        <v>10494</v>
      </c>
      <c r="J545" t="s">
        <v>10495</v>
      </c>
      <c r="K545" t="s">
        <v>74</v>
      </c>
      <c r="L545" t="s">
        <v>74</v>
      </c>
      <c r="M545" t="s">
        <v>78</v>
      </c>
      <c r="N545" t="s">
        <v>79</v>
      </c>
      <c r="O545" t="s">
        <v>74</v>
      </c>
      <c r="P545" t="s">
        <v>74</v>
      </c>
      <c r="Q545" t="s">
        <v>74</v>
      </c>
      <c r="R545" t="s">
        <v>74</v>
      </c>
      <c r="S545" t="s">
        <v>74</v>
      </c>
      <c r="T545" t="s">
        <v>10496</v>
      </c>
      <c r="U545" t="s">
        <v>10497</v>
      </c>
      <c r="V545" t="s">
        <v>10498</v>
      </c>
      <c r="W545" t="s">
        <v>10499</v>
      </c>
      <c r="X545" t="s">
        <v>10500</v>
      </c>
      <c r="Y545" t="s">
        <v>10501</v>
      </c>
      <c r="Z545" t="s">
        <v>10502</v>
      </c>
      <c r="AA545" t="s">
        <v>10503</v>
      </c>
      <c r="AB545" t="s">
        <v>10504</v>
      </c>
      <c r="AC545" t="s">
        <v>10505</v>
      </c>
      <c r="AD545" t="s">
        <v>10506</v>
      </c>
      <c r="AE545" t="s">
        <v>10507</v>
      </c>
      <c r="AF545" t="s">
        <v>74</v>
      </c>
      <c r="AG545">
        <v>73</v>
      </c>
      <c r="AH545">
        <v>20</v>
      </c>
      <c r="AI545">
        <v>21</v>
      </c>
      <c r="AJ545">
        <v>0</v>
      </c>
      <c r="AK545">
        <v>21</v>
      </c>
      <c r="AL545" t="s">
        <v>681</v>
      </c>
      <c r="AM545" t="s">
        <v>682</v>
      </c>
      <c r="AN545" t="s">
        <v>683</v>
      </c>
      <c r="AO545" t="s">
        <v>10508</v>
      </c>
      <c r="AP545" t="s">
        <v>10509</v>
      </c>
      <c r="AQ545" t="s">
        <v>74</v>
      </c>
      <c r="AR545" t="s">
        <v>10510</v>
      </c>
      <c r="AS545" t="s">
        <v>10511</v>
      </c>
      <c r="AT545" t="s">
        <v>8336</v>
      </c>
      <c r="AU545">
        <v>2017</v>
      </c>
      <c r="AV545">
        <v>44</v>
      </c>
      <c r="AW545">
        <v>4</v>
      </c>
      <c r="AX545" t="s">
        <v>74</v>
      </c>
      <c r="AY545" t="s">
        <v>74</v>
      </c>
      <c r="AZ545" t="s">
        <v>74</v>
      </c>
      <c r="BA545" t="s">
        <v>74</v>
      </c>
      <c r="BB545">
        <v>848</v>
      </c>
      <c r="BC545">
        <v>860</v>
      </c>
      <c r="BD545" t="s">
        <v>74</v>
      </c>
      <c r="BE545" t="s">
        <v>10512</v>
      </c>
      <c r="BF545" t="str">
        <f>HYPERLINK("http://dx.doi.org/10.1111/jbi.12965","http://dx.doi.org/10.1111/jbi.12965")</f>
        <v>http://dx.doi.org/10.1111/jbi.12965</v>
      </c>
      <c r="BG545" t="s">
        <v>74</v>
      </c>
      <c r="BH545" t="s">
        <v>74</v>
      </c>
      <c r="BI545">
        <v>13</v>
      </c>
      <c r="BJ545" t="s">
        <v>10513</v>
      </c>
      <c r="BK545" t="s">
        <v>103</v>
      </c>
      <c r="BL545" t="s">
        <v>5539</v>
      </c>
      <c r="BM545" t="s">
        <v>10514</v>
      </c>
      <c r="BN545" t="s">
        <v>74</v>
      </c>
      <c r="BO545" t="s">
        <v>1538</v>
      </c>
      <c r="BP545" t="s">
        <v>74</v>
      </c>
      <c r="BQ545" t="s">
        <v>74</v>
      </c>
      <c r="BR545" t="s">
        <v>106</v>
      </c>
      <c r="BS545" t="s">
        <v>10515</v>
      </c>
      <c r="BT545" t="str">
        <f>HYPERLINK("https%3A%2F%2Fwww.webofscience.com%2Fwos%2Fwoscc%2Ffull-record%2FWOS:000398571000012","View Full Record in Web of Science")</f>
        <v>View Full Record in Web of Science</v>
      </c>
    </row>
    <row r="546" spans="1:72" x14ac:dyDescent="0.15">
      <c r="A546" t="s">
        <v>72</v>
      </c>
      <c r="B546" t="s">
        <v>10516</v>
      </c>
      <c r="C546" t="s">
        <v>74</v>
      </c>
      <c r="D546" t="s">
        <v>74</v>
      </c>
      <c r="E546" t="s">
        <v>74</v>
      </c>
      <c r="F546" t="s">
        <v>10517</v>
      </c>
      <c r="G546" t="s">
        <v>74</v>
      </c>
      <c r="H546" t="s">
        <v>74</v>
      </c>
      <c r="I546" t="s">
        <v>10518</v>
      </c>
      <c r="J546" t="s">
        <v>10495</v>
      </c>
      <c r="K546" t="s">
        <v>74</v>
      </c>
      <c r="L546" t="s">
        <v>74</v>
      </c>
      <c r="M546" t="s">
        <v>78</v>
      </c>
      <c r="N546" t="s">
        <v>79</v>
      </c>
      <c r="O546" t="s">
        <v>74</v>
      </c>
      <c r="P546" t="s">
        <v>74</v>
      </c>
      <c r="Q546" t="s">
        <v>74</v>
      </c>
      <c r="R546" t="s">
        <v>74</v>
      </c>
      <c r="S546" t="s">
        <v>74</v>
      </c>
      <c r="T546" t="s">
        <v>10519</v>
      </c>
      <c r="U546" t="s">
        <v>10520</v>
      </c>
      <c r="V546" t="s">
        <v>10521</v>
      </c>
      <c r="W546" t="s">
        <v>10522</v>
      </c>
      <c r="X546" t="s">
        <v>10523</v>
      </c>
      <c r="Y546" t="s">
        <v>10524</v>
      </c>
      <c r="Z546" t="s">
        <v>10525</v>
      </c>
      <c r="AA546" t="s">
        <v>10526</v>
      </c>
      <c r="AB546" t="s">
        <v>10527</v>
      </c>
      <c r="AC546" t="s">
        <v>10528</v>
      </c>
      <c r="AD546" t="s">
        <v>10529</v>
      </c>
      <c r="AE546" t="s">
        <v>10530</v>
      </c>
      <c r="AF546" t="s">
        <v>74</v>
      </c>
      <c r="AG546">
        <v>104</v>
      </c>
      <c r="AH546">
        <v>36</v>
      </c>
      <c r="AI546">
        <v>40</v>
      </c>
      <c r="AJ546">
        <v>1</v>
      </c>
      <c r="AK546">
        <v>39</v>
      </c>
      <c r="AL546" t="s">
        <v>681</v>
      </c>
      <c r="AM546" t="s">
        <v>682</v>
      </c>
      <c r="AN546" t="s">
        <v>683</v>
      </c>
      <c r="AO546" t="s">
        <v>10508</v>
      </c>
      <c r="AP546" t="s">
        <v>10509</v>
      </c>
      <c r="AQ546" t="s">
        <v>74</v>
      </c>
      <c r="AR546" t="s">
        <v>10510</v>
      </c>
      <c r="AS546" t="s">
        <v>10511</v>
      </c>
      <c r="AT546" t="s">
        <v>8336</v>
      </c>
      <c r="AU546">
        <v>2017</v>
      </c>
      <c r="AV546">
        <v>44</v>
      </c>
      <c r="AW546">
        <v>4</v>
      </c>
      <c r="AX546" t="s">
        <v>74</v>
      </c>
      <c r="AY546" t="s">
        <v>74</v>
      </c>
      <c r="AZ546" t="s">
        <v>74</v>
      </c>
      <c r="BA546" t="s">
        <v>74</v>
      </c>
      <c r="BB546">
        <v>861</v>
      </c>
      <c r="BC546">
        <v>874</v>
      </c>
      <c r="BD546" t="s">
        <v>74</v>
      </c>
      <c r="BE546" t="s">
        <v>10531</v>
      </c>
      <c r="BF546" t="str">
        <f>HYPERLINK("http://dx.doi.org/10.1111/jbi.12908","http://dx.doi.org/10.1111/jbi.12908")</f>
        <v>http://dx.doi.org/10.1111/jbi.12908</v>
      </c>
      <c r="BG546" t="s">
        <v>74</v>
      </c>
      <c r="BH546" t="s">
        <v>74</v>
      </c>
      <c r="BI546">
        <v>14</v>
      </c>
      <c r="BJ546" t="s">
        <v>10513</v>
      </c>
      <c r="BK546" t="s">
        <v>103</v>
      </c>
      <c r="BL546" t="s">
        <v>5539</v>
      </c>
      <c r="BM546" t="s">
        <v>10514</v>
      </c>
      <c r="BN546" t="s">
        <v>74</v>
      </c>
      <c r="BO546" t="s">
        <v>74</v>
      </c>
      <c r="BP546" t="s">
        <v>74</v>
      </c>
      <c r="BQ546" t="s">
        <v>74</v>
      </c>
      <c r="BR546" t="s">
        <v>106</v>
      </c>
      <c r="BS546" t="s">
        <v>10532</v>
      </c>
      <c r="BT546" t="str">
        <f>HYPERLINK("https%3A%2F%2Fwww.webofscience.com%2Fwos%2Fwoscc%2Ffull-record%2FWOS:000398571000013","View Full Record in Web of Science")</f>
        <v>View Full Record in Web of Science</v>
      </c>
    </row>
    <row r="547" spans="1:72" x14ac:dyDescent="0.15">
      <c r="A547" t="s">
        <v>72</v>
      </c>
      <c r="B547" t="s">
        <v>10533</v>
      </c>
      <c r="C547" t="s">
        <v>74</v>
      </c>
      <c r="D547" t="s">
        <v>74</v>
      </c>
      <c r="E547" t="s">
        <v>74</v>
      </c>
      <c r="F547" t="s">
        <v>10534</v>
      </c>
      <c r="G547" t="s">
        <v>74</v>
      </c>
      <c r="H547" t="s">
        <v>74</v>
      </c>
      <c r="I547" t="s">
        <v>10535</v>
      </c>
      <c r="J547" t="s">
        <v>10495</v>
      </c>
      <c r="K547" t="s">
        <v>74</v>
      </c>
      <c r="L547" t="s">
        <v>74</v>
      </c>
      <c r="M547" t="s">
        <v>78</v>
      </c>
      <c r="N547" t="s">
        <v>79</v>
      </c>
      <c r="O547" t="s">
        <v>74</v>
      </c>
      <c r="P547" t="s">
        <v>74</v>
      </c>
      <c r="Q547" t="s">
        <v>74</v>
      </c>
      <c r="R547" t="s">
        <v>74</v>
      </c>
      <c r="S547" t="s">
        <v>74</v>
      </c>
      <c r="T547" t="s">
        <v>10536</v>
      </c>
      <c r="U547" t="s">
        <v>10537</v>
      </c>
      <c r="V547" t="s">
        <v>10538</v>
      </c>
      <c r="W547" t="s">
        <v>10539</v>
      </c>
      <c r="X547" t="s">
        <v>10540</v>
      </c>
      <c r="Y547" t="s">
        <v>10541</v>
      </c>
      <c r="Z547" t="s">
        <v>10542</v>
      </c>
      <c r="AA547" t="s">
        <v>10543</v>
      </c>
      <c r="AB547" t="s">
        <v>10544</v>
      </c>
      <c r="AC547" t="s">
        <v>10545</v>
      </c>
      <c r="AD547" t="s">
        <v>10546</v>
      </c>
      <c r="AE547" t="s">
        <v>10547</v>
      </c>
      <c r="AF547" t="s">
        <v>74</v>
      </c>
      <c r="AG547">
        <v>72</v>
      </c>
      <c r="AH547">
        <v>7</v>
      </c>
      <c r="AI547">
        <v>9</v>
      </c>
      <c r="AJ547">
        <v>5</v>
      </c>
      <c r="AK547">
        <v>40</v>
      </c>
      <c r="AL547" t="s">
        <v>681</v>
      </c>
      <c r="AM547" t="s">
        <v>682</v>
      </c>
      <c r="AN547" t="s">
        <v>683</v>
      </c>
      <c r="AO547" t="s">
        <v>10508</v>
      </c>
      <c r="AP547" t="s">
        <v>10509</v>
      </c>
      <c r="AQ547" t="s">
        <v>74</v>
      </c>
      <c r="AR547" t="s">
        <v>10510</v>
      </c>
      <c r="AS547" t="s">
        <v>10511</v>
      </c>
      <c r="AT547" t="s">
        <v>8336</v>
      </c>
      <c r="AU547">
        <v>2017</v>
      </c>
      <c r="AV547">
        <v>44</v>
      </c>
      <c r="AW547">
        <v>4</v>
      </c>
      <c r="AX547" t="s">
        <v>74</v>
      </c>
      <c r="AY547" t="s">
        <v>74</v>
      </c>
      <c r="AZ547" t="s">
        <v>74</v>
      </c>
      <c r="BA547" t="s">
        <v>74</v>
      </c>
      <c r="BB547">
        <v>875</v>
      </c>
      <c r="BC547">
        <v>886</v>
      </c>
      <c r="BD547" t="s">
        <v>74</v>
      </c>
      <c r="BE547" t="s">
        <v>10548</v>
      </c>
      <c r="BF547" t="str">
        <f>HYPERLINK("http://dx.doi.org/10.1111/jbi.12952","http://dx.doi.org/10.1111/jbi.12952")</f>
        <v>http://dx.doi.org/10.1111/jbi.12952</v>
      </c>
      <c r="BG547" t="s">
        <v>74</v>
      </c>
      <c r="BH547" t="s">
        <v>74</v>
      </c>
      <c r="BI547">
        <v>12</v>
      </c>
      <c r="BJ547" t="s">
        <v>10513</v>
      </c>
      <c r="BK547" t="s">
        <v>103</v>
      </c>
      <c r="BL547" t="s">
        <v>5539</v>
      </c>
      <c r="BM547" t="s">
        <v>10514</v>
      </c>
      <c r="BN547" t="s">
        <v>74</v>
      </c>
      <c r="BO547" t="s">
        <v>74</v>
      </c>
      <c r="BP547" t="s">
        <v>74</v>
      </c>
      <c r="BQ547" t="s">
        <v>74</v>
      </c>
      <c r="BR547" t="s">
        <v>106</v>
      </c>
      <c r="BS547" t="s">
        <v>10549</v>
      </c>
      <c r="BT547" t="str">
        <f>HYPERLINK("https%3A%2F%2Fwww.webofscience.com%2Fwos%2Fwoscc%2Ffull-record%2FWOS:000398571000014","View Full Record in Web of Science")</f>
        <v>View Full Record in Web of Science</v>
      </c>
    </row>
    <row r="548" spans="1:72" x14ac:dyDescent="0.15">
      <c r="A548" t="s">
        <v>72</v>
      </c>
      <c r="B548" t="s">
        <v>10550</v>
      </c>
      <c r="C548" t="s">
        <v>74</v>
      </c>
      <c r="D548" t="s">
        <v>74</v>
      </c>
      <c r="E548" t="s">
        <v>74</v>
      </c>
      <c r="F548" t="s">
        <v>10551</v>
      </c>
      <c r="G548" t="s">
        <v>74</v>
      </c>
      <c r="H548" t="s">
        <v>74</v>
      </c>
      <c r="I548" t="s">
        <v>10552</v>
      </c>
      <c r="J548" t="s">
        <v>1521</v>
      </c>
      <c r="K548" t="s">
        <v>74</v>
      </c>
      <c r="L548" t="s">
        <v>74</v>
      </c>
      <c r="M548" t="s">
        <v>78</v>
      </c>
      <c r="N548" t="s">
        <v>79</v>
      </c>
      <c r="O548" t="s">
        <v>74</v>
      </c>
      <c r="P548" t="s">
        <v>74</v>
      </c>
      <c r="Q548" t="s">
        <v>74</v>
      </c>
      <c r="R548" t="s">
        <v>74</v>
      </c>
      <c r="S548" t="s">
        <v>74</v>
      </c>
      <c r="T548" t="s">
        <v>74</v>
      </c>
      <c r="U548" t="s">
        <v>10553</v>
      </c>
      <c r="V548" t="s">
        <v>10554</v>
      </c>
      <c r="W548" t="s">
        <v>10555</v>
      </c>
      <c r="X548" t="s">
        <v>10556</v>
      </c>
      <c r="Y548" t="s">
        <v>10557</v>
      </c>
      <c r="Z548" t="s">
        <v>10558</v>
      </c>
      <c r="AA548" t="s">
        <v>10559</v>
      </c>
      <c r="AB548" t="s">
        <v>10560</v>
      </c>
      <c r="AC548" t="s">
        <v>10561</v>
      </c>
      <c r="AD548" t="s">
        <v>10562</v>
      </c>
      <c r="AE548" t="s">
        <v>10563</v>
      </c>
      <c r="AF548" t="s">
        <v>74</v>
      </c>
      <c r="AG548">
        <v>59</v>
      </c>
      <c r="AH548">
        <v>25</v>
      </c>
      <c r="AI548">
        <v>27</v>
      </c>
      <c r="AJ548">
        <v>0</v>
      </c>
      <c r="AK548">
        <v>19</v>
      </c>
      <c r="AL548" t="s">
        <v>1115</v>
      </c>
      <c r="AM548" t="s">
        <v>1116</v>
      </c>
      <c r="AN548" t="s">
        <v>1117</v>
      </c>
      <c r="AO548" t="s">
        <v>1532</v>
      </c>
      <c r="AP548" t="s">
        <v>1533</v>
      </c>
      <c r="AQ548" t="s">
        <v>74</v>
      </c>
      <c r="AR548" t="s">
        <v>1534</v>
      </c>
      <c r="AS548" t="s">
        <v>1535</v>
      </c>
      <c r="AT548" t="s">
        <v>8336</v>
      </c>
      <c r="AU548">
        <v>2017</v>
      </c>
      <c r="AV548">
        <v>30</v>
      </c>
      <c r="AW548">
        <v>7</v>
      </c>
      <c r="AX548" t="s">
        <v>74</v>
      </c>
      <c r="AY548" t="s">
        <v>74</v>
      </c>
      <c r="AZ548" t="s">
        <v>74</v>
      </c>
      <c r="BA548" t="s">
        <v>74</v>
      </c>
      <c r="BB548">
        <v>2395</v>
      </c>
      <c r="BC548">
        <v>2414</v>
      </c>
      <c r="BD548" t="s">
        <v>74</v>
      </c>
      <c r="BE548" t="s">
        <v>10564</v>
      </c>
      <c r="BF548" t="str">
        <f>HYPERLINK("http://dx.doi.org/10.1175/JCLI-D-16-0400.1","http://dx.doi.org/10.1175/JCLI-D-16-0400.1")</f>
        <v>http://dx.doi.org/10.1175/JCLI-D-16-0400.1</v>
      </c>
      <c r="BG548" t="s">
        <v>74</v>
      </c>
      <c r="BH548" t="s">
        <v>74</v>
      </c>
      <c r="BI548">
        <v>20</v>
      </c>
      <c r="BJ548" t="s">
        <v>1261</v>
      </c>
      <c r="BK548" t="s">
        <v>103</v>
      </c>
      <c r="BL548" t="s">
        <v>1261</v>
      </c>
      <c r="BM548" t="s">
        <v>9063</v>
      </c>
      <c r="BN548" t="s">
        <v>74</v>
      </c>
      <c r="BO548" t="s">
        <v>10565</v>
      </c>
      <c r="BP548" t="s">
        <v>74</v>
      </c>
      <c r="BQ548" t="s">
        <v>74</v>
      </c>
      <c r="BR548" t="s">
        <v>106</v>
      </c>
      <c r="BS548" t="s">
        <v>10566</v>
      </c>
      <c r="BT548" t="str">
        <f>HYPERLINK("https%3A%2F%2Fwww.webofscience.com%2Fwos%2Fwoscc%2Ffull-record%2FWOS:000399678400007","View Full Record in Web of Science")</f>
        <v>View Full Record in Web of Science</v>
      </c>
    </row>
    <row r="549" spans="1:72" x14ac:dyDescent="0.15">
      <c r="A549" t="s">
        <v>72</v>
      </c>
      <c r="B549" t="s">
        <v>10567</v>
      </c>
      <c r="C549" t="s">
        <v>74</v>
      </c>
      <c r="D549" t="s">
        <v>74</v>
      </c>
      <c r="E549" t="s">
        <v>74</v>
      </c>
      <c r="F549" t="s">
        <v>10568</v>
      </c>
      <c r="G549" t="s">
        <v>74</v>
      </c>
      <c r="H549" t="s">
        <v>74</v>
      </c>
      <c r="I549" t="s">
        <v>10569</v>
      </c>
      <c r="J549" t="s">
        <v>10570</v>
      </c>
      <c r="K549" t="s">
        <v>74</v>
      </c>
      <c r="L549" t="s">
        <v>74</v>
      </c>
      <c r="M549" t="s">
        <v>78</v>
      </c>
      <c r="N549" t="s">
        <v>79</v>
      </c>
      <c r="O549" t="s">
        <v>74</v>
      </c>
      <c r="P549" t="s">
        <v>74</v>
      </c>
      <c r="Q549" t="s">
        <v>74</v>
      </c>
      <c r="R549" t="s">
        <v>74</v>
      </c>
      <c r="S549" t="s">
        <v>74</v>
      </c>
      <c r="T549" t="s">
        <v>10571</v>
      </c>
      <c r="U549" t="s">
        <v>10572</v>
      </c>
      <c r="V549" t="s">
        <v>10573</v>
      </c>
      <c r="W549" t="s">
        <v>10574</v>
      </c>
      <c r="X549" t="s">
        <v>10575</v>
      </c>
      <c r="Y549" t="s">
        <v>10576</v>
      </c>
      <c r="Z549" t="s">
        <v>10577</v>
      </c>
      <c r="AA549" t="s">
        <v>10578</v>
      </c>
      <c r="AB549" t="s">
        <v>10579</v>
      </c>
      <c r="AC549" t="s">
        <v>10580</v>
      </c>
      <c r="AD549" t="s">
        <v>10581</v>
      </c>
      <c r="AE549" t="s">
        <v>10582</v>
      </c>
      <c r="AF549" t="s">
        <v>74</v>
      </c>
      <c r="AG549">
        <v>75</v>
      </c>
      <c r="AH549">
        <v>37</v>
      </c>
      <c r="AI549">
        <v>40</v>
      </c>
      <c r="AJ549">
        <v>4</v>
      </c>
      <c r="AK549">
        <v>51</v>
      </c>
      <c r="AL549" t="s">
        <v>10583</v>
      </c>
      <c r="AM549" t="s">
        <v>1984</v>
      </c>
      <c r="AN549" t="s">
        <v>10584</v>
      </c>
      <c r="AO549" t="s">
        <v>10585</v>
      </c>
      <c r="AP549" t="s">
        <v>10586</v>
      </c>
      <c r="AQ549" t="s">
        <v>74</v>
      </c>
      <c r="AR549" t="s">
        <v>10587</v>
      </c>
      <c r="AS549" t="s">
        <v>10588</v>
      </c>
      <c r="AT549" t="s">
        <v>8595</v>
      </c>
      <c r="AU549">
        <v>2017</v>
      </c>
      <c r="AV549">
        <v>220</v>
      </c>
      <c r="AW549">
        <v>7</v>
      </c>
      <c r="AX549" t="s">
        <v>74</v>
      </c>
      <c r="AY549" t="s">
        <v>74</v>
      </c>
      <c r="AZ549" t="s">
        <v>74</v>
      </c>
      <c r="BA549" t="s">
        <v>74</v>
      </c>
      <c r="BB549">
        <v>1277</v>
      </c>
      <c r="BC549">
        <v>1286</v>
      </c>
      <c r="BD549" t="s">
        <v>74</v>
      </c>
      <c r="BE549" t="s">
        <v>10589</v>
      </c>
      <c r="BF549" t="str">
        <f>HYPERLINK("http://dx.doi.org/10.1242/jeb.152108","http://dx.doi.org/10.1242/jeb.152108")</f>
        <v>http://dx.doi.org/10.1242/jeb.152108</v>
      </c>
      <c r="BG549" t="s">
        <v>74</v>
      </c>
      <c r="BH549" t="s">
        <v>74</v>
      </c>
      <c r="BI549">
        <v>10</v>
      </c>
      <c r="BJ549" t="s">
        <v>2828</v>
      </c>
      <c r="BK549" t="s">
        <v>103</v>
      </c>
      <c r="BL549" t="s">
        <v>2829</v>
      </c>
      <c r="BM549" t="s">
        <v>10590</v>
      </c>
      <c r="BN549">
        <v>28104801</v>
      </c>
      <c r="BO549" t="s">
        <v>2390</v>
      </c>
      <c r="BP549" t="s">
        <v>74</v>
      </c>
      <c r="BQ549" t="s">
        <v>74</v>
      </c>
      <c r="BR549" t="s">
        <v>106</v>
      </c>
      <c r="BS549" t="s">
        <v>10591</v>
      </c>
      <c r="BT549" t="str">
        <f>HYPERLINK("https%3A%2F%2Fwww.webofscience.com%2Fwos%2Fwoscc%2Ffull-record%2FWOS:000397620100022","View Full Record in Web of Science")</f>
        <v>View Full Record in Web of Science</v>
      </c>
    </row>
    <row r="550" spans="1:72" x14ac:dyDescent="0.15">
      <c r="A550" t="s">
        <v>72</v>
      </c>
      <c r="B550" t="s">
        <v>10592</v>
      </c>
      <c r="C550" t="s">
        <v>74</v>
      </c>
      <c r="D550" t="s">
        <v>74</v>
      </c>
      <c r="E550" t="s">
        <v>74</v>
      </c>
      <c r="F550" t="s">
        <v>10593</v>
      </c>
      <c r="G550" t="s">
        <v>74</v>
      </c>
      <c r="H550" t="s">
        <v>74</v>
      </c>
      <c r="I550" t="s">
        <v>10594</v>
      </c>
      <c r="J550" t="s">
        <v>10595</v>
      </c>
      <c r="K550" t="s">
        <v>74</v>
      </c>
      <c r="L550" t="s">
        <v>74</v>
      </c>
      <c r="M550" t="s">
        <v>78</v>
      </c>
      <c r="N550" t="s">
        <v>79</v>
      </c>
      <c r="O550" t="s">
        <v>74</v>
      </c>
      <c r="P550" t="s">
        <v>74</v>
      </c>
      <c r="Q550" t="s">
        <v>74</v>
      </c>
      <c r="R550" t="s">
        <v>74</v>
      </c>
      <c r="S550" t="s">
        <v>74</v>
      </c>
      <c r="T550" t="s">
        <v>10596</v>
      </c>
      <c r="U550" t="s">
        <v>10597</v>
      </c>
      <c r="V550" t="s">
        <v>10598</v>
      </c>
      <c r="W550" t="s">
        <v>10599</v>
      </c>
      <c r="X550" t="s">
        <v>10600</v>
      </c>
      <c r="Y550" t="s">
        <v>10601</v>
      </c>
      <c r="Z550" t="s">
        <v>10602</v>
      </c>
      <c r="AA550" t="s">
        <v>10603</v>
      </c>
      <c r="AB550" t="s">
        <v>10604</v>
      </c>
      <c r="AC550" t="s">
        <v>74</v>
      </c>
      <c r="AD550" t="s">
        <v>74</v>
      </c>
      <c r="AE550" t="s">
        <v>74</v>
      </c>
      <c r="AF550" t="s">
        <v>74</v>
      </c>
      <c r="AG550">
        <v>69</v>
      </c>
      <c r="AH550">
        <v>27</v>
      </c>
      <c r="AI550">
        <v>30</v>
      </c>
      <c r="AJ550">
        <v>7</v>
      </c>
      <c r="AK550">
        <v>78</v>
      </c>
      <c r="AL550" t="s">
        <v>10605</v>
      </c>
      <c r="AM550" t="s">
        <v>1788</v>
      </c>
      <c r="AN550" t="s">
        <v>10606</v>
      </c>
      <c r="AO550" t="s">
        <v>10607</v>
      </c>
      <c r="AP550" t="s">
        <v>10608</v>
      </c>
      <c r="AQ550" t="s">
        <v>74</v>
      </c>
      <c r="AR550" t="s">
        <v>10609</v>
      </c>
      <c r="AS550" t="s">
        <v>10610</v>
      </c>
      <c r="AT550" t="s">
        <v>8336</v>
      </c>
      <c r="AU550">
        <v>2017</v>
      </c>
      <c r="AV550">
        <v>54</v>
      </c>
      <c r="AW550">
        <v>5</v>
      </c>
      <c r="AX550" t="s">
        <v>74</v>
      </c>
      <c r="AY550" t="s">
        <v>74</v>
      </c>
      <c r="AZ550" t="s">
        <v>74</v>
      </c>
      <c r="BA550" t="s">
        <v>74</v>
      </c>
      <c r="BB550">
        <v>1321</v>
      </c>
      <c r="BC550">
        <v>1332</v>
      </c>
      <c r="BD550" t="s">
        <v>74</v>
      </c>
      <c r="BE550" t="s">
        <v>10611</v>
      </c>
      <c r="BF550" t="str">
        <f>HYPERLINK("http://dx.doi.org/10.1007/s13197-017-2577-9","http://dx.doi.org/10.1007/s13197-017-2577-9")</f>
        <v>http://dx.doi.org/10.1007/s13197-017-2577-9</v>
      </c>
      <c r="BG550" t="s">
        <v>74</v>
      </c>
      <c r="BH550" t="s">
        <v>74</v>
      </c>
      <c r="BI550">
        <v>12</v>
      </c>
      <c r="BJ550" t="s">
        <v>2599</v>
      </c>
      <c r="BK550" t="s">
        <v>103</v>
      </c>
      <c r="BL550" t="s">
        <v>2599</v>
      </c>
      <c r="BM550" t="s">
        <v>10612</v>
      </c>
      <c r="BN550">
        <v>28416883</v>
      </c>
      <c r="BO550" t="s">
        <v>5576</v>
      </c>
      <c r="BP550" t="s">
        <v>74</v>
      </c>
      <c r="BQ550" t="s">
        <v>74</v>
      </c>
      <c r="BR550" t="s">
        <v>106</v>
      </c>
      <c r="BS550" t="s">
        <v>10613</v>
      </c>
      <c r="BT550" t="str">
        <f>HYPERLINK("https%3A%2F%2Fwww.webofscience.com%2Fwos%2Fwoscc%2Ffull-record%2FWOS:000401448300031","View Full Record in Web of Science")</f>
        <v>View Full Record in Web of Science</v>
      </c>
    </row>
    <row r="551" spans="1:72" x14ac:dyDescent="0.15">
      <c r="A551" t="s">
        <v>72</v>
      </c>
      <c r="B551" t="s">
        <v>10614</v>
      </c>
      <c r="C551" t="s">
        <v>74</v>
      </c>
      <c r="D551" t="s">
        <v>74</v>
      </c>
      <c r="E551" t="s">
        <v>74</v>
      </c>
      <c r="F551" t="s">
        <v>10615</v>
      </c>
      <c r="G551" t="s">
        <v>74</v>
      </c>
      <c r="H551" t="s">
        <v>74</v>
      </c>
      <c r="I551" t="s">
        <v>10616</v>
      </c>
      <c r="J551" t="s">
        <v>210</v>
      </c>
      <c r="K551" t="s">
        <v>74</v>
      </c>
      <c r="L551" t="s">
        <v>74</v>
      </c>
      <c r="M551" t="s">
        <v>78</v>
      </c>
      <c r="N551" t="s">
        <v>79</v>
      </c>
      <c r="O551" t="s">
        <v>74</v>
      </c>
      <c r="P551" t="s">
        <v>74</v>
      </c>
      <c r="Q551" t="s">
        <v>74</v>
      </c>
      <c r="R551" t="s">
        <v>74</v>
      </c>
      <c r="S551" t="s">
        <v>74</v>
      </c>
      <c r="T551" t="s">
        <v>10617</v>
      </c>
      <c r="U551" t="s">
        <v>10618</v>
      </c>
      <c r="V551" t="s">
        <v>10619</v>
      </c>
      <c r="W551" t="s">
        <v>10620</v>
      </c>
      <c r="X551" t="s">
        <v>10621</v>
      </c>
      <c r="Y551" t="s">
        <v>10622</v>
      </c>
      <c r="Z551" t="s">
        <v>10623</v>
      </c>
      <c r="AA551" t="s">
        <v>10624</v>
      </c>
      <c r="AB551" t="s">
        <v>10625</v>
      </c>
      <c r="AC551" t="s">
        <v>74</v>
      </c>
      <c r="AD551" t="s">
        <v>74</v>
      </c>
      <c r="AE551" t="s">
        <v>74</v>
      </c>
      <c r="AF551" t="s">
        <v>74</v>
      </c>
      <c r="AG551">
        <v>44</v>
      </c>
      <c r="AH551">
        <v>49</v>
      </c>
      <c r="AI551">
        <v>50</v>
      </c>
      <c r="AJ551">
        <v>2</v>
      </c>
      <c r="AK551">
        <v>20</v>
      </c>
      <c r="AL551" t="s">
        <v>222</v>
      </c>
      <c r="AM551" t="s">
        <v>223</v>
      </c>
      <c r="AN551" t="s">
        <v>224</v>
      </c>
      <c r="AO551" t="s">
        <v>225</v>
      </c>
      <c r="AP551" t="s">
        <v>226</v>
      </c>
      <c r="AQ551" t="s">
        <v>74</v>
      </c>
      <c r="AR551" t="s">
        <v>227</v>
      </c>
      <c r="AS551" t="s">
        <v>228</v>
      </c>
      <c r="AT551" t="s">
        <v>8336</v>
      </c>
      <c r="AU551">
        <v>2017</v>
      </c>
      <c r="AV551">
        <v>122</v>
      </c>
      <c r="AW551">
        <v>4</v>
      </c>
      <c r="AX551" t="s">
        <v>74</v>
      </c>
      <c r="AY551" t="s">
        <v>74</v>
      </c>
      <c r="AZ551" t="s">
        <v>74</v>
      </c>
      <c r="BA551" t="s">
        <v>74</v>
      </c>
      <c r="BB551">
        <v>3170</v>
      </c>
      <c r="BC551">
        <v>3190</v>
      </c>
      <c r="BD551" t="s">
        <v>74</v>
      </c>
      <c r="BE551" t="s">
        <v>10626</v>
      </c>
      <c r="BF551" t="str">
        <f>HYPERLINK("http://dx.doi.org/10.1002/2016JC012513","http://dx.doi.org/10.1002/2016JC012513")</f>
        <v>http://dx.doi.org/10.1002/2016JC012513</v>
      </c>
      <c r="BG551" t="s">
        <v>74</v>
      </c>
      <c r="BH551" t="s">
        <v>74</v>
      </c>
      <c r="BI551">
        <v>21</v>
      </c>
      <c r="BJ551" t="s">
        <v>127</v>
      </c>
      <c r="BK551" t="s">
        <v>103</v>
      </c>
      <c r="BL551" t="s">
        <v>127</v>
      </c>
      <c r="BM551" t="s">
        <v>8788</v>
      </c>
      <c r="BN551" t="s">
        <v>74</v>
      </c>
      <c r="BO551" t="s">
        <v>10627</v>
      </c>
      <c r="BP551" t="s">
        <v>74</v>
      </c>
      <c r="BQ551" t="s">
        <v>74</v>
      </c>
      <c r="BR551" t="s">
        <v>106</v>
      </c>
      <c r="BS551" t="s">
        <v>10628</v>
      </c>
      <c r="BT551" t="str">
        <f>HYPERLINK("https%3A%2F%2Fwww.webofscience.com%2Fwos%2Fwoscc%2Ffull-record%2FWOS:000402139900030","View Full Record in Web of Science")</f>
        <v>View Full Record in Web of Science</v>
      </c>
    </row>
    <row r="552" spans="1:72" x14ac:dyDescent="0.15">
      <c r="A552" t="s">
        <v>72</v>
      </c>
      <c r="B552" t="s">
        <v>10629</v>
      </c>
      <c r="C552" t="s">
        <v>74</v>
      </c>
      <c r="D552" t="s">
        <v>74</v>
      </c>
      <c r="E552" t="s">
        <v>74</v>
      </c>
      <c r="F552" t="s">
        <v>10630</v>
      </c>
      <c r="G552" t="s">
        <v>74</v>
      </c>
      <c r="H552" t="s">
        <v>74</v>
      </c>
      <c r="I552" t="s">
        <v>10631</v>
      </c>
      <c r="J552" t="s">
        <v>477</v>
      </c>
      <c r="K552" t="s">
        <v>74</v>
      </c>
      <c r="L552" t="s">
        <v>74</v>
      </c>
      <c r="M552" t="s">
        <v>78</v>
      </c>
      <c r="N552" t="s">
        <v>79</v>
      </c>
      <c r="O552" t="s">
        <v>74</v>
      </c>
      <c r="P552" t="s">
        <v>74</v>
      </c>
      <c r="Q552" t="s">
        <v>74</v>
      </c>
      <c r="R552" t="s">
        <v>74</v>
      </c>
      <c r="S552" t="s">
        <v>74</v>
      </c>
      <c r="T552" t="s">
        <v>74</v>
      </c>
      <c r="U552" t="s">
        <v>10632</v>
      </c>
      <c r="V552" t="s">
        <v>10633</v>
      </c>
      <c r="W552" t="s">
        <v>10634</v>
      </c>
      <c r="X552" t="s">
        <v>10635</v>
      </c>
      <c r="Y552" t="s">
        <v>10636</v>
      </c>
      <c r="Z552" t="s">
        <v>10637</v>
      </c>
      <c r="AA552" t="s">
        <v>10638</v>
      </c>
      <c r="AB552" t="s">
        <v>10639</v>
      </c>
      <c r="AC552" t="s">
        <v>10640</v>
      </c>
      <c r="AD552" t="s">
        <v>10641</v>
      </c>
      <c r="AE552" t="s">
        <v>10642</v>
      </c>
      <c r="AF552" t="s">
        <v>74</v>
      </c>
      <c r="AG552">
        <v>74</v>
      </c>
      <c r="AH552">
        <v>14</v>
      </c>
      <c r="AI552">
        <v>14</v>
      </c>
      <c r="AJ552">
        <v>0</v>
      </c>
      <c r="AK552">
        <v>5</v>
      </c>
      <c r="AL552" t="s">
        <v>222</v>
      </c>
      <c r="AM552" t="s">
        <v>223</v>
      </c>
      <c r="AN552" t="s">
        <v>224</v>
      </c>
      <c r="AO552" t="s">
        <v>489</v>
      </c>
      <c r="AP552" t="s">
        <v>490</v>
      </c>
      <c r="AQ552" t="s">
        <v>74</v>
      </c>
      <c r="AR552" t="s">
        <v>491</v>
      </c>
      <c r="AS552" t="s">
        <v>492</v>
      </c>
      <c r="AT552" t="s">
        <v>8336</v>
      </c>
      <c r="AU552">
        <v>2017</v>
      </c>
      <c r="AV552">
        <v>122</v>
      </c>
      <c r="AW552">
        <v>4</v>
      </c>
      <c r="AX552" t="s">
        <v>74</v>
      </c>
      <c r="AY552" t="s">
        <v>74</v>
      </c>
      <c r="AZ552" t="s">
        <v>74</v>
      </c>
      <c r="BA552" t="s">
        <v>74</v>
      </c>
      <c r="BB552">
        <v>4367</v>
      </c>
      <c r="BC552">
        <v>4386</v>
      </c>
      <c r="BD552" t="s">
        <v>74</v>
      </c>
      <c r="BE552" t="s">
        <v>10643</v>
      </c>
      <c r="BF552" t="str">
        <f>HYPERLINK("http://dx.doi.org/10.1002/2016JA023718","http://dx.doi.org/10.1002/2016JA023718")</f>
        <v>http://dx.doi.org/10.1002/2016JA023718</v>
      </c>
      <c r="BG552" t="s">
        <v>74</v>
      </c>
      <c r="BH552" t="s">
        <v>74</v>
      </c>
      <c r="BI552">
        <v>20</v>
      </c>
      <c r="BJ552" t="s">
        <v>494</v>
      </c>
      <c r="BK552" t="s">
        <v>103</v>
      </c>
      <c r="BL552" t="s">
        <v>494</v>
      </c>
      <c r="BM552" t="s">
        <v>8922</v>
      </c>
      <c r="BN552" t="s">
        <v>74</v>
      </c>
      <c r="BO552" t="s">
        <v>995</v>
      </c>
      <c r="BP552" t="s">
        <v>74</v>
      </c>
      <c r="BQ552" t="s">
        <v>74</v>
      </c>
      <c r="BR552" t="s">
        <v>106</v>
      </c>
      <c r="BS552" t="s">
        <v>10644</v>
      </c>
      <c r="BT552" t="str">
        <f>HYPERLINK("https%3A%2F%2Fwww.webofscience.com%2Fwos%2Fwoscc%2Ffull-record%2FWOS:000401340800034","View Full Record in Web of Science")</f>
        <v>View Full Record in Web of Science</v>
      </c>
    </row>
    <row r="553" spans="1:72" x14ac:dyDescent="0.15">
      <c r="A553" t="s">
        <v>72</v>
      </c>
      <c r="B553" t="s">
        <v>10645</v>
      </c>
      <c r="C553" t="s">
        <v>74</v>
      </c>
      <c r="D553" t="s">
        <v>74</v>
      </c>
      <c r="E553" t="s">
        <v>74</v>
      </c>
      <c r="F553" t="s">
        <v>10646</v>
      </c>
      <c r="G553" t="s">
        <v>74</v>
      </c>
      <c r="H553" t="s">
        <v>74</v>
      </c>
      <c r="I553" t="s">
        <v>10647</v>
      </c>
      <c r="J553" t="s">
        <v>2664</v>
      </c>
      <c r="K553" t="s">
        <v>74</v>
      </c>
      <c r="L553" t="s">
        <v>74</v>
      </c>
      <c r="M553" t="s">
        <v>78</v>
      </c>
      <c r="N553" t="s">
        <v>79</v>
      </c>
      <c r="O553" t="s">
        <v>74</v>
      </c>
      <c r="P553" t="s">
        <v>74</v>
      </c>
      <c r="Q553" t="s">
        <v>74</v>
      </c>
      <c r="R553" t="s">
        <v>74</v>
      </c>
      <c r="S553" t="s">
        <v>74</v>
      </c>
      <c r="T553" t="s">
        <v>74</v>
      </c>
      <c r="U553" t="s">
        <v>10648</v>
      </c>
      <c r="V553" t="s">
        <v>10649</v>
      </c>
      <c r="W553" t="s">
        <v>10650</v>
      </c>
      <c r="X553" t="s">
        <v>10651</v>
      </c>
      <c r="Y553" t="s">
        <v>10652</v>
      </c>
      <c r="Z553" t="s">
        <v>10653</v>
      </c>
      <c r="AA553" t="s">
        <v>10654</v>
      </c>
      <c r="AB553" t="s">
        <v>10655</v>
      </c>
      <c r="AC553" t="s">
        <v>10656</v>
      </c>
      <c r="AD553" t="s">
        <v>10657</v>
      </c>
      <c r="AE553" t="s">
        <v>10658</v>
      </c>
      <c r="AF553" t="s">
        <v>74</v>
      </c>
      <c r="AG553">
        <v>18</v>
      </c>
      <c r="AH553">
        <v>5</v>
      </c>
      <c r="AI553">
        <v>5</v>
      </c>
      <c r="AJ553">
        <v>0</v>
      </c>
      <c r="AK553">
        <v>12</v>
      </c>
      <c r="AL553" t="s">
        <v>2676</v>
      </c>
      <c r="AM553" t="s">
        <v>223</v>
      </c>
      <c r="AN553" t="s">
        <v>2677</v>
      </c>
      <c r="AO553" t="s">
        <v>2678</v>
      </c>
      <c r="AP553" t="s">
        <v>2679</v>
      </c>
      <c r="AQ553" t="s">
        <v>74</v>
      </c>
      <c r="AR553" t="s">
        <v>2680</v>
      </c>
      <c r="AS553" t="s">
        <v>2681</v>
      </c>
      <c r="AT553" t="s">
        <v>8336</v>
      </c>
      <c r="AU553">
        <v>2017</v>
      </c>
      <c r="AV553">
        <v>80</v>
      </c>
      <c r="AW553">
        <v>4</v>
      </c>
      <c r="AX553" t="s">
        <v>74</v>
      </c>
      <c r="AY553" t="s">
        <v>74</v>
      </c>
      <c r="AZ553" t="s">
        <v>74</v>
      </c>
      <c r="BA553" t="s">
        <v>74</v>
      </c>
      <c r="BB553">
        <v>1125</v>
      </c>
      <c r="BC553">
        <v>1133</v>
      </c>
      <c r="BD553" t="s">
        <v>74</v>
      </c>
      <c r="BE553" t="s">
        <v>10659</v>
      </c>
      <c r="BF553" t="str">
        <f>HYPERLINK("http://dx.doi.org/10.1021/acs.jnatprod.7b00043","http://dx.doi.org/10.1021/acs.jnatprod.7b00043")</f>
        <v>http://dx.doi.org/10.1021/acs.jnatprod.7b00043</v>
      </c>
      <c r="BG553" t="s">
        <v>74</v>
      </c>
      <c r="BH553" t="s">
        <v>74</v>
      </c>
      <c r="BI553">
        <v>9</v>
      </c>
      <c r="BJ553" t="s">
        <v>2683</v>
      </c>
      <c r="BK553" t="s">
        <v>2684</v>
      </c>
      <c r="BL553" t="s">
        <v>355</v>
      </c>
      <c r="BM553" t="s">
        <v>10660</v>
      </c>
      <c r="BN553">
        <v>28263603</v>
      </c>
      <c r="BO553" t="s">
        <v>74</v>
      </c>
      <c r="BP553" t="s">
        <v>74</v>
      </c>
      <c r="BQ553" t="s">
        <v>74</v>
      </c>
      <c r="BR553" t="s">
        <v>106</v>
      </c>
      <c r="BS553" t="s">
        <v>10661</v>
      </c>
      <c r="BT553" t="str">
        <f>HYPERLINK("https%3A%2F%2Fwww.webofscience.com%2Fwos%2Fwoscc%2Ffull-record%2FWOS:000400538800043","View Full Record in Web of Science")</f>
        <v>View Full Record in Web of Science</v>
      </c>
    </row>
    <row r="554" spans="1:72" x14ac:dyDescent="0.15">
      <c r="A554" t="s">
        <v>72</v>
      </c>
      <c r="B554" t="s">
        <v>10662</v>
      </c>
      <c r="C554" t="s">
        <v>74</v>
      </c>
      <c r="D554" t="s">
        <v>74</v>
      </c>
      <c r="E554" t="s">
        <v>74</v>
      </c>
      <c r="F554" t="s">
        <v>10663</v>
      </c>
      <c r="G554" t="s">
        <v>74</v>
      </c>
      <c r="H554" t="s">
        <v>74</v>
      </c>
      <c r="I554" t="s">
        <v>10664</v>
      </c>
      <c r="J554" t="s">
        <v>1105</v>
      </c>
      <c r="K554" t="s">
        <v>74</v>
      </c>
      <c r="L554" t="s">
        <v>74</v>
      </c>
      <c r="M554" t="s">
        <v>78</v>
      </c>
      <c r="N554" t="s">
        <v>79</v>
      </c>
      <c r="O554" t="s">
        <v>74</v>
      </c>
      <c r="P554" t="s">
        <v>74</v>
      </c>
      <c r="Q554" t="s">
        <v>74</v>
      </c>
      <c r="R554" t="s">
        <v>74</v>
      </c>
      <c r="S554" t="s">
        <v>74</v>
      </c>
      <c r="T554" t="s">
        <v>74</v>
      </c>
      <c r="U554" t="s">
        <v>10665</v>
      </c>
      <c r="V554" t="s">
        <v>10666</v>
      </c>
      <c r="W554" t="s">
        <v>10667</v>
      </c>
      <c r="X554" t="s">
        <v>10668</v>
      </c>
      <c r="Y554" t="s">
        <v>10669</v>
      </c>
      <c r="Z554" t="s">
        <v>10670</v>
      </c>
      <c r="AA554" t="s">
        <v>10671</v>
      </c>
      <c r="AB554" t="s">
        <v>10672</v>
      </c>
      <c r="AC554" t="s">
        <v>10673</v>
      </c>
      <c r="AD554" t="s">
        <v>10674</v>
      </c>
      <c r="AE554" t="s">
        <v>10675</v>
      </c>
      <c r="AF554" t="s">
        <v>74</v>
      </c>
      <c r="AG554">
        <v>57</v>
      </c>
      <c r="AH554">
        <v>37</v>
      </c>
      <c r="AI554">
        <v>42</v>
      </c>
      <c r="AJ554">
        <v>0</v>
      </c>
      <c r="AK554">
        <v>12</v>
      </c>
      <c r="AL554" t="s">
        <v>1115</v>
      </c>
      <c r="AM554" t="s">
        <v>1116</v>
      </c>
      <c r="AN554" t="s">
        <v>1569</v>
      </c>
      <c r="AO554" t="s">
        <v>1118</v>
      </c>
      <c r="AP554" t="s">
        <v>1119</v>
      </c>
      <c r="AQ554" t="s">
        <v>74</v>
      </c>
      <c r="AR554" t="s">
        <v>1120</v>
      </c>
      <c r="AS554" t="s">
        <v>1121</v>
      </c>
      <c r="AT554" t="s">
        <v>8336</v>
      </c>
      <c r="AU554">
        <v>2017</v>
      </c>
      <c r="AV554">
        <v>47</v>
      </c>
      <c r="AW554">
        <v>4</v>
      </c>
      <c r="AX554" t="s">
        <v>74</v>
      </c>
      <c r="AY554" t="s">
        <v>74</v>
      </c>
      <c r="AZ554" t="s">
        <v>74</v>
      </c>
      <c r="BA554" t="s">
        <v>74</v>
      </c>
      <c r="BB554">
        <v>793</v>
      </c>
      <c r="BC554">
        <v>810</v>
      </c>
      <c r="BD554" t="s">
        <v>74</v>
      </c>
      <c r="BE554" t="s">
        <v>10676</v>
      </c>
      <c r="BF554" t="str">
        <f>HYPERLINK("http://dx.doi.org/10.1175/JPO-D-16-0153.1","http://dx.doi.org/10.1175/JPO-D-16-0153.1")</f>
        <v>http://dx.doi.org/10.1175/JPO-D-16-0153.1</v>
      </c>
      <c r="BG554" t="s">
        <v>74</v>
      </c>
      <c r="BH554" t="s">
        <v>74</v>
      </c>
      <c r="BI554">
        <v>18</v>
      </c>
      <c r="BJ554" t="s">
        <v>127</v>
      </c>
      <c r="BK554" t="s">
        <v>103</v>
      </c>
      <c r="BL554" t="s">
        <v>127</v>
      </c>
      <c r="BM554" t="s">
        <v>10677</v>
      </c>
      <c r="BN554" t="s">
        <v>74</v>
      </c>
      <c r="BO554" t="s">
        <v>4773</v>
      </c>
      <c r="BP554" t="s">
        <v>74</v>
      </c>
      <c r="BQ554" t="s">
        <v>74</v>
      </c>
      <c r="BR554" t="s">
        <v>106</v>
      </c>
      <c r="BS554" t="s">
        <v>10678</v>
      </c>
      <c r="BT554" t="str">
        <f>HYPERLINK("https%3A%2F%2Fwww.webofscience.com%2Fwos%2Fwoscc%2Ffull-record%2FWOS:000397574700004","View Full Record in Web of Science")</f>
        <v>View Full Record in Web of Science</v>
      </c>
    </row>
    <row r="555" spans="1:72" x14ac:dyDescent="0.15">
      <c r="A555" t="s">
        <v>72</v>
      </c>
      <c r="B555" t="s">
        <v>10679</v>
      </c>
      <c r="C555" t="s">
        <v>74</v>
      </c>
      <c r="D555" t="s">
        <v>74</v>
      </c>
      <c r="E555" t="s">
        <v>74</v>
      </c>
      <c r="F555" t="s">
        <v>10680</v>
      </c>
      <c r="G555" t="s">
        <v>74</v>
      </c>
      <c r="H555" t="s">
        <v>74</v>
      </c>
      <c r="I555" t="s">
        <v>10681</v>
      </c>
      <c r="J555" t="s">
        <v>1105</v>
      </c>
      <c r="K555" t="s">
        <v>74</v>
      </c>
      <c r="L555" t="s">
        <v>74</v>
      </c>
      <c r="M555" t="s">
        <v>78</v>
      </c>
      <c r="N555" t="s">
        <v>79</v>
      </c>
      <c r="O555" t="s">
        <v>74</v>
      </c>
      <c r="P555" t="s">
        <v>74</v>
      </c>
      <c r="Q555" t="s">
        <v>74</v>
      </c>
      <c r="R555" t="s">
        <v>74</v>
      </c>
      <c r="S555" t="s">
        <v>74</v>
      </c>
      <c r="T555" t="s">
        <v>74</v>
      </c>
      <c r="U555" t="s">
        <v>10682</v>
      </c>
      <c r="V555" t="s">
        <v>10683</v>
      </c>
      <c r="W555" t="s">
        <v>10684</v>
      </c>
      <c r="X555" t="s">
        <v>10685</v>
      </c>
      <c r="Y555" t="s">
        <v>10686</v>
      </c>
      <c r="Z555" t="s">
        <v>10687</v>
      </c>
      <c r="AA555" t="s">
        <v>10688</v>
      </c>
      <c r="AB555" t="s">
        <v>10689</v>
      </c>
      <c r="AC555" t="s">
        <v>10690</v>
      </c>
      <c r="AD555" t="s">
        <v>10691</v>
      </c>
      <c r="AE555" t="s">
        <v>10692</v>
      </c>
      <c r="AF555" t="s">
        <v>74</v>
      </c>
      <c r="AG555">
        <v>51</v>
      </c>
      <c r="AH555">
        <v>33</v>
      </c>
      <c r="AI555">
        <v>36</v>
      </c>
      <c r="AJ555">
        <v>3</v>
      </c>
      <c r="AK555">
        <v>18</v>
      </c>
      <c r="AL555" t="s">
        <v>1115</v>
      </c>
      <c r="AM555" t="s">
        <v>1116</v>
      </c>
      <c r="AN555" t="s">
        <v>1569</v>
      </c>
      <c r="AO555" t="s">
        <v>1118</v>
      </c>
      <c r="AP555" t="s">
        <v>1119</v>
      </c>
      <c r="AQ555" t="s">
        <v>74</v>
      </c>
      <c r="AR555" t="s">
        <v>1120</v>
      </c>
      <c r="AS555" t="s">
        <v>1121</v>
      </c>
      <c r="AT555" t="s">
        <v>8336</v>
      </c>
      <c r="AU555">
        <v>2017</v>
      </c>
      <c r="AV555">
        <v>47</v>
      </c>
      <c r="AW555">
        <v>4</v>
      </c>
      <c r="AX555" t="s">
        <v>74</v>
      </c>
      <c r="AY555" t="s">
        <v>74</v>
      </c>
      <c r="AZ555" t="s">
        <v>74</v>
      </c>
      <c r="BA555" t="s">
        <v>74</v>
      </c>
      <c r="BB555">
        <v>933</v>
      </c>
      <c r="BC555">
        <v>954</v>
      </c>
      <c r="BD555" t="s">
        <v>74</v>
      </c>
      <c r="BE555" t="s">
        <v>10693</v>
      </c>
      <c r="BF555" t="str">
        <f>HYPERLINK("http://dx.doi.org/10.1175/JPO-D-16-0221.1","http://dx.doi.org/10.1175/JPO-D-16-0221.1")</f>
        <v>http://dx.doi.org/10.1175/JPO-D-16-0221.1</v>
      </c>
      <c r="BG555" t="s">
        <v>74</v>
      </c>
      <c r="BH555" t="s">
        <v>74</v>
      </c>
      <c r="BI555">
        <v>22</v>
      </c>
      <c r="BJ555" t="s">
        <v>127</v>
      </c>
      <c r="BK555" t="s">
        <v>103</v>
      </c>
      <c r="BL555" t="s">
        <v>127</v>
      </c>
      <c r="BM555" t="s">
        <v>8338</v>
      </c>
      <c r="BN555" t="s">
        <v>74</v>
      </c>
      <c r="BO555" t="s">
        <v>10694</v>
      </c>
      <c r="BP555" t="s">
        <v>74</v>
      </c>
      <c r="BQ555" t="s">
        <v>74</v>
      </c>
      <c r="BR555" t="s">
        <v>106</v>
      </c>
      <c r="BS555" t="s">
        <v>10695</v>
      </c>
      <c r="BT555" t="str">
        <f>HYPERLINK("https%3A%2F%2Fwww.webofscience.com%2Fwos%2Fwoscc%2Ffull-record%2FWOS:000423768300009","View Full Record in Web of Science")</f>
        <v>View Full Record in Web of Science</v>
      </c>
    </row>
    <row r="556" spans="1:72" x14ac:dyDescent="0.15">
      <c r="A556" t="s">
        <v>72</v>
      </c>
      <c r="B556" t="s">
        <v>10696</v>
      </c>
      <c r="C556" t="s">
        <v>74</v>
      </c>
      <c r="D556" t="s">
        <v>74</v>
      </c>
      <c r="E556" t="s">
        <v>74</v>
      </c>
      <c r="F556" t="s">
        <v>10697</v>
      </c>
      <c r="G556" t="s">
        <v>74</v>
      </c>
      <c r="H556" t="s">
        <v>74</v>
      </c>
      <c r="I556" t="s">
        <v>10698</v>
      </c>
      <c r="J556" t="s">
        <v>10699</v>
      </c>
      <c r="K556" t="s">
        <v>74</v>
      </c>
      <c r="L556" t="s">
        <v>74</v>
      </c>
      <c r="M556" t="s">
        <v>78</v>
      </c>
      <c r="N556" t="s">
        <v>79</v>
      </c>
      <c r="O556" t="s">
        <v>74</v>
      </c>
      <c r="P556" t="s">
        <v>74</v>
      </c>
      <c r="Q556" t="s">
        <v>74</v>
      </c>
      <c r="R556" t="s">
        <v>74</v>
      </c>
      <c r="S556" t="s">
        <v>74</v>
      </c>
      <c r="T556" t="s">
        <v>10700</v>
      </c>
      <c r="U556" t="s">
        <v>10701</v>
      </c>
      <c r="V556" t="s">
        <v>10702</v>
      </c>
      <c r="W556" t="s">
        <v>10703</v>
      </c>
      <c r="X556" t="s">
        <v>7074</v>
      </c>
      <c r="Y556" t="s">
        <v>10704</v>
      </c>
      <c r="Z556" t="s">
        <v>10705</v>
      </c>
      <c r="AA556" t="s">
        <v>10706</v>
      </c>
      <c r="AB556" t="s">
        <v>10707</v>
      </c>
      <c r="AC556" t="s">
        <v>10708</v>
      </c>
      <c r="AD556" t="s">
        <v>10709</v>
      </c>
      <c r="AE556" t="s">
        <v>10710</v>
      </c>
      <c r="AF556" t="s">
        <v>74</v>
      </c>
      <c r="AG556">
        <v>60</v>
      </c>
      <c r="AH556">
        <v>22</v>
      </c>
      <c r="AI556">
        <v>23</v>
      </c>
      <c r="AJ556">
        <v>0</v>
      </c>
      <c r="AK556">
        <v>11</v>
      </c>
      <c r="AL556" t="s">
        <v>681</v>
      </c>
      <c r="AM556" t="s">
        <v>682</v>
      </c>
      <c r="AN556" t="s">
        <v>683</v>
      </c>
      <c r="AO556" t="s">
        <v>10711</v>
      </c>
      <c r="AP556" t="s">
        <v>10712</v>
      </c>
      <c r="AQ556" t="s">
        <v>74</v>
      </c>
      <c r="AR556" t="s">
        <v>10713</v>
      </c>
      <c r="AS556" t="s">
        <v>10714</v>
      </c>
      <c r="AT556" t="s">
        <v>8336</v>
      </c>
      <c r="AU556">
        <v>2017</v>
      </c>
      <c r="AV556">
        <v>32</v>
      </c>
      <c r="AW556">
        <v>3</v>
      </c>
      <c r="AX556" t="s">
        <v>74</v>
      </c>
      <c r="AY556" t="s">
        <v>74</v>
      </c>
      <c r="AZ556" t="s">
        <v>74</v>
      </c>
      <c r="BA556" t="s">
        <v>74</v>
      </c>
      <c r="BB556">
        <v>437</v>
      </c>
      <c r="BC556">
        <v>455</v>
      </c>
      <c r="BD556" t="s">
        <v>74</v>
      </c>
      <c r="BE556" t="s">
        <v>10715</v>
      </c>
      <c r="BF556" t="str">
        <f>HYPERLINK("http://dx.doi.org/10.1002/jqs.2938","http://dx.doi.org/10.1002/jqs.2938")</f>
        <v>http://dx.doi.org/10.1002/jqs.2938</v>
      </c>
      <c r="BG556" t="s">
        <v>74</v>
      </c>
      <c r="BH556" t="s">
        <v>74</v>
      </c>
      <c r="BI556">
        <v>19</v>
      </c>
      <c r="BJ556" t="s">
        <v>1338</v>
      </c>
      <c r="BK556" t="s">
        <v>103</v>
      </c>
      <c r="BL556" t="s">
        <v>1339</v>
      </c>
      <c r="BM556" t="s">
        <v>10716</v>
      </c>
      <c r="BN556" t="s">
        <v>74</v>
      </c>
      <c r="BO556" t="s">
        <v>74</v>
      </c>
      <c r="BP556" t="s">
        <v>74</v>
      </c>
      <c r="BQ556" t="s">
        <v>74</v>
      </c>
      <c r="BR556" t="s">
        <v>106</v>
      </c>
      <c r="BS556" t="s">
        <v>10717</v>
      </c>
      <c r="BT556" t="str">
        <f>HYPERLINK("https%3A%2F%2Fwww.webofscience.com%2Fwos%2Fwoscc%2Ffull-record%2FWOS:000401171700007","View Full Record in Web of Science")</f>
        <v>View Full Record in Web of Science</v>
      </c>
    </row>
    <row r="557" spans="1:72" x14ac:dyDescent="0.15">
      <c r="A557" t="s">
        <v>72</v>
      </c>
      <c r="B557" t="s">
        <v>10718</v>
      </c>
      <c r="C557" t="s">
        <v>74</v>
      </c>
      <c r="D557" t="s">
        <v>74</v>
      </c>
      <c r="E557" t="s">
        <v>74</v>
      </c>
      <c r="F557" t="s">
        <v>10719</v>
      </c>
      <c r="G557" t="s">
        <v>74</v>
      </c>
      <c r="H557" t="s">
        <v>74</v>
      </c>
      <c r="I557" t="s">
        <v>10720</v>
      </c>
      <c r="J557" t="s">
        <v>10721</v>
      </c>
      <c r="K557" t="s">
        <v>74</v>
      </c>
      <c r="L557" t="s">
        <v>74</v>
      </c>
      <c r="M557" t="s">
        <v>78</v>
      </c>
      <c r="N557" t="s">
        <v>79</v>
      </c>
      <c r="O557" t="s">
        <v>74</v>
      </c>
      <c r="P557" t="s">
        <v>74</v>
      </c>
      <c r="Q557" t="s">
        <v>74</v>
      </c>
      <c r="R557" t="s">
        <v>74</v>
      </c>
      <c r="S557" t="s">
        <v>74</v>
      </c>
      <c r="T557" t="s">
        <v>74</v>
      </c>
      <c r="U557" t="s">
        <v>10722</v>
      </c>
      <c r="V557" t="s">
        <v>10723</v>
      </c>
      <c r="W557" t="s">
        <v>10724</v>
      </c>
      <c r="X557" t="s">
        <v>10725</v>
      </c>
      <c r="Y557" t="s">
        <v>10726</v>
      </c>
      <c r="Z557" t="s">
        <v>10727</v>
      </c>
      <c r="AA557" t="s">
        <v>10728</v>
      </c>
      <c r="AB557" t="s">
        <v>10729</v>
      </c>
      <c r="AC557" t="s">
        <v>10730</v>
      </c>
      <c r="AD557" t="s">
        <v>10731</v>
      </c>
      <c r="AE557" t="s">
        <v>10732</v>
      </c>
      <c r="AF557" t="s">
        <v>74</v>
      </c>
      <c r="AG557">
        <v>31</v>
      </c>
      <c r="AH557">
        <v>219</v>
      </c>
      <c r="AI557">
        <v>242</v>
      </c>
      <c r="AJ557">
        <v>5</v>
      </c>
      <c r="AK557">
        <v>56</v>
      </c>
      <c r="AL557" t="s">
        <v>374</v>
      </c>
      <c r="AM557" t="s">
        <v>93</v>
      </c>
      <c r="AN557" t="s">
        <v>375</v>
      </c>
      <c r="AO557" t="s">
        <v>74</v>
      </c>
      <c r="AP557" t="s">
        <v>10733</v>
      </c>
      <c r="AQ557" t="s">
        <v>74</v>
      </c>
      <c r="AR557" t="s">
        <v>10734</v>
      </c>
      <c r="AS557" t="s">
        <v>10735</v>
      </c>
      <c r="AT557" t="s">
        <v>8336</v>
      </c>
      <c r="AU557">
        <v>2017</v>
      </c>
      <c r="AV557">
        <v>1</v>
      </c>
      <c r="AW557">
        <v>1</v>
      </c>
      <c r="AX557" t="s">
        <v>74</v>
      </c>
      <c r="AY557" t="s">
        <v>74</v>
      </c>
      <c r="AZ557" t="s">
        <v>74</v>
      </c>
      <c r="BA557" t="s">
        <v>74</v>
      </c>
      <c r="BB557" t="s">
        <v>10736</v>
      </c>
      <c r="BC557" t="s">
        <v>10737</v>
      </c>
      <c r="BD557" t="s">
        <v>74</v>
      </c>
      <c r="BE557" t="s">
        <v>10738</v>
      </c>
      <c r="BF557" t="str">
        <f>HYPERLINK("http://dx.doi.org/10.1016/s2542-5196(17)30007-4","http://dx.doi.org/10.1016/s2542-5196(17)30007-4")</f>
        <v>http://dx.doi.org/10.1016/s2542-5196(17)30007-4</v>
      </c>
      <c r="BG557" t="s">
        <v>74</v>
      </c>
      <c r="BH557" t="s">
        <v>74</v>
      </c>
      <c r="BI557">
        <v>10</v>
      </c>
      <c r="BJ557" t="s">
        <v>10739</v>
      </c>
      <c r="BK557" t="s">
        <v>5266</v>
      </c>
      <c r="BL557" t="s">
        <v>10740</v>
      </c>
      <c r="BM557" t="s">
        <v>10741</v>
      </c>
      <c r="BN557">
        <v>28670647</v>
      </c>
      <c r="BO557" t="s">
        <v>10742</v>
      </c>
      <c r="BP557" t="s">
        <v>2243</v>
      </c>
      <c r="BQ557" t="s">
        <v>2244</v>
      </c>
      <c r="BR557" t="s">
        <v>106</v>
      </c>
      <c r="BS557" t="s">
        <v>10743</v>
      </c>
      <c r="BT557" t="str">
        <f>HYPERLINK("https%3A%2F%2Fwww.webofscience.com%2Fwos%2Fwoscc%2Ffull-record%2FWOS:000525845000012","View Full Record in Web of Science")</f>
        <v>View Full Record in Web of Science</v>
      </c>
    </row>
    <row r="558" spans="1:72" x14ac:dyDescent="0.15">
      <c r="A558" t="s">
        <v>72</v>
      </c>
      <c r="B558" t="s">
        <v>10744</v>
      </c>
      <c r="C558" t="s">
        <v>74</v>
      </c>
      <c r="D558" t="s">
        <v>74</v>
      </c>
      <c r="E558" t="s">
        <v>74</v>
      </c>
      <c r="F558" t="s">
        <v>10745</v>
      </c>
      <c r="G558" t="s">
        <v>74</v>
      </c>
      <c r="H558" t="s">
        <v>74</v>
      </c>
      <c r="I558" t="s">
        <v>10746</v>
      </c>
      <c r="J558" t="s">
        <v>718</v>
      </c>
      <c r="K558" t="s">
        <v>74</v>
      </c>
      <c r="L558" t="s">
        <v>74</v>
      </c>
      <c r="M558" t="s">
        <v>78</v>
      </c>
      <c r="N558" t="s">
        <v>79</v>
      </c>
      <c r="O558" t="s">
        <v>74</v>
      </c>
      <c r="P558" t="s">
        <v>74</v>
      </c>
      <c r="Q558" t="s">
        <v>74</v>
      </c>
      <c r="R558" t="s">
        <v>74</v>
      </c>
      <c r="S558" t="s">
        <v>74</v>
      </c>
      <c r="T558" t="s">
        <v>10747</v>
      </c>
      <c r="U558" t="s">
        <v>10748</v>
      </c>
      <c r="V558" t="s">
        <v>10749</v>
      </c>
      <c r="W558" t="s">
        <v>10750</v>
      </c>
      <c r="X558" t="s">
        <v>10751</v>
      </c>
      <c r="Y558" t="s">
        <v>10752</v>
      </c>
      <c r="Z558" t="s">
        <v>10753</v>
      </c>
      <c r="AA558" t="s">
        <v>10754</v>
      </c>
      <c r="AB558" t="s">
        <v>10755</v>
      </c>
      <c r="AC558" t="s">
        <v>10756</v>
      </c>
      <c r="AD558" t="s">
        <v>10757</v>
      </c>
      <c r="AE558" t="s">
        <v>10758</v>
      </c>
      <c r="AF558" t="s">
        <v>74</v>
      </c>
      <c r="AG558">
        <v>56</v>
      </c>
      <c r="AH558">
        <v>11</v>
      </c>
      <c r="AI558">
        <v>11</v>
      </c>
      <c r="AJ558">
        <v>0</v>
      </c>
      <c r="AK558">
        <v>24</v>
      </c>
      <c r="AL558" t="s">
        <v>729</v>
      </c>
      <c r="AM558" t="s">
        <v>730</v>
      </c>
      <c r="AN558" t="s">
        <v>731</v>
      </c>
      <c r="AO558" t="s">
        <v>732</v>
      </c>
      <c r="AP558" t="s">
        <v>733</v>
      </c>
      <c r="AQ558" t="s">
        <v>74</v>
      </c>
      <c r="AR558" t="s">
        <v>734</v>
      </c>
      <c r="AS558" t="s">
        <v>735</v>
      </c>
      <c r="AT558" t="s">
        <v>8336</v>
      </c>
      <c r="AU558">
        <v>2017</v>
      </c>
      <c r="AV558">
        <v>164</v>
      </c>
      <c r="AW558">
        <v>4</v>
      </c>
      <c r="AX558" t="s">
        <v>74</v>
      </c>
      <c r="AY558" t="s">
        <v>74</v>
      </c>
      <c r="AZ558" t="s">
        <v>74</v>
      </c>
      <c r="BA558" t="s">
        <v>74</v>
      </c>
      <c r="BB558" t="s">
        <v>74</v>
      </c>
      <c r="BC558" t="s">
        <v>74</v>
      </c>
      <c r="BD558">
        <v>87</v>
      </c>
      <c r="BE558" t="s">
        <v>10759</v>
      </c>
      <c r="BF558" t="str">
        <f>HYPERLINK("http://dx.doi.org/10.1007/s00227-017-3102-4","http://dx.doi.org/10.1007/s00227-017-3102-4")</f>
        <v>http://dx.doi.org/10.1007/s00227-017-3102-4</v>
      </c>
      <c r="BG558" t="s">
        <v>74</v>
      </c>
      <c r="BH558" t="s">
        <v>74</v>
      </c>
      <c r="BI558">
        <v>10</v>
      </c>
      <c r="BJ558" t="s">
        <v>737</v>
      </c>
      <c r="BK558" t="s">
        <v>103</v>
      </c>
      <c r="BL558" t="s">
        <v>737</v>
      </c>
      <c r="BM558" t="s">
        <v>10760</v>
      </c>
      <c r="BN558" t="s">
        <v>74</v>
      </c>
      <c r="BO558" t="s">
        <v>74</v>
      </c>
      <c r="BP558" t="s">
        <v>74</v>
      </c>
      <c r="BQ558" t="s">
        <v>74</v>
      </c>
      <c r="BR558" t="s">
        <v>106</v>
      </c>
      <c r="BS558" t="s">
        <v>10761</v>
      </c>
      <c r="BT558" t="str">
        <f>HYPERLINK("https%3A%2F%2Fwww.webofscience.com%2Fwos%2Fwoscc%2Ffull-record%2FWOS:000398579400026","View Full Record in Web of Science")</f>
        <v>View Full Record in Web of Science</v>
      </c>
    </row>
    <row r="559" spans="1:72" x14ac:dyDescent="0.15">
      <c r="A559" t="s">
        <v>72</v>
      </c>
      <c r="B559" t="s">
        <v>10762</v>
      </c>
      <c r="C559" t="s">
        <v>74</v>
      </c>
      <c r="D559" t="s">
        <v>74</v>
      </c>
      <c r="E559" t="s">
        <v>74</v>
      </c>
      <c r="F559" t="s">
        <v>10763</v>
      </c>
      <c r="G559" t="s">
        <v>74</v>
      </c>
      <c r="H559" t="s">
        <v>74</v>
      </c>
      <c r="I559" t="s">
        <v>10764</v>
      </c>
      <c r="J559" t="s">
        <v>718</v>
      </c>
      <c r="K559" t="s">
        <v>74</v>
      </c>
      <c r="L559" t="s">
        <v>74</v>
      </c>
      <c r="M559" t="s">
        <v>78</v>
      </c>
      <c r="N559" t="s">
        <v>79</v>
      </c>
      <c r="O559" t="s">
        <v>74</v>
      </c>
      <c r="P559" t="s">
        <v>74</v>
      </c>
      <c r="Q559" t="s">
        <v>74</v>
      </c>
      <c r="R559" t="s">
        <v>74</v>
      </c>
      <c r="S559" t="s">
        <v>74</v>
      </c>
      <c r="T559" t="s">
        <v>74</v>
      </c>
      <c r="U559" t="s">
        <v>10765</v>
      </c>
      <c r="V559" t="s">
        <v>10766</v>
      </c>
      <c r="W559" t="s">
        <v>10767</v>
      </c>
      <c r="X559" t="s">
        <v>10768</v>
      </c>
      <c r="Y559" t="s">
        <v>10769</v>
      </c>
      <c r="Z559" t="s">
        <v>10770</v>
      </c>
      <c r="AA559" t="s">
        <v>10771</v>
      </c>
      <c r="AB559" t="s">
        <v>10772</v>
      </c>
      <c r="AC559" t="s">
        <v>10773</v>
      </c>
      <c r="AD559" t="s">
        <v>10774</v>
      </c>
      <c r="AE559" t="s">
        <v>10775</v>
      </c>
      <c r="AF559" t="s">
        <v>74</v>
      </c>
      <c r="AG559">
        <v>44</v>
      </c>
      <c r="AH559">
        <v>10</v>
      </c>
      <c r="AI559">
        <v>11</v>
      </c>
      <c r="AJ559">
        <v>1</v>
      </c>
      <c r="AK559">
        <v>41</v>
      </c>
      <c r="AL559" t="s">
        <v>729</v>
      </c>
      <c r="AM559" t="s">
        <v>730</v>
      </c>
      <c r="AN559" t="s">
        <v>731</v>
      </c>
      <c r="AO559" t="s">
        <v>732</v>
      </c>
      <c r="AP559" t="s">
        <v>733</v>
      </c>
      <c r="AQ559" t="s">
        <v>74</v>
      </c>
      <c r="AR559" t="s">
        <v>734</v>
      </c>
      <c r="AS559" t="s">
        <v>735</v>
      </c>
      <c r="AT559" t="s">
        <v>8336</v>
      </c>
      <c r="AU559">
        <v>2017</v>
      </c>
      <c r="AV559">
        <v>164</v>
      </c>
      <c r="AW559">
        <v>4</v>
      </c>
      <c r="AX559" t="s">
        <v>74</v>
      </c>
      <c r="AY559" t="s">
        <v>74</v>
      </c>
      <c r="AZ559" t="s">
        <v>74</v>
      </c>
      <c r="BA559" t="s">
        <v>74</v>
      </c>
      <c r="BB559" t="s">
        <v>74</v>
      </c>
      <c r="BC559" t="s">
        <v>74</v>
      </c>
      <c r="BD559">
        <v>62</v>
      </c>
      <c r="BE559" t="s">
        <v>10776</v>
      </c>
      <c r="BF559" t="str">
        <f>HYPERLINK("http://dx.doi.org/10.1007/s00227-017-3086-0","http://dx.doi.org/10.1007/s00227-017-3086-0")</f>
        <v>http://dx.doi.org/10.1007/s00227-017-3086-0</v>
      </c>
      <c r="BG559" t="s">
        <v>74</v>
      </c>
      <c r="BH559" t="s">
        <v>74</v>
      </c>
      <c r="BI559">
        <v>9</v>
      </c>
      <c r="BJ559" t="s">
        <v>737</v>
      </c>
      <c r="BK559" t="s">
        <v>103</v>
      </c>
      <c r="BL559" t="s">
        <v>737</v>
      </c>
      <c r="BM559" t="s">
        <v>10760</v>
      </c>
      <c r="BN559" t="s">
        <v>74</v>
      </c>
      <c r="BO559" t="s">
        <v>74</v>
      </c>
      <c r="BP559" t="s">
        <v>74</v>
      </c>
      <c r="BQ559" t="s">
        <v>74</v>
      </c>
      <c r="BR559" t="s">
        <v>106</v>
      </c>
      <c r="BS559" t="s">
        <v>10777</v>
      </c>
      <c r="BT559" t="str">
        <f>HYPERLINK("https%3A%2F%2Fwww.webofscience.com%2Fwos%2Fwoscc%2Ffull-record%2FWOS:000398579400001","View Full Record in Web of Science")</f>
        <v>View Full Record in Web of Science</v>
      </c>
    </row>
    <row r="560" spans="1:72" x14ac:dyDescent="0.15">
      <c r="A560" t="s">
        <v>72</v>
      </c>
      <c r="B560" t="s">
        <v>10778</v>
      </c>
      <c r="C560" t="s">
        <v>74</v>
      </c>
      <c r="D560" t="s">
        <v>74</v>
      </c>
      <c r="E560" t="s">
        <v>74</v>
      </c>
      <c r="F560" t="s">
        <v>10779</v>
      </c>
      <c r="G560" t="s">
        <v>74</v>
      </c>
      <c r="H560" t="s">
        <v>74</v>
      </c>
      <c r="I560" t="s">
        <v>10780</v>
      </c>
      <c r="J560" t="s">
        <v>5121</v>
      </c>
      <c r="K560" t="s">
        <v>74</v>
      </c>
      <c r="L560" t="s">
        <v>74</v>
      </c>
      <c r="M560" t="s">
        <v>78</v>
      </c>
      <c r="N560" t="s">
        <v>79</v>
      </c>
      <c r="O560" t="s">
        <v>74</v>
      </c>
      <c r="P560" t="s">
        <v>74</v>
      </c>
      <c r="Q560" t="s">
        <v>74</v>
      </c>
      <c r="R560" t="s">
        <v>74</v>
      </c>
      <c r="S560" t="s">
        <v>74</v>
      </c>
      <c r="T560" t="s">
        <v>10781</v>
      </c>
      <c r="U560" t="s">
        <v>10782</v>
      </c>
      <c r="V560" t="s">
        <v>10783</v>
      </c>
      <c r="W560" t="s">
        <v>10784</v>
      </c>
      <c r="X560" t="s">
        <v>10785</v>
      </c>
      <c r="Y560" t="s">
        <v>10786</v>
      </c>
      <c r="Z560" t="s">
        <v>10787</v>
      </c>
      <c r="AA560" t="s">
        <v>5129</v>
      </c>
      <c r="AB560" t="s">
        <v>10788</v>
      </c>
      <c r="AC560" t="s">
        <v>10789</v>
      </c>
      <c r="AD560" t="s">
        <v>10790</v>
      </c>
      <c r="AE560" t="s">
        <v>10791</v>
      </c>
      <c r="AF560" t="s">
        <v>74</v>
      </c>
      <c r="AG560">
        <v>107</v>
      </c>
      <c r="AH560">
        <v>28</v>
      </c>
      <c r="AI560">
        <v>29</v>
      </c>
      <c r="AJ560">
        <v>1</v>
      </c>
      <c r="AK560">
        <v>17</v>
      </c>
      <c r="AL560" t="s">
        <v>1141</v>
      </c>
      <c r="AM560" t="s">
        <v>318</v>
      </c>
      <c r="AN560" t="s">
        <v>1142</v>
      </c>
      <c r="AO560" t="s">
        <v>5134</v>
      </c>
      <c r="AP560" t="s">
        <v>5135</v>
      </c>
      <c r="AQ560" t="s">
        <v>74</v>
      </c>
      <c r="AR560" t="s">
        <v>5136</v>
      </c>
      <c r="AS560" t="s">
        <v>5137</v>
      </c>
      <c r="AT560" t="s">
        <v>8595</v>
      </c>
      <c r="AU560">
        <v>2017</v>
      </c>
      <c r="AV560">
        <v>386</v>
      </c>
      <c r="AW560" t="s">
        <v>74</v>
      </c>
      <c r="AX560" t="s">
        <v>74</v>
      </c>
      <c r="AY560" t="s">
        <v>74</v>
      </c>
      <c r="AZ560" t="s">
        <v>74</v>
      </c>
      <c r="BA560" t="s">
        <v>74</v>
      </c>
      <c r="BB560">
        <v>140</v>
      </c>
      <c r="BC560">
        <v>152</v>
      </c>
      <c r="BD560" t="s">
        <v>74</v>
      </c>
      <c r="BE560" t="s">
        <v>10792</v>
      </c>
      <c r="BF560" t="str">
        <f>HYPERLINK("http://dx.doi.org/10.1016/j.margeo.2017.03.001","http://dx.doi.org/10.1016/j.margeo.2017.03.001")</f>
        <v>http://dx.doi.org/10.1016/j.margeo.2017.03.001</v>
      </c>
      <c r="BG560" t="s">
        <v>74</v>
      </c>
      <c r="BH560" t="s">
        <v>74</v>
      </c>
      <c r="BI560">
        <v>13</v>
      </c>
      <c r="BJ560" t="s">
        <v>2433</v>
      </c>
      <c r="BK560" t="s">
        <v>103</v>
      </c>
      <c r="BL560" t="s">
        <v>2434</v>
      </c>
      <c r="BM560" t="s">
        <v>8597</v>
      </c>
      <c r="BN560" t="s">
        <v>74</v>
      </c>
      <c r="BO560" t="s">
        <v>10793</v>
      </c>
      <c r="BP560" t="s">
        <v>74</v>
      </c>
      <c r="BQ560" t="s">
        <v>74</v>
      </c>
      <c r="BR560" t="s">
        <v>106</v>
      </c>
      <c r="BS560" t="s">
        <v>10794</v>
      </c>
      <c r="BT560" t="str">
        <f>HYPERLINK("https%3A%2F%2Fwww.webofscience.com%2Fwos%2Fwoscc%2Ffull-record%2FWOS:000403512800011","View Full Record in Web of Science")</f>
        <v>View Full Record in Web of Science</v>
      </c>
    </row>
    <row r="561" spans="1:72" x14ac:dyDescent="0.15">
      <c r="A561" t="s">
        <v>72</v>
      </c>
      <c r="B561" t="s">
        <v>10795</v>
      </c>
      <c r="C561" t="s">
        <v>74</v>
      </c>
      <c r="D561" t="s">
        <v>74</v>
      </c>
      <c r="E561" t="s">
        <v>74</v>
      </c>
      <c r="F561" t="s">
        <v>10796</v>
      </c>
      <c r="G561" t="s">
        <v>74</v>
      </c>
      <c r="H561" t="s">
        <v>74</v>
      </c>
      <c r="I561" t="s">
        <v>10797</v>
      </c>
      <c r="J561" t="s">
        <v>9198</v>
      </c>
      <c r="K561" t="s">
        <v>74</v>
      </c>
      <c r="L561" t="s">
        <v>74</v>
      </c>
      <c r="M561" t="s">
        <v>78</v>
      </c>
      <c r="N561" t="s">
        <v>79</v>
      </c>
      <c r="O561" t="s">
        <v>74</v>
      </c>
      <c r="P561" t="s">
        <v>74</v>
      </c>
      <c r="Q561" t="s">
        <v>74</v>
      </c>
      <c r="R561" t="s">
        <v>74</v>
      </c>
      <c r="S561" t="s">
        <v>74</v>
      </c>
      <c r="T561" t="s">
        <v>10798</v>
      </c>
      <c r="U561" t="s">
        <v>10799</v>
      </c>
      <c r="V561" t="s">
        <v>10800</v>
      </c>
      <c r="W561" t="s">
        <v>10801</v>
      </c>
      <c r="X561" t="s">
        <v>10802</v>
      </c>
      <c r="Y561" t="s">
        <v>10803</v>
      </c>
      <c r="Z561" t="s">
        <v>10804</v>
      </c>
      <c r="AA561" t="s">
        <v>10805</v>
      </c>
      <c r="AB561" t="s">
        <v>10806</v>
      </c>
      <c r="AC561" t="s">
        <v>10807</v>
      </c>
      <c r="AD561" t="s">
        <v>10808</v>
      </c>
      <c r="AE561" t="s">
        <v>10809</v>
      </c>
      <c r="AF561" t="s">
        <v>74</v>
      </c>
      <c r="AG561">
        <v>57</v>
      </c>
      <c r="AH561">
        <v>24</v>
      </c>
      <c r="AI561">
        <v>27</v>
      </c>
      <c r="AJ561">
        <v>2</v>
      </c>
      <c r="AK561">
        <v>34</v>
      </c>
      <c r="AL561" t="s">
        <v>681</v>
      </c>
      <c r="AM561" t="s">
        <v>682</v>
      </c>
      <c r="AN561" t="s">
        <v>683</v>
      </c>
      <c r="AO561" t="s">
        <v>9211</v>
      </c>
      <c r="AP561" t="s">
        <v>9212</v>
      </c>
      <c r="AQ561" t="s">
        <v>74</v>
      </c>
      <c r="AR561" t="s">
        <v>9213</v>
      </c>
      <c r="AS561" t="s">
        <v>9214</v>
      </c>
      <c r="AT561" t="s">
        <v>8336</v>
      </c>
      <c r="AU561">
        <v>2017</v>
      </c>
      <c r="AV561">
        <v>33</v>
      </c>
      <c r="AW561">
        <v>2</v>
      </c>
      <c r="AX561" t="s">
        <v>74</v>
      </c>
      <c r="AY561" t="s">
        <v>74</v>
      </c>
      <c r="AZ561" t="s">
        <v>74</v>
      </c>
      <c r="BA561" t="s">
        <v>74</v>
      </c>
      <c r="BB561">
        <v>541</v>
      </c>
      <c r="BC561">
        <v>557</v>
      </c>
      <c r="BD561" t="s">
        <v>74</v>
      </c>
      <c r="BE561" t="s">
        <v>10810</v>
      </c>
      <c r="BF561" t="str">
        <f>HYPERLINK("http://dx.doi.org/10.1111/mms.12384","http://dx.doi.org/10.1111/mms.12384")</f>
        <v>http://dx.doi.org/10.1111/mms.12384</v>
      </c>
      <c r="BG561" t="s">
        <v>74</v>
      </c>
      <c r="BH561" t="s">
        <v>74</v>
      </c>
      <c r="BI561">
        <v>17</v>
      </c>
      <c r="BJ561" t="s">
        <v>689</v>
      </c>
      <c r="BK561" t="s">
        <v>103</v>
      </c>
      <c r="BL561" t="s">
        <v>689</v>
      </c>
      <c r="BM561" t="s">
        <v>9216</v>
      </c>
      <c r="BN561" t="s">
        <v>74</v>
      </c>
      <c r="BO561" t="s">
        <v>74</v>
      </c>
      <c r="BP561" t="s">
        <v>74</v>
      </c>
      <c r="BQ561" t="s">
        <v>74</v>
      </c>
      <c r="BR561" t="s">
        <v>106</v>
      </c>
      <c r="BS561" t="s">
        <v>10811</v>
      </c>
      <c r="BT561" t="str">
        <f>HYPERLINK("https%3A%2F%2Fwww.webofscience.com%2Fwos%2Fwoscc%2Ffull-record%2FWOS:000399640700007","View Full Record in Web of Science")</f>
        <v>View Full Record in Web of Science</v>
      </c>
    </row>
    <row r="562" spans="1:72" x14ac:dyDescent="0.15">
      <c r="A562" t="s">
        <v>72</v>
      </c>
      <c r="B562" t="s">
        <v>10812</v>
      </c>
      <c r="C562" t="s">
        <v>74</v>
      </c>
      <c r="D562" t="s">
        <v>74</v>
      </c>
      <c r="E562" t="s">
        <v>74</v>
      </c>
      <c r="F562" t="s">
        <v>10813</v>
      </c>
      <c r="G562" t="s">
        <v>74</v>
      </c>
      <c r="H562" t="s">
        <v>74</v>
      </c>
      <c r="I562" t="s">
        <v>10814</v>
      </c>
      <c r="J562" t="s">
        <v>10815</v>
      </c>
      <c r="K562" t="s">
        <v>74</v>
      </c>
      <c r="L562" t="s">
        <v>74</v>
      </c>
      <c r="M562" t="s">
        <v>78</v>
      </c>
      <c r="N562" t="s">
        <v>79</v>
      </c>
      <c r="O562" t="s">
        <v>74</v>
      </c>
      <c r="P562" t="s">
        <v>74</v>
      </c>
      <c r="Q562" t="s">
        <v>74</v>
      </c>
      <c r="R562" t="s">
        <v>74</v>
      </c>
      <c r="S562" t="s">
        <v>74</v>
      </c>
      <c r="T562" t="s">
        <v>10816</v>
      </c>
      <c r="U562" t="s">
        <v>10817</v>
      </c>
      <c r="V562" t="s">
        <v>10818</v>
      </c>
      <c r="W562" t="s">
        <v>10819</v>
      </c>
      <c r="X562" t="s">
        <v>10820</v>
      </c>
      <c r="Y562" t="s">
        <v>10821</v>
      </c>
      <c r="Z562" t="s">
        <v>10822</v>
      </c>
      <c r="AA562" t="s">
        <v>74</v>
      </c>
      <c r="AB562" t="s">
        <v>74</v>
      </c>
      <c r="AC562" t="s">
        <v>74</v>
      </c>
      <c r="AD562" t="s">
        <v>74</v>
      </c>
      <c r="AE562" t="s">
        <v>74</v>
      </c>
      <c r="AF562" t="s">
        <v>74</v>
      </c>
      <c r="AG562">
        <v>14</v>
      </c>
      <c r="AH562">
        <v>1</v>
      </c>
      <c r="AI562">
        <v>1</v>
      </c>
      <c r="AJ562">
        <v>0</v>
      </c>
      <c r="AK562">
        <v>0</v>
      </c>
      <c r="AL562" t="s">
        <v>10823</v>
      </c>
      <c r="AM562" t="s">
        <v>10824</v>
      </c>
      <c r="AN562" t="s">
        <v>10825</v>
      </c>
      <c r="AO562" t="s">
        <v>10826</v>
      </c>
      <c r="AP562" t="s">
        <v>10827</v>
      </c>
      <c r="AQ562" t="s">
        <v>74</v>
      </c>
      <c r="AR562" t="s">
        <v>10828</v>
      </c>
      <c r="AS562" t="s">
        <v>10829</v>
      </c>
      <c r="AT562" t="s">
        <v>8336</v>
      </c>
      <c r="AU562">
        <v>2017</v>
      </c>
      <c r="AV562">
        <v>45</v>
      </c>
      <c r="AW562">
        <v>1</v>
      </c>
      <c r="AX562" t="s">
        <v>74</v>
      </c>
      <c r="AY562" t="s">
        <v>74</v>
      </c>
      <c r="AZ562" t="s">
        <v>74</v>
      </c>
      <c r="BA562" t="s">
        <v>74</v>
      </c>
      <c r="BB562">
        <v>17</v>
      </c>
      <c r="BC562">
        <v>19</v>
      </c>
      <c r="BD562" t="s">
        <v>74</v>
      </c>
      <c r="BE562" t="s">
        <v>74</v>
      </c>
      <c r="BF562" t="s">
        <v>74</v>
      </c>
      <c r="BG562" t="s">
        <v>74</v>
      </c>
      <c r="BH562" t="s">
        <v>74</v>
      </c>
      <c r="BI562">
        <v>3</v>
      </c>
      <c r="BJ562" t="s">
        <v>10830</v>
      </c>
      <c r="BK562" t="s">
        <v>103</v>
      </c>
      <c r="BL562" t="s">
        <v>689</v>
      </c>
      <c r="BM562" t="s">
        <v>10831</v>
      </c>
      <c r="BN562" t="s">
        <v>74</v>
      </c>
      <c r="BO562" t="s">
        <v>74</v>
      </c>
      <c r="BP562" t="s">
        <v>74</v>
      </c>
      <c r="BQ562" t="s">
        <v>74</v>
      </c>
      <c r="BR562" t="s">
        <v>106</v>
      </c>
      <c r="BS562" t="s">
        <v>10832</v>
      </c>
      <c r="BT562" t="str">
        <f>HYPERLINK("https%3A%2F%2Fwww.webofscience.com%2Fwos%2Fwoscc%2Ffull-record%2FWOS:000456310400003","View Full Record in Web of Science")</f>
        <v>View Full Record in Web of Science</v>
      </c>
    </row>
    <row r="563" spans="1:72" x14ac:dyDescent="0.15">
      <c r="A563" t="s">
        <v>72</v>
      </c>
      <c r="B563" t="s">
        <v>10833</v>
      </c>
      <c r="C563" t="s">
        <v>74</v>
      </c>
      <c r="D563" t="s">
        <v>74</v>
      </c>
      <c r="E563" t="s">
        <v>74</v>
      </c>
      <c r="F563" t="s">
        <v>10834</v>
      </c>
      <c r="G563" t="s">
        <v>74</v>
      </c>
      <c r="H563" t="s">
        <v>74</v>
      </c>
      <c r="I563" t="s">
        <v>10835</v>
      </c>
      <c r="J563" t="s">
        <v>10815</v>
      </c>
      <c r="K563" t="s">
        <v>74</v>
      </c>
      <c r="L563" t="s">
        <v>74</v>
      </c>
      <c r="M563" t="s">
        <v>78</v>
      </c>
      <c r="N563" t="s">
        <v>79</v>
      </c>
      <c r="O563" t="s">
        <v>74</v>
      </c>
      <c r="P563" t="s">
        <v>74</v>
      </c>
      <c r="Q563" t="s">
        <v>74</v>
      </c>
      <c r="R563" t="s">
        <v>74</v>
      </c>
      <c r="S563" t="s">
        <v>74</v>
      </c>
      <c r="T563" t="s">
        <v>10836</v>
      </c>
      <c r="U563" t="s">
        <v>74</v>
      </c>
      <c r="V563" t="s">
        <v>10837</v>
      </c>
      <c r="W563" t="s">
        <v>10838</v>
      </c>
      <c r="X563" t="s">
        <v>10839</v>
      </c>
      <c r="Y563" t="s">
        <v>10840</v>
      </c>
      <c r="Z563" t="s">
        <v>10841</v>
      </c>
      <c r="AA563" t="s">
        <v>10842</v>
      </c>
      <c r="AB563" t="s">
        <v>74</v>
      </c>
      <c r="AC563" t="s">
        <v>74</v>
      </c>
      <c r="AD563" t="s">
        <v>74</v>
      </c>
      <c r="AE563" t="s">
        <v>74</v>
      </c>
      <c r="AF563" t="s">
        <v>74</v>
      </c>
      <c r="AG563">
        <v>11</v>
      </c>
      <c r="AH563">
        <v>1</v>
      </c>
      <c r="AI563">
        <v>1</v>
      </c>
      <c r="AJ563">
        <v>0</v>
      </c>
      <c r="AK563">
        <v>0</v>
      </c>
      <c r="AL563" t="s">
        <v>10823</v>
      </c>
      <c r="AM563" t="s">
        <v>10824</v>
      </c>
      <c r="AN563" t="s">
        <v>10825</v>
      </c>
      <c r="AO563" t="s">
        <v>10826</v>
      </c>
      <c r="AP563" t="s">
        <v>10827</v>
      </c>
      <c r="AQ563" t="s">
        <v>74</v>
      </c>
      <c r="AR563" t="s">
        <v>10828</v>
      </c>
      <c r="AS563" t="s">
        <v>10829</v>
      </c>
      <c r="AT563" t="s">
        <v>8336</v>
      </c>
      <c r="AU563">
        <v>2017</v>
      </c>
      <c r="AV563">
        <v>45</v>
      </c>
      <c r="AW563">
        <v>1</v>
      </c>
      <c r="AX563" t="s">
        <v>74</v>
      </c>
      <c r="AY563" t="s">
        <v>74</v>
      </c>
      <c r="AZ563" t="s">
        <v>74</v>
      </c>
      <c r="BA563" t="s">
        <v>74</v>
      </c>
      <c r="BB563">
        <v>43</v>
      </c>
      <c r="BC563">
        <v>46</v>
      </c>
      <c r="BD563" t="s">
        <v>74</v>
      </c>
      <c r="BE563" t="s">
        <v>74</v>
      </c>
      <c r="BF563" t="s">
        <v>74</v>
      </c>
      <c r="BG563" t="s">
        <v>74</v>
      </c>
      <c r="BH563" t="s">
        <v>74</v>
      </c>
      <c r="BI563">
        <v>4</v>
      </c>
      <c r="BJ563" t="s">
        <v>10830</v>
      </c>
      <c r="BK563" t="s">
        <v>103</v>
      </c>
      <c r="BL563" t="s">
        <v>689</v>
      </c>
      <c r="BM563" t="s">
        <v>10831</v>
      </c>
      <c r="BN563" t="s">
        <v>74</v>
      </c>
      <c r="BO563" t="s">
        <v>74</v>
      </c>
      <c r="BP563" t="s">
        <v>74</v>
      </c>
      <c r="BQ563" t="s">
        <v>74</v>
      </c>
      <c r="BR563" t="s">
        <v>106</v>
      </c>
      <c r="BS563" t="s">
        <v>10843</v>
      </c>
      <c r="BT563" t="str">
        <f>HYPERLINK("https%3A%2F%2Fwww.webofscience.com%2Fwos%2Fwoscc%2Ffull-record%2FWOS:000456310400007","View Full Record in Web of Science")</f>
        <v>View Full Record in Web of Science</v>
      </c>
    </row>
    <row r="564" spans="1:72" x14ac:dyDescent="0.15">
      <c r="A564" t="s">
        <v>72</v>
      </c>
      <c r="B564" t="s">
        <v>10844</v>
      </c>
      <c r="C564" t="s">
        <v>74</v>
      </c>
      <c r="D564" t="s">
        <v>74</v>
      </c>
      <c r="E564" t="s">
        <v>74</v>
      </c>
      <c r="F564" t="s">
        <v>10845</v>
      </c>
      <c r="G564" t="s">
        <v>74</v>
      </c>
      <c r="H564" t="s">
        <v>74</v>
      </c>
      <c r="I564" t="s">
        <v>10846</v>
      </c>
      <c r="J564" t="s">
        <v>10847</v>
      </c>
      <c r="K564" t="s">
        <v>74</v>
      </c>
      <c r="L564" t="s">
        <v>74</v>
      </c>
      <c r="M564" t="s">
        <v>78</v>
      </c>
      <c r="N564" t="s">
        <v>79</v>
      </c>
      <c r="O564" t="s">
        <v>74</v>
      </c>
      <c r="P564" t="s">
        <v>74</v>
      </c>
      <c r="Q564" t="s">
        <v>74</v>
      </c>
      <c r="R564" t="s">
        <v>74</v>
      </c>
      <c r="S564" t="s">
        <v>74</v>
      </c>
      <c r="T564" t="s">
        <v>10848</v>
      </c>
      <c r="U564" t="s">
        <v>10849</v>
      </c>
      <c r="V564" t="s">
        <v>10850</v>
      </c>
      <c r="W564" t="s">
        <v>10851</v>
      </c>
      <c r="X564" t="s">
        <v>10852</v>
      </c>
      <c r="Y564" t="s">
        <v>10853</v>
      </c>
      <c r="Z564" t="s">
        <v>10854</v>
      </c>
      <c r="AA564" t="s">
        <v>10855</v>
      </c>
      <c r="AB564" t="s">
        <v>10856</v>
      </c>
      <c r="AC564" t="s">
        <v>10857</v>
      </c>
      <c r="AD564" t="s">
        <v>10858</v>
      </c>
      <c r="AE564" t="s">
        <v>10859</v>
      </c>
      <c r="AF564" t="s">
        <v>74</v>
      </c>
      <c r="AG564">
        <v>33</v>
      </c>
      <c r="AH564">
        <v>12</v>
      </c>
      <c r="AI564">
        <v>13</v>
      </c>
      <c r="AJ564">
        <v>0</v>
      </c>
      <c r="AK564">
        <v>28</v>
      </c>
      <c r="AL564" t="s">
        <v>986</v>
      </c>
      <c r="AM564" t="s">
        <v>430</v>
      </c>
      <c r="AN564" t="s">
        <v>987</v>
      </c>
      <c r="AO564" t="s">
        <v>10860</v>
      </c>
      <c r="AP564" t="s">
        <v>10861</v>
      </c>
      <c r="AQ564" t="s">
        <v>74</v>
      </c>
      <c r="AR564" t="s">
        <v>10862</v>
      </c>
      <c r="AS564" t="s">
        <v>10863</v>
      </c>
      <c r="AT564" t="s">
        <v>8336</v>
      </c>
      <c r="AU564">
        <v>2017</v>
      </c>
      <c r="AV564">
        <v>73</v>
      </c>
      <c r="AW564">
        <v>3</v>
      </c>
      <c r="AX564" t="s">
        <v>74</v>
      </c>
      <c r="AY564" t="s">
        <v>74</v>
      </c>
      <c r="AZ564" t="s">
        <v>74</v>
      </c>
      <c r="BA564" t="s">
        <v>74</v>
      </c>
      <c r="BB564">
        <v>532</v>
      </c>
      <c r="BC564">
        <v>538</v>
      </c>
      <c r="BD564" t="s">
        <v>74</v>
      </c>
      <c r="BE564" t="s">
        <v>10864</v>
      </c>
      <c r="BF564" t="str">
        <f>HYPERLINK("http://dx.doi.org/10.1007/s00248-016-0886-6","http://dx.doi.org/10.1007/s00248-016-0886-6")</f>
        <v>http://dx.doi.org/10.1007/s00248-016-0886-6</v>
      </c>
      <c r="BG564" t="s">
        <v>74</v>
      </c>
      <c r="BH564" t="s">
        <v>74</v>
      </c>
      <c r="BI564">
        <v>7</v>
      </c>
      <c r="BJ564" t="s">
        <v>10865</v>
      </c>
      <c r="BK564" t="s">
        <v>103</v>
      </c>
      <c r="BL564" t="s">
        <v>10866</v>
      </c>
      <c r="BM564" t="s">
        <v>10867</v>
      </c>
      <c r="BN564">
        <v>27822618</v>
      </c>
      <c r="BO564" t="s">
        <v>10868</v>
      </c>
      <c r="BP564" t="s">
        <v>74</v>
      </c>
      <c r="BQ564" t="s">
        <v>74</v>
      </c>
      <c r="BR564" t="s">
        <v>106</v>
      </c>
      <c r="BS564" t="s">
        <v>10869</v>
      </c>
      <c r="BT564" t="str">
        <f>HYPERLINK("https%3A%2F%2Fwww.webofscience.com%2Fwos%2Fwoscc%2Ffull-record%2FWOS:000397940000003","View Full Record in Web of Science")</f>
        <v>View Full Record in Web of Science</v>
      </c>
    </row>
    <row r="565" spans="1:72" x14ac:dyDescent="0.15">
      <c r="A565" t="s">
        <v>72</v>
      </c>
      <c r="B565" t="s">
        <v>10870</v>
      </c>
      <c r="C565" t="s">
        <v>74</v>
      </c>
      <c r="D565" t="s">
        <v>74</v>
      </c>
      <c r="E565" t="s">
        <v>74</v>
      </c>
      <c r="F565" t="s">
        <v>10871</v>
      </c>
      <c r="G565" t="s">
        <v>74</v>
      </c>
      <c r="H565" t="s">
        <v>74</v>
      </c>
      <c r="I565" t="s">
        <v>10872</v>
      </c>
      <c r="J565" t="s">
        <v>10873</v>
      </c>
      <c r="K565" t="s">
        <v>74</v>
      </c>
      <c r="L565" t="s">
        <v>74</v>
      </c>
      <c r="M565" t="s">
        <v>78</v>
      </c>
      <c r="N565" t="s">
        <v>79</v>
      </c>
      <c r="O565" t="s">
        <v>74</v>
      </c>
      <c r="P565" t="s">
        <v>74</v>
      </c>
      <c r="Q565" t="s">
        <v>74</v>
      </c>
      <c r="R565" t="s">
        <v>74</v>
      </c>
      <c r="S565" t="s">
        <v>74</v>
      </c>
      <c r="T565" t="s">
        <v>10874</v>
      </c>
      <c r="U565" t="s">
        <v>10875</v>
      </c>
      <c r="V565" t="s">
        <v>10876</v>
      </c>
      <c r="W565" t="s">
        <v>10877</v>
      </c>
      <c r="X565" t="s">
        <v>1824</v>
      </c>
      <c r="Y565" t="s">
        <v>10878</v>
      </c>
      <c r="Z565" t="s">
        <v>10879</v>
      </c>
      <c r="AA565" t="s">
        <v>10880</v>
      </c>
      <c r="AB565" t="s">
        <v>10881</v>
      </c>
      <c r="AC565" t="s">
        <v>74</v>
      </c>
      <c r="AD565" t="s">
        <v>74</v>
      </c>
      <c r="AE565" t="s">
        <v>74</v>
      </c>
      <c r="AF565" t="s">
        <v>74</v>
      </c>
      <c r="AG565">
        <v>41</v>
      </c>
      <c r="AH565">
        <v>31</v>
      </c>
      <c r="AI565">
        <v>31</v>
      </c>
      <c r="AJ565">
        <v>0</v>
      </c>
      <c r="AK565">
        <v>19</v>
      </c>
      <c r="AL565" t="s">
        <v>986</v>
      </c>
      <c r="AM565" t="s">
        <v>430</v>
      </c>
      <c r="AN565" t="s">
        <v>987</v>
      </c>
      <c r="AO565" t="s">
        <v>10882</v>
      </c>
      <c r="AP565" t="s">
        <v>10883</v>
      </c>
      <c r="AQ565" t="s">
        <v>74</v>
      </c>
      <c r="AR565" t="s">
        <v>10884</v>
      </c>
      <c r="AS565" t="s">
        <v>10885</v>
      </c>
      <c r="AT565" t="s">
        <v>8336</v>
      </c>
      <c r="AU565">
        <v>2017</v>
      </c>
      <c r="AV565">
        <v>86</v>
      </c>
      <c r="AW565">
        <v>3</v>
      </c>
      <c r="AX565" t="s">
        <v>74</v>
      </c>
      <c r="AY565" t="s">
        <v>74</v>
      </c>
      <c r="AZ565" t="s">
        <v>74</v>
      </c>
      <c r="BA565" t="s">
        <v>74</v>
      </c>
      <c r="BB565">
        <v>1275</v>
      </c>
      <c r="BC565">
        <v>1290</v>
      </c>
      <c r="BD565" t="s">
        <v>74</v>
      </c>
      <c r="BE565" t="s">
        <v>10886</v>
      </c>
      <c r="BF565" t="str">
        <f>HYPERLINK("http://dx.doi.org/10.1007/s11069-017-2743-4","http://dx.doi.org/10.1007/s11069-017-2743-4")</f>
        <v>http://dx.doi.org/10.1007/s11069-017-2743-4</v>
      </c>
      <c r="BG565" t="s">
        <v>74</v>
      </c>
      <c r="BH565" t="s">
        <v>74</v>
      </c>
      <c r="BI565">
        <v>16</v>
      </c>
      <c r="BJ565" t="s">
        <v>10887</v>
      </c>
      <c r="BK565" t="s">
        <v>103</v>
      </c>
      <c r="BL565" t="s">
        <v>10888</v>
      </c>
      <c r="BM565" t="s">
        <v>10889</v>
      </c>
      <c r="BN565" t="s">
        <v>74</v>
      </c>
      <c r="BO565" t="s">
        <v>74</v>
      </c>
      <c r="BP565" t="s">
        <v>74</v>
      </c>
      <c r="BQ565" t="s">
        <v>74</v>
      </c>
      <c r="BR565" t="s">
        <v>106</v>
      </c>
      <c r="BS565" t="s">
        <v>10890</v>
      </c>
      <c r="BT565" t="str">
        <f>HYPERLINK("https%3A%2F%2Fwww.webofscience.com%2Fwos%2Fwoscc%2Ffull-record%2FWOS:000398519700014","View Full Record in Web of Science")</f>
        <v>View Full Record in Web of Science</v>
      </c>
    </row>
    <row r="566" spans="1:72" x14ac:dyDescent="0.15">
      <c r="A566" t="s">
        <v>72</v>
      </c>
      <c r="B566" t="s">
        <v>10891</v>
      </c>
      <c r="C566" t="s">
        <v>74</v>
      </c>
      <c r="D566" t="s">
        <v>74</v>
      </c>
      <c r="E566" t="s">
        <v>74</v>
      </c>
      <c r="F566" t="s">
        <v>10892</v>
      </c>
      <c r="G566" t="s">
        <v>74</v>
      </c>
      <c r="H566" t="s">
        <v>74</v>
      </c>
      <c r="I566" t="s">
        <v>10893</v>
      </c>
      <c r="J566" t="s">
        <v>6948</v>
      </c>
      <c r="K566" t="s">
        <v>74</v>
      </c>
      <c r="L566" t="s">
        <v>74</v>
      </c>
      <c r="M566" t="s">
        <v>78</v>
      </c>
      <c r="N566" t="s">
        <v>79</v>
      </c>
      <c r="O566" t="s">
        <v>74</v>
      </c>
      <c r="P566" t="s">
        <v>74</v>
      </c>
      <c r="Q566" t="s">
        <v>74</v>
      </c>
      <c r="R566" t="s">
        <v>74</v>
      </c>
      <c r="S566" t="s">
        <v>74</v>
      </c>
      <c r="T566" t="s">
        <v>74</v>
      </c>
      <c r="U566" t="s">
        <v>10894</v>
      </c>
      <c r="V566" t="s">
        <v>10895</v>
      </c>
      <c r="W566" t="s">
        <v>10896</v>
      </c>
      <c r="X566" t="s">
        <v>10897</v>
      </c>
      <c r="Y566" t="s">
        <v>10898</v>
      </c>
      <c r="Z566" t="s">
        <v>10899</v>
      </c>
      <c r="AA566" t="s">
        <v>10900</v>
      </c>
      <c r="AB566" t="s">
        <v>10901</v>
      </c>
      <c r="AC566" t="s">
        <v>10902</v>
      </c>
      <c r="AD566" t="s">
        <v>10903</v>
      </c>
      <c r="AE566" t="s">
        <v>10904</v>
      </c>
      <c r="AF566" t="s">
        <v>74</v>
      </c>
      <c r="AG566">
        <v>49</v>
      </c>
      <c r="AH566">
        <v>14</v>
      </c>
      <c r="AI566">
        <v>15</v>
      </c>
      <c r="AJ566">
        <v>1</v>
      </c>
      <c r="AK566">
        <v>50</v>
      </c>
      <c r="AL566" t="s">
        <v>1611</v>
      </c>
      <c r="AM566" t="s">
        <v>430</v>
      </c>
      <c r="AN566" t="s">
        <v>10905</v>
      </c>
      <c r="AO566" t="s">
        <v>6960</v>
      </c>
      <c r="AP566" t="s">
        <v>6961</v>
      </c>
      <c r="AQ566" t="s">
        <v>74</v>
      </c>
      <c r="AR566" t="s">
        <v>6962</v>
      </c>
      <c r="AS566" t="s">
        <v>6963</v>
      </c>
      <c r="AT566" t="s">
        <v>8336</v>
      </c>
      <c r="AU566">
        <v>2017</v>
      </c>
      <c r="AV566">
        <v>10</v>
      </c>
      <c r="AW566">
        <v>4</v>
      </c>
      <c r="AX566" t="s">
        <v>74</v>
      </c>
      <c r="AY566" t="s">
        <v>74</v>
      </c>
      <c r="AZ566" t="s">
        <v>74</v>
      </c>
      <c r="BA566" t="s">
        <v>74</v>
      </c>
      <c r="BB566">
        <v>295</v>
      </c>
      <c r="BC566" t="s">
        <v>1485</v>
      </c>
      <c r="BD566" t="s">
        <v>74</v>
      </c>
      <c r="BE566" t="s">
        <v>10906</v>
      </c>
      <c r="BF566" t="str">
        <f>HYPERLINK("http://dx.doi.org/10.1038/NGEO2914","http://dx.doi.org/10.1038/NGEO2914")</f>
        <v>http://dx.doi.org/10.1038/NGEO2914</v>
      </c>
      <c r="BG566" t="s">
        <v>74</v>
      </c>
      <c r="BH566" t="s">
        <v>74</v>
      </c>
      <c r="BI566">
        <v>5</v>
      </c>
      <c r="BJ566" t="s">
        <v>437</v>
      </c>
      <c r="BK566" t="s">
        <v>103</v>
      </c>
      <c r="BL566" t="s">
        <v>438</v>
      </c>
      <c r="BM566" t="s">
        <v>10907</v>
      </c>
      <c r="BN566" t="s">
        <v>74</v>
      </c>
      <c r="BO566" t="s">
        <v>74</v>
      </c>
      <c r="BP566" t="s">
        <v>74</v>
      </c>
      <c r="BQ566" t="s">
        <v>74</v>
      </c>
      <c r="BR566" t="s">
        <v>106</v>
      </c>
      <c r="BS566" t="s">
        <v>10908</v>
      </c>
      <c r="BT566" t="str">
        <f>HYPERLINK("https%3A%2F%2Fwww.webofscience.com%2Fwos%2Fwoscc%2Ffull-record%2FWOS:000398162800018","View Full Record in Web of Science")</f>
        <v>View Full Record in Web of Science</v>
      </c>
    </row>
    <row r="567" spans="1:72" x14ac:dyDescent="0.15">
      <c r="A567" t="s">
        <v>72</v>
      </c>
      <c r="B567" t="s">
        <v>10909</v>
      </c>
      <c r="C567" t="s">
        <v>74</v>
      </c>
      <c r="D567" t="s">
        <v>74</v>
      </c>
      <c r="E567" t="s">
        <v>74</v>
      </c>
      <c r="F567" t="s">
        <v>10910</v>
      </c>
      <c r="G567" t="s">
        <v>74</v>
      </c>
      <c r="H567" t="s">
        <v>74</v>
      </c>
      <c r="I567" t="s">
        <v>10911</v>
      </c>
      <c r="J567" t="s">
        <v>5815</v>
      </c>
      <c r="K567" t="s">
        <v>74</v>
      </c>
      <c r="L567" t="s">
        <v>74</v>
      </c>
      <c r="M567" t="s">
        <v>78</v>
      </c>
      <c r="N567" t="s">
        <v>79</v>
      </c>
      <c r="O567" t="s">
        <v>74</v>
      </c>
      <c r="P567" t="s">
        <v>74</v>
      </c>
      <c r="Q567" t="s">
        <v>74</v>
      </c>
      <c r="R567" t="s">
        <v>74</v>
      </c>
      <c r="S567" t="s">
        <v>74</v>
      </c>
      <c r="T567" t="s">
        <v>10912</v>
      </c>
      <c r="U567" t="s">
        <v>10913</v>
      </c>
      <c r="V567" t="s">
        <v>10914</v>
      </c>
      <c r="W567" t="s">
        <v>10915</v>
      </c>
      <c r="X567" t="s">
        <v>10916</v>
      </c>
      <c r="Y567" t="s">
        <v>10917</v>
      </c>
      <c r="Z567" t="s">
        <v>10918</v>
      </c>
      <c r="AA567" t="s">
        <v>10919</v>
      </c>
      <c r="AB567" t="s">
        <v>10920</v>
      </c>
      <c r="AC567" t="s">
        <v>10921</v>
      </c>
      <c r="AD567" t="s">
        <v>10433</v>
      </c>
      <c r="AE567" t="s">
        <v>10922</v>
      </c>
      <c r="AF567" t="s">
        <v>74</v>
      </c>
      <c r="AG567">
        <v>47</v>
      </c>
      <c r="AH567">
        <v>34</v>
      </c>
      <c r="AI567">
        <v>34</v>
      </c>
      <c r="AJ567">
        <v>1</v>
      </c>
      <c r="AK567">
        <v>11</v>
      </c>
      <c r="AL567" t="s">
        <v>374</v>
      </c>
      <c r="AM567" t="s">
        <v>93</v>
      </c>
      <c r="AN567" t="s">
        <v>375</v>
      </c>
      <c r="AO567" t="s">
        <v>5828</v>
      </c>
      <c r="AP567" t="s">
        <v>5829</v>
      </c>
      <c r="AQ567" t="s">
        <v>74</v>
      </c>
      <c r="AR567" t="s">
        <v>5830</v>
      </c>
      <c r="AS567" t="s">
        <v>5831</v>
      </c>
      <c r="AT567" t="s">
        <v>8336</v>
      </c>
      <c r="AU567">
        <v>2017</v>
      </c>
      <c r="AV567">
        <v>112</v>
      </c>
      <c r="AW567" t="s">
        <v>74</v>
      </c>
      <c r="AX567" t="s">
        <v>74</v>
      </c>
      <c r="AY567" t="s">
        <v>74</v>
      </c>
      <c r="AZ567" t="s">
        <v>74</v>
      </c>
      <c r="BA567" t="s">
        <v>74</v>
      </c>
      <c r="BB567">
        <v>125</v>
      </c>
      <c r="BC567">
        <v>138</v>
      </c>
      <c r="BD567" t="s">
        <v>74</v>
      </c>
      <c r="BE567" t="s">
        <v>10923</v>
      </c>
      <c r="BF567" t="str">
        <f>HYPERLINK("http://dx.doi.org/10.1016/j.ocemod.2017.02.007","http://dx.doi.org/10.1016/j.ocemod.2017.02.007")</f>
        <v>http://dx.doi.org/10.1016/j.ocemod.2017.02.007</v>
      </c>
      <c r="BG567" t="s">
        <v>74</v>
      </c>
      <c r="BH567" t="s">
        <v>74</v>
      </c>
      <c r="BI567">
        <v>14</v>
      </c>
      <c r="BJ567" t="s">
        <v>5833</v>
      </c>
      <c r="BK567" t="s">
        <v>103</v>
      </c>
      <c r="BL567" t="s">
        <v>5833</v>
      </c>
      <c r="BM567" t="s">
        <v>10924</v>
      </c>
      <c r="BN567" t="s">
        <v>74</v>
      </c>
      <c r="BO567" t="s">
        <v>10868</v>
      </c>
      <c r="BP567" t="s">
        <v>74</v>
      </c>
      <c r="BQ567" t="s">
        <v>74</v>
      </c>
      <c r="BR567" t="s">
        <v>106</v>
      </c>
      <c r="BS567" t="s">
        <v>10925</v>
      </c>
      <c r="BT567" t="str">
        <f>HYPERLINK("https%3A%2F%2Fwww.webofscience.com%2Fwos%2Fwoscc%2Ffull-record%2FWOS:000399259800009","View Full Record in Web of Science")</f>
        <v>View Full Record in Web of Science</v>
      </c>
    </row>
    <row r="568" spans="1:72" x14ac:dyDescent="0.15">
      <c r="A568" t="s">
        <v>72</v>
      </c>
      <c r="B568" t="s">
        <v>10926</v>
      </c>
      <c r="C568" t="s">
        <v>74</v>
      </c>
      <c r="D568" t="s">
        <v>74</v>
      </c>
      <c r="E568" t="s">
        <v>74</v>
      </c>
      <c r="F568" t="s">
        <v>10927</v>
      </c>
      <c r="G568" t="s">
        <v>74</v>
      </c>
      <c r="H568" t="s">
        <v>74</v>
      </c>
      <c r="I568" t="s">
        <v>10928</v>
      </c>
      <c r="J568" t="s">
        <v>2835</v>
      </c>
      <c r="K568" t="s">
        <v>74</v>
      </c>
      <c r="L568" t="s">
        <v>74</v>
      </c>
      <c r="M568" t="s">
        <v>78</v>
      </c>
      <c r="N568" t="s">
        <v>79</v>
      </c>
      <c r="O568" t="s">
        <v>74</v>
      </c>
      <c r="P568" t="s">
        <v>74</v>
      </c>
      <c r="Q568" t="s">
        <v>74</v>
      </c>
      <c r="R568" t="s">
        <v>74</v>
      </c>
      <c r="S568" t="s">
        <v>74</v>
      </c>
      <c r="T568" t="s">
        <v>10929</v>
      </c>
      <c r="U568" t="s">
        <v>10930</v>
      </c>
      <c r="V568" t="s">
        <v>10931</v>
      </c>
      <c r="W568" t="s">
        <v>10932</v>
      </c>
      <c r="X568" t="s">
        <v>10933</v>
      </c>
      <c r="Y568" t="s">
        <v>10934</v>
      </c>
      <c r="Z568" t="s">
        <v>10935</v>
      </c>
      <c r="AA568" t="s">
        <v>10936</v>
      </c>
      <c r="AB568" t="s">
        <v>10937</v>
      </c>
      <c r="AC568" t="s">
        <v>10938</v>
      </c>
      <c r="AD568" t="s">
        <v>10939</v>
      </c>
      <c r="AE568" t="s">
        <v>10940</v>
      </c>
      <c r="AF568" t="s">
        <v>74</v>
      </c>
      <c r="AG568">
        <v>101</v>
      </c>
      <c r="AH568">
        <v>45</v>
      </c>
      <c r="AI568">
        <v>46</v>
      </c>
      <c r="AJ568">
        <v>2</v>
      </c>
      <c r="AK568">
        <v>34</v>
      </c>
      <c r="AL568" t="s">
        <v>222</v>
      </c>
      <c r="AM568" t="s">
        <v>223</v>
      </c>
      <c r="AN568" t="s">
        <v>224</v>
      </c>
      <c r="AO568" t="s">
        <v>2848</v>
      </c>
      <c r="AP568" t="s">
        <v>2849</v>
      </c>
      <c r="AQ568" t="s">
        <v>74</v>
      </c>
      <c r="AR568" t="s">
        <v>2835</v>
      </c>
      <c r="AS568" t="s">
        <v>2850</v>
      </c>
      <c r="AT568" t="s">
        <v>8336</v>
      </c>
      <c r="AU568">
        <v>2017</v>
      </c>
      <c r="AV568">
        <v>32</v>
      </c>
      <c r="AW568">
        <v>4</v>
      </c>
      <c r="AX568" t="s">
        <v>74</v>
      </c>
      <c r="AY568" t="s">
        <v>74</v>
      </c>
      <c r="AZ568" t="s">
        <v>74</v>
      </c>
      <c r="BA568" t="s">
        <v>74</v>
      </c>
      <c r="BB568">
        <v>326</v>
      </c>
      <c r="BC568">
        <v>350</v>
      </c>
      <c r="BD568" t="s">
        <v>74</v>
      </c>
      <c r="BE568" t="s">
        <v>10941</v>
      </c>
      <c r="BF568" t="str">
        <f>HYPERLINK("http://dx.doi.org/10.1002/2016PA003001","http://dx.doi.org/10.1002/2016PA003001")</f>
        <v>http://dx.doi.org/10.1002/2016PA003001</v>
      </c>
      <c r="BG568" t="s">
        <v>74</v>
      </c>
      <c r="BH568" t="s">
        <v>74</v>
      </c>
      <c r="BI568">
        <v>25</v>
      </c>
      <c r="BJ568" t="s">
        <v>2852</v>
      </c>
      <c r="BK568" t="s">
        <v>103</v>
      </c>
      <c r="BL568" t="s">
        <v>2853</v>
      </c>
      <c r="BM568" t="s">
        <v>10942</v>
      </c>
      <c r="BN568" t="s">
        <v>74</v>
      </c>
      <c r="BO568" t="s">
        <v>7912</v>
      </c>
      <c r="BP568" t="s">
        <v>74</v>
      </c>
      <c r="BQ568" t="s">
        <v>74</v>
      </c>
      <c r="BR568" t="s">
        <v>106</v>
      </c>
      <c r="BS568" t="s">
        <v>10943</v>
      </c>
      <c r="BT568" t="str">
        <f>HYPERLINK("https%3A%2F%2Fwww.webofscience.com%2Fwos%2Fwoscc%2Ffull-record%2FWOS:000401142500001","View Full Record in Web of Science")</f>
        <v>View Full Record in Web of Science</v>
      </c>
    </row>
    <row r="569" spans="1:72" x14ac:dyDescent="0.15">
      <c r="A569" t="s">
        <v>72</v>
      </c>
      <c r="B569" t="s">
        <v>10944</v>
      </c>
      <c r="C569" t="s">
        <v>74</v>
      </c>
      <c r="D569" t="s">
        <v>74</v>
      </c>
      <c r="E569" t="s">
        <v>74</v>
      </c>
      <c r="F569" t="s">
        <v>10945</v>
      </c>
      <c r="G569" t="s">
        <v>74</v>
      </c>
      <c r="H569" t="s">
        <v>74</v>
      </c>
      <c r="I569" t="s">
        <v>10946</v>
      </c>
      <c r="J569" t="s">
        <v>2835</v>
      </c>
      <c r="K569" t="s">
        <v>74</v>
      </c>
      <c r="L569" t="s">
        <v>74</v>
      </c>
      <c r="M569" t="s">
        <v>78</v>
      </c>
      <c r="N569" t="s">
        <v>79</v>
      </c>
      <c r="O569" t="s">
        <v>74</v>
      </c>
      <c r="P569" t="s">
        <v>74</v>
      </c>
      <c r="Q569" t="s">
        <v>74</v>
      </c>
      <c r="R569" t="s">
        <v>74</v>
      </c>
      <c r="S569" t="s">
        <v>74</v>
      </c>
      <c r="T569" t="s">
        <v>10947</v>
      </c>
      <c r="U569" t="s">
        <v>10948</v>
      </c>
      <c r="V569" t="s">
        <v>10949</v>
      </c>
      <c r="W569" t="s">
        <v>10950</v>
      </c>
      <c r="X569" t="s">
        <v>10951</v>
      </c>
      <c r="Y569" t="s">
        <v>10952</v>
      </c>
      <c r="Z569" t="s">
        <v>10953</v>
      </c>
      <c r="AA569" t="s">
        <v>74</v>
      </c>
      <c r="AB569" t="s">
        <v>10954</v>
      </c>
      <c r="AC569" t="s">
        <v>10955</v>
      </c>
      <c r="AD569" t="s">
        <v>10956</v>
      </c>
      <c r="AE569" t="s">
        <v>10957</v>
      </c>
      <c r="AF569" t="s">
        <v>74</v>
      </c>
      <c r="AG569">
        <v>78</v>
      </c>
      <c r="AH569">
        <v>19</v>
      </c>
      <c r="AI569">
        <v>20</v>
      </c>
      <c r="AJ569">
        <v>1</v>
      </c>
      <c r="AK569">
        <v>14</v>
      </c>
      <c r="AL569" t="s">
        <v>222</v>
      </c>
      <c r="AM569" t="s">
        <v>223</v>
      </c>
      <c r="AN569" t="s">
        <v>224</v>
      </c>
      <c r="AO569" t="s">
        <v>2848</v>
      </c>
      <c r="AP569" t="s">
        <v>2849</v>
      </c>
      <c r="AQ569" t="s">
        <v>74</v>
      </c>
      <c r="AR569" t="s">
        <v>2835</v>
      </c>
      <c r="AS569" t="s">
        <v>2850</v>
      </c>
      <c r="AT569" t="s">
        <v>8336</v>
      </c>
      <c r="AU569">
        <v>2017</v>
      </c>
      <c r="AV569">
        <v>32</v>
      </c>
      <c r="AW569">
        <v>4</v>
      </c>
      <c r="AX569" t="s">
        <v>74</v>
      </c>
      <c r="AY569" t="s">
        <v>74</v>
      </c>
      <c r="AZ569" t="s">
        <v>74</v>
      </c>
      <c r="BA569" t="s">
        <v>74</v>
      </c>
      <c r="BB569">
        <v>384</v>
      </c>
      <c r="BC569">
        <v>396</v>
      </c>
      <c r="BD569" t="s">
        <v>74</v>
      </c>
      <c r="BE569" t="s">
        <v>10958</v>
      </c>
      <c r="BF569" t="str">
        <f>HYPERLINK("http://dx.doi.org/10.1002/2016PA002972","http://dx.doi.org/10.1002/2016PA002972")</f>
        <v>http://dx.doi.org/10.1002/2016PA002972</v>
      </c>
      <c r="BG569" t="s">
        <v>74</v>
      </c>
      <c r="BH569" t="s">
        <v>74</v>
      </c>
      <c r="BI569">
        <v>13</v>
      </c>
      <c r="BJ569" t="s">
        <v>2852</v>
      </c>
      <c r="BK569" t="s">
        <v>103</v>
      </c>
      <c r="BL569" t="s">
        <v>2853</v>
      </c>
      <c r="BM569" t="s">
        <v>10942</v>
      </c>
      <c r="BN569" t="s">
        <v>74</v>
      </c>
      <c r="BO569" t="s">
        <v>412</v>
      </c>
      <c r="BP569" t="s">
        <v>74</v>
      </c>
      <c r="BQ569" t="s">
        <v>74</v>
      </c>
      <c r="BR569" t="s">
        <v>106</v>
      </c>
      <c r="BS569" t="s">
        <v>10959</v>
      </c>
      <c r="BT569" t="str">
        <f>HYPERLINK("https%3A%2F%2Fwww.webofscience.com%2Fwos%2Fwoscc%2Ffull-record%2FWOS:000401142500004","View Full Record in Web of Science")</f>
        <v>View Full Record in Web of Science</v>
      </c>
    </row>
    <row r="570" spans="1:72" x14ac:dyDescent="0.15">
      <c r="A570" t="s">
        <v>72</v>
      </c>
      <c r="B570" t="s">
        <v>10960</v>
      </c>
      <c r="C570" t="s">
        <v>74</v>
      </c>
      <c r="D570" t="s">
        <v>74</v>
      </c>
      <c r="E570" t="s">
        <v>74</v>
      </c>
      <c r="F570" t="s">
        <v>10961</v>
      </c>
      <c r="G570" t="s">
        <v>74</v>
      </c>
      <c r="H570" t="s">
        <v>74</v>
      </c>
      <c r="I570" t="s">
        <v>10962</v>
      </c>
      <c r="J570" t="s">
        <v>1000</v>
      </c>
      <c r="K570" t="s">
        <v>74</v>
      </c>
      <c r="L570" t="s">
        <v>74</v>
      </c>
      <c r="M570" t="s">
        <v>78</v>
      </c>
      <c r="N570" t="s">
        <v>79</v>
      </c>
      <c r="O570" t="s">
        <v>74</v>
      </c>
      <c r="P570" t="s">
        <v>74</v>
      </c>
      <c r="Q570" t="s">
        <v>74</v>
      </c>
      <c r="R570" t="s">
        <v>74</v>
      </c>
      <c r="S570" t="s">
        <v>74</v>
      </c>
      <c r="T570" t="s">
        <v>10963</v>
      </c>
      <c r="U570" t="s">
        <v>10964</v>
      </c>
      <c r="V570" t="s">
        <v>10965</v>
      </c>
      <c r="W570" t="s">
        <v>10966</v>
      </c>
      <c r="X570" t="s">
        <v>10967</v>
      </c>
      <c r="Y570" t="s">
        <v>10968</v>
      </c>
      <c r="Z570" t="s">
        <v>10969</v>
      </c>
      <c r="AA570" t="s">
        <v>10970</v>
      </c>
      <c r="AB570" t="s">
        <v>10971</v>
      </c>
      <c r="AC570" t="s">
        <v>10972</v>
      </c>
      <c r="AD570" t="s">
        <v>10973</v>
      </c>
      <c r="AE570" t="s">
        <v>10974</v>
      </c>
      <c r="AF570" t="s">
        <v>74</v>
      </c>
      <c r="AG570">
        <v>58</v>
      </c>
      <c r="AH570">
        <v>10</v>
      </c>
      <c r="AI570">
        <v>11</v>
      </c>
      <c r="AJ570">
        <v>1</v>
      </c>
      <c r="AK570">
        <v>36</v>
      </c>
      <c r="AL570" t="s">
        <v>986</v>
      </c>
      <c r="AM570" t="s">
        <v>430</v>
      </c>
      <c r="AN570" t="s">
        <v>987</v>
      </c>
      <c r="AO570" t="s">
        <v>1013</v>
      </c>
      <c r="AP570" t="s">
        <v>1014</v>
      </c>
      <c r="AQ570" t="s">
        <v>74</v>
      </c>
      <c r="AR570" t="s">
        <v>1015</v>
      </c>
      <c r="AS570" t="s">
        <v>1016</v>
      </c>
      <c r="AT570" t="s">
        <v>8336</v>
      </c>
      <c r="AU570">
        <v>2017</v>
      </c>
      <c r="AV570">
        <v>40</v>
      </c>
      <c r="AW570">
        <v>4</v>
      </c>
      <c r="AX570" t="s">
        <v>74</v>
      </c>
      <c r="AY570" t="s">
        <v>74</v>
      </c>
      <c r="AZ570" t="s">
        <v>74</v>
      </c>
      <c r="BA570" t="s">
        <v>74</v>
      </c>
      <c r="BB570">
        <v>823</v>
      </c>
      <c r="BC570">
        <v>836</v>
      </c>
      <c r="BD570" t="s">
        <v>74</v>
      </c>
      <c r="BE570" t="s">
        <v>10975</v>
      </c>
      <c r="BF570" t="str">
        <f>HYPERLINK("http://dx.doi.org/10.1007/s00300-016-2008-9","http://dx.doi.org/10.1007/s00300-016-2008-9")</f>
        <v>http://dx.doi.org/10.1007/s00300-016-2008-9</v>
      </c>
      <c r="BG570" t="s">
        <v>74</v>
      </c>
      <c r="BH570" t="s">
        <v>74</v>
      </c>
      <c r="BI570">
        <v>14</v>
      </c>
      <c r="BJ570" t="s">
        <v>1018</v>
      </c>
      <c r="BK570" t="s">
        <v>103</v>
      </c>
      <c r="BL570" t="s">
        <v>326</v>
      </c>
      <c r="BM570" t="s">
        <v>9888</v>
      </c>
      <c r="BN570" t="s">
        <v>74</v>
      </c>
      <c r="BO570" t="s">
        <v>74</v>
      </c>
      <c r="BP570" t="s">
        <v>74</v>
      </c>
      <c r="BQ570" t="s">
        <v>74</v>
      </c>
      <c r="BR570" t="s">
        <v>106</v>
      </c>
      <c r="BS570" t="s">
        <v>10976</v>
      </c>
      <c r="BT570" t="str">
        <f>HYPERLINK("https%3A%2F%2Fwww.webofscience.com%2Fwos%2Fwoscc%2Ffull-record%2FWOS:000398176500008","View Full Record in Web of Science")</f>
        <v>View Full Record in Web of Science</v>
      </c>
    </row>
    <row r="571" spans="1:72" x14ac:dyDescent="0.15">
      <c r="A571" t="s">
        <v>72</v>
      </c>
      <c r="B571" t="s">
        <v>10977</v>
      </c>
      <c r="C571" t="s">
        <v>74</v>
      </c>
      <c r="D571" t="s">
        <v>74</v>
      </c>
      <c r="E571" t="s">
        <v>74</v>
      </c>
      <c r="F571" t="s">
        <v>10978</v>
      </c>
      <c r="G571" t="s">
        <v>74</v>
      </c>
      <c r="H571" t="s">
        <v>74</v>
      </c>
      <c r="I571" t="s">
        <v>10979</v>
      </c>
      <c r="J571" t="s">
        <v>1000</v>
      </c>
      <c r="K571" t="s">
        <v>74</v>
      </c>
      <c r="L571" t="s">
        <v>74</v>
      </c>
      <c r="M571" t="s">
        <v>78</v>
      </c>
      <c r="N571" t="s">
        <v>79</v>
      </c>
      <c r="O571" t="s">
        <v>74</v>
      </c>
      <c r="P571" t="s">
        <v>74</v>
      </c>
      <c r="Q571" t="s">
        <v>74</v>
      </c>
      <c r="R571" t="s">
        <v>74</v>
      </c>
      <c r="S571" t="s">
        <v>74</v>
      </c>
      <c r="T571" t="s">
        <v>10980</v>
      </c>
      <c r="U571" t="s">
        <v>10981</v>
      </c>
      <c r="V571" t="s">
        <v>10982</v>
      </c>
      <c r="W571" t="s">
        <v>10983</v>
      </c>
      <c r="X571" t="s">
        <v>10984</v>
      </c>
      <c r="Y571" t="s">
        <v>10985</v>
      </c>
      <c r="Z571" t="s">
        <v>10986</v>
      </c>
      <c r="AA571" t="s">
        <v>10987</v>
      </c>
      <c r="AB571" t="s">
        <v>10988</v>
      </c>
      <c r="AC571" t="s">
        <v>10989</v>
      </c>
      <c r="AD571" t="s">
        <v>10990</v>
      </c>
      <c r="AE571" t="s">
        <v>10991</v>
      </c>
      <c r="AF571" t="s">
        <v>74</v>
      </c>
      <c r="AG571">
        <v>106</v>
      </c>
      <c r="AH571">
        <v>10</v>
      </c>
      <c r="AI571">
        <v>11</v>
      </c>
      <c r="AJ571">
        <v>1</v>
      </c>
      <c r="AK571">
        <v>30</v>
      </c>
      <c r="AL571" t="s">
        <v>986</v>
      </c>
      <c r="AM571" t="s">
        <v>430</v>
      </c>
      <c r="AN571" t="s">
        <v>1663</v>
      </c>
      <c r="AO571" t="s">
        <v>1013</v>
      </c>
      <c r="AP571" t="s">
        <v>1014</v>
      </c>
      <c r="AQ571" t="s">
        <v>74</v>
      </c>
      <c r="AR571" t="s">
        <v>1015</v>
      </c>
      <c r="AS571" t="s">
        <v>1016</v>
      </c>
      <c r="AT571" t="s">
        <v>8336</v>
      </c>
      <c r="AU571">
        <v>2017</v>
      </c>
      <c r="AV571">
        <v>40</v>
      </c>
      <c r="AW571">
        <v>4</v>
      </c>
      <c r="AX571" t="s">
        <v>74</v>
      </c>
      <c r="AY571" t="s">
        <v>74</v>
      </c>
      <c r="AZ571" t="s">
        <v>74</v>
      </c>
      <c r="BA571" t="s">
        <v>74</v>
      </c>
      <c r="BB571">
        <v>873</v>
      </c>
      <c r="BC571">
        <v>890</v>
      </c>
      <c r="BD571" t="s">
        <v>74</v>
      </c>
      <c r="BE571" t="s">
        <v>10992</v>
      </c>
      <c r="BF571" t="str">
        <f>HYPERLINK("http://dx.doi.org/10.1007/s00300-016-2014-y","http://dx.doi.org/10.1007/s00300-016-2014-y")</f>
        <v>http://dx.doi.org/10.1007/s00300-016-2014-y</v>
      </c>
      <c r="BG571" t="s">
        <v>74</v>
      </c>
      <c r="BH571" t="s">
        <v>74</v>
      </c>
      <c r="BI571">
        <v>18</v>
      </c>
      <c r="BJ571" t="s">
        <v>1018</v>
      </c>
      <c r="BK571" t="s">
        <v>103</v>
      </c>
      <c r="BL571" t="s">
        <v>326</v>
      </c>
      <c r="BM571" t="s">
        <v>9888</v>
      </c>
      <c r="BN571">
        <v>32226209</v>
      </c>
      <c r="BO571" t="s">
        <v>272</v>
      </c>
      <c r="BP571" t="s">
        <v>74</v>
      </c>
      <c r="BQ571" t="s">
        <v>74</v>
      </c>
      <c r="BR571" t="s">
        <v>106</v>
      </c>
      <c r="BS571" t="s">
        <v>10993</v>
      </c>
      <c r="BT571" t="str">
        <f>HYPERLINK("https%3A%2F%2Fwww.webofscience.com%2Fwos%2Fwoscc%2Ffull-record%2FWOS:000398176500012","View Full Record in Web of Science")</f>
        <v>View Full Record in Web of Science</v>
      </c>
    </row>
    <row r="572" spans="1:72" x14ac:dyDescent="0.15">
      <c r="A572" t="s">
        <v>72</v>
      </c>
      <c r="B572" t="s">
        <v>10994</v>
      </c>
      <c r="C572" t="s">
        <v>74</v>
      </c>
      <c r="D572" t="s">
        <v>74</v>
      </c>
      <c r="E572" t="s">
        <v>74</v>
      </c>
      <c r="F572" t="s">
        <v>10995</v>
      </c>
      <c r="G572" t="s">
        <v>74</v>
      </c>
      <c r="H572" t="s">
        <v>74</v>
      </c>
      <c r="I572" t="s">
        <v>10996</v>
      </c>
      <c r="J572" t="s">
        <v>1000</v>
      </c>
      <c r="K572" t="s">
        <v>74</v>
      </c>
      <c r="L572" t="s">
        <v>74</v>
      </c>
      <c r="M572" t="s">
        <v>78</v>
      </c>
      <c r="N572" t="s">
        <v>79</v>
      </c>
      <c r="O572" t="s">
        <v>74</v>
      </c>
      <c r="P572" t="s">
        <v>74</v>
      </c>
      <c r="Q572" t="s">
        <v>74</v>
      </c>
      <c r="R572" t="s">
        <v>74</v>
      </c>
      <c r="S572" t="s">
        <v>74</v>
      </c>
      <c r="T572" t="s">
        <v>10997</v>
      </c>
      <c r="U572" t="s">
        <v>10998</v>
      </c>
      <c r="V572" t="s">
        <v>10999</v>
      </c>
      <c r="W572" t="s">
        <v>11000</v>
      </c>
      <c r="X572" t="s">
        <v>11001</v>
      </c>
      <c r="Y572" t="s">
        <v>11002</v>
      </c>
      <c r="Z572" t="s">
        <v>11003</v>
      </c>
      <c r="AA572" t="s">
        <v>11004</v>
      </c>
      <c r="AB572" t="s">
        <v>11005</v>
      </c>
      <c r="AC572" t="s">
        <v>11006</v>
      </c>
      <c r="AD572" t="s">
        <v>11007</v>
      </c>
      <c r="AE572" t="s">
        <v>11008</v>
      </c>
      <c r="AF572" t="s">
        <v>74</v>
      </c>
      <c r="AG572">
        <v>87</v>
      </c>
      <c r="AH572">
        <v>11</v>
      </c>
      <c r="AI572">
        <v>13</v>
      </c>
      <c r="AJ572">
        <v>0</v>
      </c>
      <c r="AK572">
        <v>44</v>
      </c>
      <c r="AL572" t="s">
        <v>986</v>
      </c>
      <c r="AM572" t="s">
        <v>430</v>
      </c>
      <c r="AN572" t="s">
        <v>987</v>
      </c>
      <c r="AO572" t="s">
        <v>1013</v>
      </c>
      <c r="AP572" t="s">
        <v>1014</v>
      </c>
      <c r="AQ572" t="s">
        <v>74</v>
      </c>
      <c r="AR572" t="s">
        <v>1015</v>
      </c>
      <c r="AS572" t="s">
        <v>1016</v>
      </c>
      <c r="AT572" t="s">
        <v>8336</v>
      </c>
      <c r="AU572">
        <v>2017</v>
      </c>
      <c r="AV572">
        <v>40</v>
      </c>
      <c r="AW572">
        <v>4</v>
      </c>
      <c r="AX572" t="s">
        <v>74</v>
      </c>
      <c r="AY572" t="s">
        <v>74</v>
      </c>
      <c r="AZ572" t="s">
        <v>74</v>
      </c>
      <c r="BA572" t="s">
        <v>74</v>
      </c>
      <c r="BB572">
        <v>903</v>
      </c>
      <c r="BC572">
        <v>916</v>
      </c>
      <c r="BD572" t="s">
        <v>74</v>
      </c>
      <c r="BE572" t="s">
        <v>11009</v>
      </c>
      <c r="BF572" t="str">
        <f>HYPERLINK("http://dx.doi.org/10.1007/s00300-016-2017-8","http://dx.doi.org/10.1007/s00300-016-2017-8")</f>
        <v>http://dx.doi.org/10.1007/s00300-016-2017-8</v>
      </c>
      <c r="BG572" t="s">
        <v>74</v>
      </c>
      <c r="BH572" t="s">
        <v>74</v>
      </c>
      <c r="BI572">
        <v>14</v>
      </c>
      <c r="BJ572" t="s">
        <v>1018</v>
      </c>
      <c r="BK572" t="s">
        <v>103</v>
      </c>
      <c r="BL572" t="s">
        <v>326</v>
      </c>
      <c r="BM572" t="s">
        <v>9888</v>
      </c>
      <c r="BN572" t="s">
        <v>74</v>
      </c>
      <c r="BO572" t="s">
        <v>74</v>
      </c>
      <c r="BP572" t="s">
        <v>74</v>
      </c>
      <c r="BQ572" t="s">
        <v>74</v>
      </c>
      <c r="BR572" t="s">
        <v>106</v>
      </c>
      <c r="BS572" t="s">
        <v>11010</v>
      </c>
      <c r="BT572" t="str">
        <f>HYPERLINK("https%3A%2F%2Fwww.webofscience.com%2Fwos%2Fwoscc%2Ffull-record%2FWOS:000398176500014","View Full Record in Web of Science")</f>
        <v>View Full Record in Web of Science</v>
      </c>
    </row>
    <row r="573" spans="1:72" x14ac:dyDescent="0.15">
      <c r="A573" t="s">
        <v>72</v>
      </c>
      <c r="B573" t="s">
        <v>11011</v>
      </c>
      <c r="C573" t="s">
        <v>74</v>
      </c>
      <c r="D573" t="s">
        <v>74</v>
      </c>
      <c r="E573" t="s">
        <v>74</v>
      </c>
      <c r="F573" t="s">
        <v>11012</v>
      </c>
      <c r="G573" t="s">
        <v>74</v>
      </c>
      <c r="H573" t="s">
        <v>74</v>
      </c>
      <c r="I573" t="s">
        <v>11013</v>
      </c>
      <c r="J573" t="s">
        <v>1000</v>
      </c>
      <c r="K573" t="s">
        <v>74</v>
      </c>
      <c r="L573" t="s">
        <v>74</v>
      </c>
      <c r="M573" t="s">
        <v>78</v>
      </c>
      <c r="N573" t="s">
        <v>79</v>
      </c>
      <c r="O573" t="s">
        <v>74</v>
      </c>
      <c r="P573" t="s">
        <v>74</v>
      </c>
      <c r="Q573" t="s">
        <v>74</v>
      </c>
      <c r="R573" t="s">
        <v>74</v>
      </c>
      <c r="S573" t="s">
        <v>74</v>
      </c>
      <c r="T573" t="s">
        <v>11014</v>
      </c>
      <c r="U573" t="s">
        <v>11015</v>
      </c>
      <c r="V573" t="s">
        <v>11016</v>
      </c>
      <c r="W573" t="s">
        <v>11017</v>
      </c>
      <c r="X573" t="s">
        <v>11018</v>
      </c>
      <c r="Y573" t="s">
        <v>11019</v>
      </c>
      <c r="Z573" t="s">
        <v>11020</v>
      </c>
      <c r="AA573" t="s">
        <v>11021</v>
      </c>
      <c r="AB573" t="s">
        <v>11022</v>
      </c>
      <c r="AC573" t="s">
        <v>11023</v>
      </c>
      <c r="AD573" t="s">
        <v>11024</v>
      </c>
      <c r="AE573" t="s">
        <v>11025</v>
      </c>
      <c r="AF573" t="s">
        <v>74</v>
      </c>
      <c r="AG573">
        <v>40</v>
      </c>
      <c r="AH573">
        <v>27</v>
      </c>
      <c r="AI573">
        <v>27</v>
      </c>
      <c r="AJ573">
        <v>1</v>
      </c>
      <c r="AK573">
        <v>27</v>
      </c>
      <c r="AL573" t="s">
        <v>986</v>
      </c>
      <c r="AM573" t="s">
        <v>430</v>
      </c>
      <c r="AN573" t="s">
        <v>1663</v>
      </c>
      <c r="AO573" t="s">
        <v>1013</v>
      </c>
      <c r="AP573" t="s">
        <v>1014</v>
      </c>
      <c r="AQ573" t="s">
        <v>74</v>
      </c>
      <c r="AR573" t="s">
        <v>1015</v>
      </c>
      <c r="AS573" t="s">
        <v>1016</v>
      </c>
      <c r="AT573" t="s">
        <v>8336</v>
      </c>
      <c r="AU573">
        <v>2017</v>
      </c>
      <c r="AV573">
        <v>40</v>
      </c>
      <c r="AW573">
        <v>4</v>
      </c>
      <c r="AX573" t="s">
        <v>74</v>
      </c>
      <c r="AY573" t="s">
        <v>74</v>
      </c>
      <c r="AZ573" t="s">
        <v>74</v>
      </c>
      <c r="BA573" t="s">
        <v>74</v>
      </c>
      <c r="BB573">
        <v>939</v>
      </c>
      <c r="BC573">
        <v>945</v>
      </c>
      <c r="BD573" t="s">
        <v>74</v>
      </c>
      <c r="BE573" t="s">
        <v>11026</v>
      </c>
      <c r="BF573" t="str">
        <f>HYPERLINK("http://dx.doi.org/10.1007/s00300-016-2006-y","http://dx.doi.org/10.1007/s00300-016-2006-y")</f>
        <v>http://dx.doi.org/10.1007/s00300-016-2006-y</v>
      </c>
      <c r="BG573" t="s">
        <v>74</v>
      </c>
      <c r="BH573" t="s">
        <v>74</v>
      </c>
      <c r="BI573">
        <v>7</v>
      </c>
      <c r="BJ573" t="s">
        <v>1018</v>
      </c>
      <c r="BK573" t="s">
        <v>103</v>
      </c>
      <c r="BL573" t="s">
        <v>326</v>
      </c>
      <c r="BM573" t="s">
        <v>9888</v>
      </c>
      <c r="BN573" t="s">
        <v>74</v>
      </c>
      <c r="BO573" t="s">
        <v>105</v>
      </c>
      <c r="BP573" t="s">
        <v>74</v>
      </c>
      <c r="BQ573" t="s">
        <v>74</v>
      </c>
      <c r="BR573" t="s">
        <v>106</v>
      </c>
      <c r="BS573" t="s">
        <v>11027</v>
      </c>
      <c r="BT573" t="str">
        <f>HYPERLINK("https%3A%2F%2Fwww.webofscience.com%2Fwos%2Fwoscc%2Ffull-record%2FWOS:000398176500017","View Full Record in Web of Science")</f>
        <v>View Full Record in Web of Science</v>
      </c>
    </row>
    <row r="574" spans="1:72" x14ac:dyDescent="0.15">
      <c r="A574" t="s">
        <v>72</v>
      </c>
      <c r="B574" t="s">
        <v>11028</v>
      </c>
      <c r="C574" t="s">
        <v>74</v>
      </c>
      <c r="D574" t="s">
        <v>74</v>
      </c>
      <c r="E574" t="s">
        <v>74</v>
      </c>
      <c r="F574" t="s">
        <v>11029</v>
      </c>
      <c r="G574" t="s">
        <v>74</v>
      </c>
      <c r="H574" t="s">
        <v>74</v>
      </c>
      <c r="I574" t="s">
        <v>11030</v>
      </c>
      <c r="J574" t="s">
        <v>11031</v>
      </c>
      <c r="K574" t="s">
        <v>74</v>
      </c>
      <c r="L574" t="s">
        <v>74</v>
      </c>
      <c r="M574" t="s">
        <v>78</v>
      </c>
      <c r="N574" t="s">
        <v>79</v>
      </c>
      <c r="O574" t="s">
        <v>74</v>
      </c>
      <c r="P574" t="s">
        <v>74</v>
      </c>
      <c r="Q574" t="s">
        <v>74</v>
      </c>
      <c r="R574" t="s">
        <v>74</v>
      </c>
      <c r="S574" t="s">
        <v>74</v>
      </c>
      <c r="T574" t="s">
        <v>11032</v>
      </c>
      <c r="U574" t="s">
        <v>11033</v>
      </c>
      <c r="V574" t="s">
        <v>11034</v>
      </c>
      <c r="W574" t="s">
        <v>11035</v>
      </c>
      <c r="X574" t="s">
        <v>11036</v>
      </c>
      <c r="Y574" t="s">
        <v>11037</v>
      </c>
      <c r="Z574" t="s">
        <v>11038</v>
      </c>
      <c r="AA574" t="s">
        <v>11039</v>
      </c>
      <c r="AB574" t="s">
        <v>11040</v>
      </c>
      <c r="AC574" t="s">
        <v>11041</v>
      </c>
      <c r="AD574" t="s">
        <v>11042</v>
      </c>
      <c r="AE574" t="s">
        <v>11043</v>
      </c>
      <c r="AF574" t="s">
        <v>74</v>
      </c>
      <c r="AG574">
        <v>95</v>
      </c>
      <c r="AH574">
        <v>41</v>
      </c>
      <c r="AI574">
        <v>43</v>
      </c>
      <c r="AJ574">
        <v>2</v>
      </c>
      <c r="AK574">
        <v>27</v>
      </c>
      <c r="AL574" t="s">
        <v>656</v>
      </c>
      <c r="AM574" t="s">
        <v>93</v>
      </c>
      <c r="AN574" t="s">
        <v>657</v>
      </c>
      <c r="AO574" t="s">
        <v>11044</v>
      </c>
      <c r="AP574" t="s">
        <v>74</v>
      </c>
      <c r="AQ574" t="s">
        <v>74</v>
      </c>
      <c r="AR574" t="s">
        <v>11045</v>
      </c>
      <c r="AS574" t="s">
        <v>11046</v>
      </c>
      <c r="AT574" t="s">
        <v>8336</v>
      </c>
      <c r="AU574">
        <v>2017</v>
      </c>
      <c r="AV574">
        <v>153</v>
      </c>
      <c r="AW574" t="s">
        <v>74</v>
      </c>
      <c r="AX574" t="s">
        <v>74</v>
      </c>
      <c r="AY574" t="s">
        <v>74</v>
      </c>
      <c r="AZ574" t="s">
        <v>74</v>
      </c>
      <c r="BA574" t="s">
        <v>74</v>
      </c>
      <c r="BB574">
        <v>66</v>
      </c>
      <c r="BC574">
        <v>83</v>
      </c>
      <c r="BD574" t="s">
        <v>74</v>
      </c>
      <c r="BE574" t="s">
        <v>11047</v>
      </c>
      <c r="BF574" t="str">
        <f>HYPERLINK("http://dx.doi.org/10.1016/j.pocean.2017.04.003","http://dx.doi.org/10.1016/j.pocean.2017.04.003")</f>
        <v>http://dx.doi.org/10.1016/j.pocean.2017.04.003</v>
      </c>
      <c r="BG574" t="s">
        <v>74</v>
      </c>
      <c r="BH574" t="s">
        <v>74</v>
      </c>
      <c r="BI574">
        <v>18</v>
      </c>
      <c r="BJ574" t="s">
        <v>127</v>
      </c>
      <c r="BK574" t="s">
        <v>103</v>
      </c>
      <c r="BL574" t="s">
        <v>127</v>
      </c>
      <c r="BM574" t="s">
        <v>11048</v>
      </c>
      <c r="BN574" t="s">
        <v>74</v>
      </c>
      <c r="BO574" t="s">
        <v>74</v>
      </c>
      <c r="BP574" t="s">
        <v>74</v>
      </c>
      <c r="BQ574" t="s">
        <v>74</v>
      </c>
      <c r="BR574" t="s">
        <v>106</v>
      </c>
      <c r="BS574" t="s">
        <v>11049</v>
      </c>
      <c r="BT574" t="str">
        <f>HYPERLINK("https%3A%2F%2Fwww.webofscience.com%2Fwos%2Fwoscc%2Ffull-record%2FWOS:000401884400006","View Full Record in Web of Science")</f>
        <v>View Full Record in Web of Science</v>
      </c>
    </row>
    <row r="575" spans="1:72" x14ac:dyDescent="0.15">
      <c r="A575" t="s">
        <v>72</v>
      </c>
      <c r="B575" t="s">
        <v>11050</v>
      </c>
      <c r="C575" t="s">
        <v>74</v>
      </c>
      <c r="D575" t="s">
        <v>74</v>
      </c>
      <c r="E575" t="s">
        <v>74</v>
      </c>
      <c r="F575" t="s">
        <v>11051</v>
      </c>
      <c r="G575" t="s">
        <v>74</v>
      </c>
      <c r="H575" t="s">
        <v>74</v>
      </c>
      <c r="I575" t="s">
        <v>11052</v>
      </c>
      <c r="J575" t="s">
        <v>1322</v>
      </c>
      <c r="K575" t="s">
        <v>74</v>
      </c>
      <c r="L575" t="s">
        <v>74</v>
      </c>
      <c r="M575" t="s">
        <v>78</v>
      </c>
      <c r="N575" t="s">
        <v>79</v>
      </c>
      <c r="O575" t="s">
        <v>74</v>
      </c>
      <c r="P575" t="s">
        <v>74</v>
      </c>
      <c r="Q575" t="s">
        <v>74</v>
      </c>
      <c r="R575" t="s">
        <v>74</v>
      </c>
      <c r="S575" t="s">
        <v>74</v>
      </c>
      <c r="T575" t="s">
        <v>11053</v>
      </c>
      <c r="U575" t="s">
        <v>11054</v>
      </c>
      <c r="V575" t="s">
        <v>11055</v>
      </c>
      <c r="W575" t="s">
        <v>11056</v>
      </c>
      <c r="X575" t="s">
        <v>11057</v>
      </c>
      <c r="Y575" t="s">
        <v>11058</v>
      </c>
      <c r="Z575" t="s">
        <v>11059</v>
      </c>
      <c r="AA575" t="s">
        <v>11060</v>
      </c>
      <c r="AB575" t="s">
        <v>11061</v>
      </c>
      <c r="AC575" t="s">
        <v>11062</v>
      </c>
      <c r="AD575" t="s">
        <v>11063</v>
      </c>
      <c r="AE575" t="s">
        <v>11064</v>
      </c>
      <c r="AF575" t="s">
        <v>74</v>
      </c>
      <c r="AG575">
        <v>144</v>
      </c>
      <c r="AH575">
        <v>19</v>
      </c>
      <c r="AI575">
        <v>19</v>
      </c>
      <c r="AJ575">
        <v>0</v>
      </c>
      <c r="AK575">
        <v>21</v>
      </c>
      <c r="AL575" t="s">
        <v>656</v>
      </c>
      <c r="AM575" t="s">
        <v>93</v>
      </c>
      <c r="AN575" t="s">
        <v>657</v>
      </c>
      <c r="AO575" t="s">
        <v>1334</v>
      </c>
      <c r="AP575" t="s">
        <v>4140</v>
      </c>
      <c r="AQ575" t="s">
        <v>74</v>
      </c>
      <c r="AR575" t="s">
        <v>1335</v>
      </c>
      <c r="AS575" t="s">
        <v>1336</v>
      </c>
      <c r="AT575" t="s">
        <v>8595</v>
      </c>
      <c r="AU575">
        <v>2017</v>
      </c>
      <c r="AV575">
        <v>161</v>
      </c>
      <c r="AW575" t="s">
        <v>74</v>
      </c>
      <c r="AX575" t="s">
        <v>74</v>
      </c>
      <c r="AY575" t="s">
        <v>74</v>
      </c>
      <c r="AZ575" t="s">
        <v>74</v>
      </c>
      <c r="BA575" t="s">
        <v>74</v>
      </c>
      <c r="BB575">
        <v>1</v>
      </c>
      <c r="BC575">
        <v>17</v>
      </c>
      <c r="BD575" t="s">
        <v>74</v>
      </c>
      <c r="BE575" t="s">
        <v>11065</v>
      </c>
      <c r="BF575" t="str">
        <f>HYPERLINK("http://dx.doi.org/10.1016/j.quascirev.2017.02.013","http://dx.doi.org/10.1016/j.quascirev.2017.02.013")</f>
        <v>http://dx.doi.org/10.1016/j.quascirev.2017.02.013</v>
      </c>
      <c r="BG575" t="s">
        <v>74</v>
      </c>
      <c r="BH575" t="s">
        <v>74</v>
      </c>
      <c r="BI575">
        <v>17</v>
      </c>
      <c r="BJ575" t="s">
        <v>1338</v>
      </c>
      <c r="BK575" t="s">
        <v>103</v>
      </c>
      <c r="BL575" t="s">
        <v>1339</v>
      </c>
      <c r="BM575" t="s">
        <v>11066</v>
      </c>
      <c r="BN575" t="s">
        <v>74</v>
      </c>
      <c r="BO575" t="s">
        <v>74</v>
      </c>
      <c r="BP575" t="s">
        <v>74</v>
      </c>
      <c r="BQ575" t="s">
        <v>74</v>
      </c>
      <c r="BR575" t="s">
        <v>106</v>
      </c>
      <c r="BS575" t="s">
        <v>11067</v>
      </c>
      <c r="BT575" t="str">
        <f>HYPERLINK("https%3A%2F%2Fwww.webofscience.com%2Fwos%2Fwoscc%2Ffull-record%2FWOS:000398645200001","View Full Record in Web of Science")</f>
        <v>View Full Record in Web of Science</v>
      </c>
    </row>
    <row r="576" spans="1:72" x14ac:dyDescent="0.15">
      <c r="A576" t="s">
        <v>72</v>
      </c>
      <c r="B576" t="s">
        <v>11068</v>
      </c>
      <c r="C576" t="s">
        <v>74</v>
      </c>
      <c r="D576" t="s">
        <v>74</v>
      </c>
      <c r="E576" t="s">
        <v>74</v>
      </c>
      <c r="F576" t="s">
        <v>11069</v>
      </c>
      <c r="G576" t="s">
        <v>74</v>
      </c>
      <c r="H576" t="s">
        <v>74</v>
      </c>
      <c r="I576" t="s">
        <v>11070</v>
      </c>
      <c r="J576" t="s">
        <v>11071</v>
      </c>
      <c r="K576" t="s">
        <v>74</v>
      </c>
      <c r="L576" t="s">
        <v>74</v>
      </c>
      <c r="M576" t="s">
        <v>78</v>
      </c>
      <c r="N576" t="s">
        <v>333</v>
      </c>
      <c r="O576" t="s">
        <v>11072</v>
      </c>
      <c r="P576" t="s">
        <v>11073</v>
      </c>
      <c r="Q576" t="s">
        <v>11074</v>
      </c>
      <c r="R576" t="s">
        <v>74</v>
      </c>
      <c r="S576" t="s">
        <v>74</v>
      </c>
      <c r="T576" t="s">
        <v>11075</v>
      </c>
      <c r="U576" t="s">
        <v>11076</v>
      </c>
      <c r="V576" t="s">
        <v>11077</v>
      </c>
      <c r="W576" t="s">
        <v>11078</v>
      </c>
      <c r="X576" t="s">
        <v>11079</v>
      </c>
      <c r="Y576" t="s">
        <v>11080</v>
      </c>
      <c r="Z576" t="s">
        <v>11081</v>
      </c>
      <c r="AA576" t="s">
        <v>11082</v>
      </c>
      <c r="AB576" t="s">
        <v>11083</v>
      </c>
      <c r="AC576" t="s">
        <v>11084</v>
      </c>
      <c r="AD576" t="s">
        <v>11085</v>
      </c>
      <c r="AE576" t="s">
        <v>11086</v>
      </c>
      <c r="AF576" t="s">
        <v>74</v>
      </c>
      <c r="AG576">
        <v>40</v>
      </c>
      <c r="AH576">
        <v>14</v>
      </c>
      <c r="AI576">
        <v>15</v>
      </c>
      <c r="AJ576">
        <v>1</v>
      </c>
      <c r="AK576">
        <v>6</v>
      </c>
      <c r="AL576" t="s">
        <v>11087</v>
      </c>
      <c r="AM576" t="s">
        <v>11088</v>
      </c>
      <c r="AN576" t="s">
        <v>11089</v>
      </c>
      <c r="AO576" t="s">
        <v>11090</v>
      </c>
      <c r="AP576" t="s">
        <v>11091</v>
      </c>
      <c r="AQ576" t="s">
        <v>74</v>
      </c>
      <c r="AR576" t="s">
        <v>11071</v>
      </c>
      <c r="AS576" t="s">
        <v>11092</v>
      </c>
      <c r="AT576" t="s">
        <v>8336</v>
      </c>
      <c r="AU576">
        <v>2017</v>
      </c>
      <c r="AV576">
        <v>59</v>
      </c>
      <c r="AW576">
        <v>2</v>
      </c>
      <c r="AX576">
        <v>1</v>
      </c>
      <c r="AY576" t="s">
        <v>74</v>
      </c>
      <c r="AZ576" t="s">
        <v>74</v>
      </c>
      <c r="BA576" t="s">
        <v>74</v>
      </c>
      <c r="BB576">
        <v>489</v>
      </c>
      <c r="BC576">
        <v>503</v>
      </c>
      <c r="BD576" t="s">
        <v>74</v>
      </c>
      <c r="BE576" t="s">
        <v>11093</v>
      </c>
      <c r="BF576" t="str">
        <f>HYPERLINK("http://dx.doi.org/10.1017/RDC.2016.75","http://dx.doi.org/10.1017/RDC.2016.75")</f>
        <v>http://dx.doi.org/10.1017/RDC.2016.75</v>
      </c>
      <c r="BG576" t="s">
        <v>74</v>
      </c>
      <c r="BH576" t="s">
        <v>74</v>
      </c>
      <c r="BI576">
        <v>15</v>
      </c>
      <c r="BJ576" t="s">
        <v>176</v>
      </c>
      <c r="BK576" t="s">
        <v>354</v>
      </c>
      <c r="BL576" t="s">
        <v>176</v>
      </c>
      <c r="BM576" t="s">
        <v>11094</v>
      </c>
      <c r="BN576" t="s">
        <v>74</v>
      </c>
      <c r="BO576" t="s">
        <v>74</v>
      </c>
      <c r="BP576" t="s">
        <v>74</v>
      </c>
      <c r="BQ576" t="s">
        <v>74</v>
      </c>
      <c r="BR576" t="s">
        <v>106</v>
      </c>
      <c r="BS576" t="s">
        <v>11095</v>
      </c>
      <c r="BT576" t="str">
        <f>HYPERLINK("https%3A%2F%2Fwww.webofscience.com%2Fwos%2Fwoscc%2Ffull-record%2FWOS:000400598700021","View Full Record in Web of Science")</f>
        <v>View Full Record in Web of Science</v>
      </c>
    </row>
    <row r="577" spans="1:72" x14ac:dyDescent="0.15">
      <c r="A577" t="s">
        <v>72</v>
      </c>
      <c r="B577" t="s">
        <v>11096</v>
      </c>
      <c r="C577" t="s">
        <v>74</v>
      </c>
      <c r="D577" t="s">
        <v>74</v>
      </c>
      <c r="E577" t="s">
        <v>74</v>
      </c>
      <c r="F577" t="s">
        <v>11097</v>
      </c>
      <c r="G577" t="s">
        <v>74</v>
      </c>
      <c r="H577" t="s">
        <v>74</v>
      </c>
      <c r="I577" t="s">
        <v>11098</v>
      </c>
      <c r="J577" t="s">
        <v>3352</v>
      </c>
      <c r="K577" t="s">
        <v>74</v>
      </c>
      <c r="L577" t="s">
        <v>74</v>
      </c>
      <c r="M577" t="s">
        <v>78</v>
      </c>
      <c r="N577" t="s">
        <v>79</v>
      </c>
      <c r="O577" t="s">
        <v>74</v>
      </c>
      <c r="P577" t="s">
        <v>74</v>
      </c>
      <c r="Q577" t="s">
        <v>74</v>
      </c>
      <c r="R577" t="s">
        <v>74</v>
      </c>
      <c r="S577" t="s">
        <v>74</v>
      </c>
      <c r="T577" t="s">
        <v>11099</v>
      </c>
      <c r="U577" t="s">
        <v>11100</v>
      </c>
      <c r="V577" t="s">
        <v>11101</v>
      </c>
      <c r="W577" t="s">
        <v>11102</v>
      </c>
      <c r="X577" t="s">
        <v>11103</v>
      </c>
      <c r="Y577" t="s">
        <v>11104</v>
      </c>
      <c r="Z577" t="s">
        <v>11105</v>
      </c>
      <c r="AA577" t="s">
        <v>11106</v>
      </c>
      <c r="AB577" t="s">
        <v>11107</v>
      </c>
      <c r="AC577" t="s">
        <v>11108</v>
      </c>
      <c r="AD577" t="s">
        <v>11109</v>
      </c>
      <c r="AE577" t="s">
        <v>11110</v>
      </c>
      <c r="AF577" t="s">
        <v>74</v>
      </c>
      <c r="AG577">
        <v>46</v>
      </c>
      <c r="AH577">
        <v>7</v>
      </c>
      <c r="AI577">
        <v>7</v>
      </c>
      <c r="AJ577">
        <v>2</v>
      </c>
      <c r="AK577">
        <v>44</v>
      </c>
      <c r="AL577" t="s">
        <v>1141</v>
      </c>
      <c r="AM577" t="s">
        <v>318</v>
      </c>
      <c r="AN577" t="s">
        <v>1142</v>
      </c>
      <c r="AO577" t="s">
        <v>3365</v>
      </c>
      <c r="AP577" t="s">
        <v>3366</v>
      </c>
      <c r="AQ577" t="s">
        <v>74</v>
      </c>
      <c r="AR577" t="s">
        <v>3367</v>
      </c>
      <c r="AS577" t="s">
        <v>3368</v>
      </c>
      <c r="AT577" t="s">
        <v>8595</v>
      </c>
      <c r="AU577">
        <v>2017</v>
      </c>
      <c r="AV577">
        <v>583</v>
      </c>
      <c r="AW577" t="s">
        <v>74</v>
      </c>
      <c r="AX577" t="s">
        <v>74</v>
      </c>
      <c r="AY577" t="s">
        <v>74</v>
      </c>
      <c r="AZ577" t="s">
        <v>74</v>
      </c>
      <c r="BA577" t="s">
        <v>74</v>
      </c>
      <c r="BB577">
        <v>81</v>
      </c>
      <c r="BC577">
        <v>87</v>
      </c>
      <c r="BD577" t="s">
        <v>74</v>
      </c>
      <c r="BE577" t="s">
        <v>11111</v>
      </c>
      <c r="BF577" t="str">
        <f>HYPERLINK("http://dx.doi.org/10.1016/j.scitotenv.2017.01.008","http://dx.doi.org/10.1016/j.scitotenv.2017.01.008")</f>
        <v>http://dx.doi.org/10.1016/j.scitotenv.2017.01.008</v>
      </c>
      <c r="BG577" t="s">
        <v>74</v>
      </c>
      <c r="BH577" t="s">
        <v>74</v>
      </c>
      <c r="BI577">
        <v>7</v>
      </c>
      <c r="BJ577" t="s">
        <v>2189</v>
      </c>
      <c r="BK577" t="s">
        <v>103</v>
      </c>
      <c r="BL577" t="s">
        <v>993</v>
      </c>
      <c r="BM577" t="s">
        <v>10063</v>
      </c>
      <c r="BN577">
        <v>28126282</v>
      </c>
      <c r="BO577" t="s">
        <v>74</v>
      </c>
      <c r="BP577" t="s">
        <v>74</v>
      </c>
      <c r="BQ577" t="s">
        <v>74</v>
      </c>
      <c r="BR577" t="s">
        <v>106</v>
      </c>
      <c r="BS577" t="s">
        <v>11112</v>
      </c>
      <c r="BT577" t="str">
        <f>HYPERLINK("https%3A%2F%2Fwww.webofscience.com%2Fwos%2Fwoscc%2Ffull-record%2FWOS:000394556400009","View Full Record in Web of Science")</f>
        <v>View Full Record in Web of Science</v>
      </c>
    </row>
    <row r="578" spans="1:72" x14ac:dyDescent="0.15">
      <c r="A578" t="s">
        <v>72</v>
      </c>
      <c r="B578" t="s">
        <v>11113</v>
      </c>
      <c r="C578" t="s">
        <v>74</v>
      </c>
      <c r="D578" t="s">
        <v>74</v>
      </c>
      <c r="E578" t="s">
        <v>74</v>
      </c>
      <c r="F578" t="s">
        <v>11114</v>
      </c>
      <c r="G578" t="s">
        <v>74</v>
      </c>
      <c r="H578" t="s">
        <v>74</v>
      </c>
      <c r="I578" t="s">
        <v>11115</v>
      </c>
      <c r="J578" t="s">
        <v>2173</v>
      </c>
      <c r="K578" t="s">
        <v>74</v>
      </c>
      <c r="L578" t="s">
        <v>74</v>
      </c>
      <c r="M578" t="s">
        <v>78</v>
      </c>
      <c r="N578" t="s">
        <v>79</v>
      </c>
      <c r="O578" t="s">
        <v>74</v>
      </c>
      <c r="P578" t="s">
        <v>74</v>
      </c>
      <c r="Q578" t="s">
        <v>74</v>
      </c>
      <c r="R578" t="s">
        <v>74</v>
      </c>
      <c r="S578" t="s">
        <v>74</v>
      </c>
      <c r="T578" t="s">
        <v>11116</v>
      </c>
      <c r="U578" t="s">
        <v>11117</v>
      </c>
      <c r="V578" t="s">
        <v>11118</v>
      </c>
      <c r="W578" t="s">
        <v>11119</v>
      </c>
      <c r="X578" t="s">
        <v>11120</v>
      </c>
      <c r="Y578" t="s">
        <v>11121</v>
      </c>
      <c r="Z578" t="s">
        <v>11122</v>
      </c>
      <c r="AA578" t="s">
        <v>11123</v>
      </c>
      <c r="AB578" t="s">
        <v>11124</v>
      </c>
      <c r="AC578" t="s">
        <v>3385</v>
      </c>
      <c r="AD578" t="s">
        <v>3386</v>
      </c>
      <c r="AE578" t="s">
        <v>11125</v>
      </c>
      <c r="AF578" t="s">
        <v>74</v>
      </c>
      <c r="AG578">
        <v>71</v>
      </c>
      <c r="AH578">
        <v>24</v>
      </c>
      <c r="AI578">
        <v>26</v>
      </c>
      <c r="AJ578">
        <v>1</v>
      </c>
      <c r="AK578">
        <v>91</v>
      </c>
      <c r="AL578" t="s">
        <v>656</v>
      </c>
      <c r="AM578" t="s">
        <v>93</v>
      </c>
      <c r="AN578" t="s">
        <v>657</v>
      </c>
      <c r="AO578" t="s">
        <v>2185</v>
      </c>
      <c r="AP578" t="s">
        <v>2186</v>
      </c>
      <c r="AQ578" t="s">
        <v>74</v>
      </c>
      <c r="AR578" t="s">
        <v>2173</v>
      </c>
      <c r="AS578" t="s">
        <v>2187</v>
      </c>
      <c r="AT578" t="s">
        <v>8336</v>
      </c>
      <c r="AU578">
        <v>2017</v>
      </c>
      <c r="AV578">
        <v>172</v>
      </c>
      <c r="AW578" t="s">
        <v>74</v>
      </c>
      <c r="AX578" t="s">
        <v>74</v>
      </c>
      <c r="AY578" t="s">
        <v>74</v>
      </c>
      <c r="AZ578" t="s">
        <v>74</v>
      </c>
      <c r="BA578" t="s">
        <v>74</v>
      </c>
      <c r="BB578">
        <v>37</v>
      </c>
      <c r="BC578">
        <v>45</v>
      </c>
      <c r="BD578" t="s">
        <v>74</v>
      </c>
      <c r="BE578" t="s">
        <v>11126</v>
      </c>
      <c r="BF578" t="str">
        <f>HYPERLINK("http://dx.doi.org/10.1016/j.chemosphere.2016.12.124","http://dx.doi.org/10.1016/j.chemosphere.2016.12.124")</f>
        <v>http://dx.doi.org/10.1016/j.chemosphere.2016.12.124</v>
      </c>
      <c r="BG578" t="s">
        <v>74</v>
      </c>
      <c r="BH578" t="s">
        <v>74</v>
      </c>
      <c r="BI578">
        <v>9</v>
      </c>
      <c r="BJ578" t="s">
        <v>2189</v>
      </c>
      <c r="BK578" t="s">
        <v>103</v>
      </c>
      <c r="BL578" t="s">
        <v>993</v>
      </c>
      <c r="BM578" t="s">
        <v>10230</v>
      </c>
      <c r="BN578">
        <v>28061344</v>
      </c>
      <c r="BO578" t="s">
        <v>74</v>
      </c>
      <c r="BP578" t="s">
        <v>74</v>
      </c>
      <c r="BQ578" t="s">
        <v>74</v>
      </c>
      <c r="BR578" t="s">
        <v>106</v>
      </c>
      <c r="BS578" t="s">
        <v>11127</v>
      </c>
      <c r="BT578" t="str">
        <f>HYPERLINK("https%3A%2F%2Fwww.webofscience.com%2Fwos%2Fwoscc%2Ffull-record%2FWOS:000394065200005","View Full Record in Web of Science")</f>
        <v>View Full Record in Web of Science</v>
      </c>
    </row>
    <row r="579" spans="1:72" x14ac:dyDescent="0.15">
      <c r="A579" t="s">
        <v>72</v>
      </c>
      <c r="B579" t="s">
        <v>11128</v>
      </c>
      <c r="C579" t="s">
        <v>74</v>
      </c>
      <c r="D579" t="s">
        <v>74</v>
      </c>
      <c r="E579" t="s">
        <v>74</v>
      </c>
      <c r="F579" t="s">
        <v>11129</v>
      </c>
      <c r="G579" t="s">
        <v>74</v>
      </c>
      <c r="H579" t="s">
        <v>74</v>
      </c>
      <c r="I579" t="s">
        <v>11130</v>
      </c>
      <c r="J579" t="s">
        <v>3239</v>
      </c>
      <c r="K579" t="s">
        <v>74</v>
      </c>
      <c r="L579" t="s">
        <v>74</v>
      </c>
      <c r="M579" t="s">
        <v>78</v>
      </c>
      <c r="N579" t="s">
        <v>79</v>
      </c>
      <c r="O579" t="s">
        <v>74</v>
      </c>
      <c r="P579" t="s">
        <v>74</v>
      </c>
      <c r="Q579" t="s">
        <v>74</v>
      </c>
      <c r="R579" t="s">
        <v>74</v>
      </c>
      <c r="S579" t="s">
        <v>74</v>
      </c>
      <c r="T579" t="s">
        <v>11131</v>
      </c>
      <c r="U579" t="s">
        <v>11132</v>
      </c>
      <c r="V579" t="s">
        <v>11133</v>
      </c>
      <c r="W579" t="s">
        <v>11134</v>
      </c>
      <c r="X579" t="s">
        <v>11135</v>
      </c>
      <c r="Y579" t="s">
        <v>11136</v>
      </c>
      <c r="Z579" t="s">
        <v>11137</v>
      </c>
      <c r="AA579" t="s">
        <v>11138</v>
      </c>
      <c r="AB579" t="s">
        <v>11139</v>
      </c>
      <c r="AC579" t="s">
        <v>11140</v>
      </c>
      <c r="AD579" t="s">
        <v>11141</v>
      </c>
      <c r="AE579" t="s">
        <v>11142</v>
      </c>
      <c r="AF579" t="s">
        <v>74</v>
      </c>
      <c r="AG579">
        <v>49</v>
      </c>
      <c r="AH579">
        <v>53</v>
      </c>
      <c r="AI579">
        <v>57</v>
      </c>
      <c r="AJ579">
        <v>0</v>
      </c>
      <c r="AK579">
        <v>23</v>
      </c>
      <c r="AL579" t="s">
        <v>1141</v>
      </c>
      <c r="AM579" t="s">
        <v>318</v>
      </c>
      <c r="AN579" t="s">
        <v>1142</v>
      </c>
      <c r="AO579" t="s">
        <v>3251</v>
      </c>
      <c r="AP579" t="s">
        <v>3252</v>
      </c>
      <c r="AQ579" t="s">
        <v>74</v>
      </c>
      <c r="AR579" t="s">
        <v>3253</v>
      </c>
      <c r="AS579" t="s">
        <v>3254</v>
      </c>
      <c r="AT579" t="s">
        <v>8595</v>
      </c>
      <c r="AU579">
        <v>2017</v>
      </c>
      <c r="AV579">
        <v>463</v>
      </c>
      <c r="AW579" t="s">
        <v>74</v>
      </c>
      <c r="AX579" t="s">
        <v>74</v>
      </c>
      <c r="AY579" t="s">
        <v>74</v>
      </c>
      <c r="AZ579" t="s">
        <v>74</v>
      </c>
      <c r="BA579" t="s">
        <v>74</v>
      </c>
      <c r="BB579">
        <v>1</v>
      </c>
      <c r="BC579">
        <v>12</v>
      </c>
      <c r="BD579" t="s">
        <v>74</v>
      </c>
      <c r="BE579" t="s">
        <v>11143</v>
      </c>
      <c r="BF579" t="str">
        <f>HYPERLINK("http://dx.doi.org/10.1016/j.epsl.2017.01.014","http://dx.doi.org/10.1016/j.epsl.2017.01.014")</f>
        <v>http://dx.doi.org/10.1016/j.epsl.2017.01.014</v>
      </c>
      <c r="BG579" t="s">
        <v>74</v>
      </c>
      <c r="BH579" t="s">
        <v>74</v>
      </c>
      <c r="BI579">
        <v>12</v>
      </c>
      <c r="BJ579" t="s">
        <v>176</v>
      </c>
      <c r="BK579" t="s">
        <v>103</v>
      </c>
      <c r="BL579" t="s">
        <v>176</v>
      </c>
      <c r="BM579" t="s">
        <v>10342</v>
      </c>
      <c r="BN579" t="s">
        <v>74</v>
      </c>
      <c r="BO579" t="s">
        <v>74</v>
      </c>
      <c r="BP579" t="s">
        <v>74</v>
      </c>
      <c r="BQ579" t="s">
        <v>74</v>
      </c>
      <c r="BR579" t="s">
        <v>106</v>
      </c>
      <c r="BS579" t="s">
        <v>11144</v>
      </c>
      <c r="BT579" t="str">
        <f>HYPERLINK("https%3A%2F%2Fwww.webofscience.com%2Fwos%2Fwoscc%2Ffull-record%2FWOS:000395919200001","View Full Record in Web of Science")</f>
        <v>View Full Record in Web of Science</v>
      </c>
    </row>
    <row r="580" spans="1:72" x14ac:dyDescent="0.15">
      <c r="A580" t="s">
        <v>72</v>
      </c>
      <c r="B580" t="s">
        <v>11145</v>
      </c>
      <c r="C580" t="s">
        <v>74</v>
      </c>
      <c r="D580" t="s">
        <v>74</v>
      </c>
      <c r="E580" t="s">
        <v>74</v>
      </c>
      <c r="F580" t="s">
        <v>11146</v>
      </c>
      <c r="G580" t="s">
        <v>74</v>
      </c>
      <c r="H580" t="s">
        <v>74</v>
      </c>
      <c r="I580" t="s">
        <v>11147</v>
      </c>
      <c r="J580" t="s">
        <v>3239</v>
      </c>
      <c r="K580" t="s">
        <v>74</v>
      </c>
      <c r="L580" t="s">
        <v>74</v>
      </c>
      <c r="M580" t="s">
        <v>78</v>
      </c>
      <c r="N580" t="s">
        <v>79</v>
      </c>
      <c r="O580" t="s">
        <v>74</v>
      </c>
      <c r="P580" t="s">
        <v>74</v>
      </c>
      <c r="Q580" t="s">
        <v>74</v>
      </c>
      <c r="R580" t="s">
        <v>74</v>
      </c>
      <c r="S580" t="s">
        <v>74</v>
      </c>
      <c r="T580" t="s">
        <v>11148</v>
      </c>
      <c r="U580" t="s">
        <v>11149</v>
      </c>
      <c r="V580" t="s">
        <v>11150</v>
      </c>
      <c r="W580" t="s">
        <v>11151</v>
      </c>
      <c r="X580" t="s">
        <v>11152</v>
      </c>
      <c r="Y580" t="s">
        <v>11153</v>
      </c>
      <c r="Z580" t="s">
        <v>11154</v>
      </c>
      <c r="AA580" t="s">
        <v>11155</v>
      </c>
      <c r="AB580" t="s">
        <v>11156</v>
      </c>
      <c r="AC580" t="s">
        <v>11157</v>
      </c>
      <c r="AD580" t="s">
        <v>11158</v>
      </c>
      <c r="AE580" t="s">
        <v>11159</v>
      </c>
      <c r="AF580" t="s">
        <v>74</v>
      </c>
      <c r="AG580">
        <v>86</v>
      </c>
      <c r="AH580">
        <v>39</v>
      </c>
      <c r="AI580">
        <v>44</v>
      </c>
      <c r="AJ580">
        <v>0</v>
      </c>
      <c r="AK580">
        <v>27</v>
      </c>
      <c r="AL580" t="s">
        <v>317</v>
      </c>
      <c r="AM580" t="s">
        <v>318</v>
      </c>
      <c r="AN580" t="s">
        <v>319</v>
      </c>
      <c r="AO580" t="s">
        <v>3251</v>
      </c>
      <c r="AP580" t="s">
        <v>3252</v>
      </c>
      <c r="AQ580" t="s">
        <v>74</v>
      </c>
      <c r="AR580" t="s">
        <v>3253</v>
      </c>
      <c r="AS580" t="s">
        <v>3254</v>
      </c>
      <c r="AT580" t="s">
        <v>8595</v>
      </c>
      <c r="AU580">
        <v>2017</v>
      </c>
      <c r="AV580">
        <v>463</v>
      </c>
      <c r="AW580" t="s">
        <v>74</v>
      </c>
      <c r="AX580" t="s">
        <v>74</v>
      </c>
      <c r="AY580" t="s">
        <v>74</v>
      </c>
      <c r="AZ580" t="s">
        <v>74</v>
      </c>
      <c r="BA580" t="s">
        <v>74</v>
      </c>
      <c r="BB580">
        <v>56</v>
      </c>
      <c r="BC580">
        <v>68</v>
      </c>
      <c r="BD580" t="s">
        <v>74</v>
      </c>
      <c r="BE580" t="s">
        <v>11160</v>
      </c>
      <c r="BF580" t="str">
        <f>HYPERLINK("http://dx.doi.org/10.1016/j.epsl.2017.01.023","http://dx.doi.org/10.1016/j.epsl.2017.01.023")</f>
        <v>http://dx.doi.org/10.1016/j.epsl.2017.01.023</v>
      </c>
      <c r="BG580" t="s">
        <v>74</v>
      </c>
      <c r="BH580" t="s">
        <v>74</v>
      </c>
      <c r="BI580">
        <v>13</v>
      </c>
      <c r="BJ580" t="s">
        <v>176</v>
      </c>
      <c r="BK580" t="s">
        <v>103</v>
      </c>
      <c r="BL580" t="s">
        <v>176</v>
      </c>
      <c r="BM580" t="s">
        <v>10342</v>
      </c>
      <c r="BN580" t="s">
        <v>74</v>
      </c>
      <c r="BO580" t="s">
        <v>384</v>
      </c>
      <c r="BP580" t="s">
        <v>74</v>
      </c>
      <c r="BQ580" t="s">
        <v>74</v>
      </c>
      <c r="BR580" t="s">
        <v>106</v>
      </c>
      <c r="BS580" t="s">
        <v>11161</v>
      </c>
      <c r="BT580" t="str">
        <f>HYPERLINK("https%3A%2F%2Fwww.webofscience.com%2Fwos%2Fwoscc%2Ffull-record%2FWOS:000395919200006","View Full Record in Web of Science")</f>
        <v>View Full Record in Web of Science</v>
      </c>
    </row>
    <row r="581" spans="1:72" x14ac:dyDescent="0.15">
      <c r="A581" t="s">
        <v>72</v>
      </c>
      <c r="B581" t="s">
        <v>11162</v>
      </c>
      <c r="C581" t="s">
        <v>74</v>
      </c>
      <c r="D581" t="s">
        <v>74</v>
      </c>
      <c r="E581" t="s">
        <v>74</v>
      </c>
      <c r="F581" t="s">
        <v>11163</v>
      </c>
      <c r="G581" t="s">
        <v>74</v>
      </c>
      <c r="H581" t="s">
        <v>74</v>
      </c>
      <c r="I581" t="s">
        <v>11164</v>
      </c>
      <c r="J581" t="s">
        <v>5018</v>
      </c>
      <c r="K581" t="s">
        <v>74</v>
      </c>
      <c r="L581" t="s">
        <v>74</v>
      </c>
      <c r="M581" t="s">
        <v>78</v>
      </c>
      <c r="N581" t="s">
        <v>79</v>
      </c>
      <c r="O581" t="s">
        <v>74</v>
      </c>
      <c r="P581" t="s">
        <v>74</v>
      </c>
      <c r="Q581" t="s">
        <v>74</v>
      </c>
      <c r="R581" t="s">
        <v>74</v>
      </c>
      <c r="S581" t="s">
        <v>74</v>
      </c>
      <c r="T581" t="s">
        <v>74</v>
      </c>
      <c r="U581" t="s">
        <v>11165</v>
      </c>
      <c r="V581" t="s">
        <v>11166</v>
      </c>
      <c r="W581" t="s">
        <v>11167</v>
      </c>
      <c r="X581" t="s">
        <v>11168</v>
      </c>
      <c r="Y581" t="s">
        <v>11169</v>
      </c>
      <c r="Z581" t="s">
        <v>11170</v>
      </c>
      <c r="AA581" t="s">
        <v>11171</v>
      </c>
      <c r="AB581" t="s">
        <v>11172</v>
      </c>
      <c r="AC581" t="s">
        <v>11173</v>
      </c>
      <c r="AD581" t="s">
        <v>11174</v>
      </c>
      <c r="AE581" t="s">
        <v>11175</v>
      </c>
      <c r="AF581" t="s">
        <v>74</v>
      </c>
      <c r="AG581">
        <v>30</v>
      </c>
      <c r="AH581">
        <v>98</v>
      </c>
      <c r="AI581">
        <v>103</v>
      </c>
      <c r="AJ581">
        <v>0</v>
      </c>
      <c r="AK581">
        <v>49</v>
      </c>
      <c r="AL581" t="s">
        <v>5029</v>
      </c>
      <c r="AM581" t="s">
        <v>5030</v>
      </c>
      <c r="AN581" t="s">
        <v>5031</v>
      </c>
      <c r="AO581" t="s">
        <v>5032</v>
      </c>
      <c r="AP581" t="s">
        <v>5033</v>
      </c>
      <c r="AQ581" t="s">
        <v>74</v>
      </c>
      <c r="AR581" t="s">
        <v>5018</v>
      </c>
      <c r="AS581" t="s">
        <v>438</v>
      </c>
      <c r="AT581" t="s">
        <v>8336</v>
      </c>
      <c r="AU581">
        <v>2017</v>
      </c>
      <c r="AV581">
        <v>45</v>
      </c>
      <c r="AW581">
        <v>4</v>
      </c>
      <c r="AX581" t="s">
        <v>74</v>
      </c>
      <c r="AY581" t="s">
        <v>74</v>
      </c>
      <c r="AZ581" t="s">
        <v>74</v>
      </c>
      <c r="BA581" t="s">
        <v>74</v>
      </c>
      <c r="BB581">
        <v>375</v>
      </c>
      <c r="BC581">
        <v>378</v>
      </c>
      <c r="BD581" t="s">
        <v>74</v>
      </c>
      <c r="BE581" t="s">
        <v>11176</v>
      </c>
      <c r="BF581" t="str">
        <f>HYPERLINK("http://dx.doi.org/10.1130/G38663.1","http://dx.doi.org/10.1130/G38663.1")</f>
        <v>http://dx.doi.org/10.1130/G38663.1</v>
      </c>
      <c r="BG581" t="s">
        <v>74</v>
      </c>
      <c r="BH581" t="s">
        <v>74</v>
      </c>
      <c r="BI581">
        <v>4</v>
      </c>
      <c r="BJ581" t="s">
        <v>438</v>
      </c>
      <c r="BK581" t="s">
        <v>103</v>
      </c>
      <c r="BL581" t="s">
        <v>438</v>
      </c>
      <c r="BM581" t="s">
        <v>11177</v>
      </c>
      <c r="BN581" t="s">
        <v>74</v>
      </c>
      <c r="BO581" t="s">
        <v>6720</v>
      </c>
      <c r="BP581" t="s">
        <v>74</v>
      </c>
      <c r="BQ581" t="s">
        <v>74</v>
      </c>
      <c r="BR581" t="s">
        <v>106</v>
      </c>
      <c r="BS581" t="s">
        <v>11178</v>
      </c>
      <c r="BT581" t="str">
        <f>HYPERLINK("https%3A%2F%2Fwww.webofscience.com%2Fwos%2Fwoscc%2Ffull-record%2FWOS:000396125700024","View Full Record in Web of Science")</f>
        <v>View Full Record in Web of Science</v>
      </c>
    </row>
    <row r="582" spans="1:72" x14ac:dyDescent="0.15">
      <c r="A582" t="s">
        <v>72</v>
      </c>
      <c r="B582" t="s">
        <v>11179</v>
      </c>
      <c r="C582" t="s">
        <v>74</v>
      </c>
      <c r="D582" t="s">
        <v>74</v>
      </c>
      <c r="E582" t="s">
        <v>74</v>
      </c>
      <c r="F582" t="s">
        <v>11180</v>
      </c>
      <c r="G582" t="s">
        <v>74</v>
      </c>
      <c r="H582" t="s">
        <v>74</v>
      </c>
      <c r="I582" t="s">
        <v>11181</v>
      </c>
      <c r="J582" t="s">
        <v>11182</v>
      </c>
      <c r="K582" t="s">
        <v>74</v>
      </c>
      <c r="L582" t="s">
        <v>74</v>
      </c>
      <c r="M582" t="s">
        <v>78</v>
      </c>
      <c r="N582" t="s">
        <v>79</v>
      </c>
      <c r="O582" t="s">
        <v>74</v>
      </c>
      <c r="P582" t="s">
        <v>74</v>
      </c>
      <c r="Q582" t="s">
        <v>74</v>
      </c>
      <c r="R582" t="s">
        <v>74</v>
      </c>
      <c r="S582" t="s">
        <v>74</v>
      </c>
      <c r="T582" t="s">
        <v>11183</v>
      </c>
      <c r="U582" t="s">
        <v>11184</v>
      </c>
      <c r="V582" t="s">
        <v>11185</v>
      </c>
      <c r="W582" t="s">
        <v>11186</v>
      </c>
      <c r="X582" t="s">
        <v>11187</v>
      </c>
      <c r="Y582" t="s">
        <v>11188</v>
      </c>
      <c r="Z582" t="s">
        <v>11189</v>
      </c>
      <c r="AA582" t="s">
        <v>11190</v>
      </c>
      <c r="AB582" t="s">
        <v>11191</v>
      </c>
      <c r="AC582" t="s">
        <v>11192</v>
      </c>
      <c r="AD582" t="s">
        <v>11193</v>
      </c>
      <c r="AE582" t="s">
        <v>11194</v>
      </c>
      <c r="AF582" t="s">
        <v>74</v>
      </c>
      <c r="AG582">
        <v>32</v>
      </c>
      <c r="AH582">
        <v>22</v>
      </c>
      <c r="AI582">
        <v>27</v>
      </c>
      <c r="AJ582">
        <v>2</v>
      </c>
      <c r="AK582">
        <v>75</v>
      </c>
      <c r="AL582" t="s">
        <v>1141</v>
      </c>
      <c r="AM582" t="s">
        <v>318</v>
      </c>
      <c r="AN582" t="s">
        <v>1142</v>
      </c>
      <c r="AO582" t="s">
        <v>11195</v>
      </c>
      <c r="AP582" t="s">
        <v>11196</v>
      </c>
      <c r="AQ582" t="s">
        <v>74</v>
      </c>
      <c r="AR582" t="s">
        <v>11197</v>
      </c>
      <c r="AS582" t="s">
        <v>11198</v>
      </c>
      <c r="AT582" t="s">
        <v>8336</v>
      </c>
      <c r="AU582">
        <v>2017</v>
      </c>
      <c r="AV582">
        <v>77</v>
      </c>
      <c r="AW582" t="s">
        <v>74</v>
      </c>
      <c r="AX582" t="s">
        <v>74</v>
      </c>
      <c r="AY582" t="s">
        <v>74</v>
      </c>
      <c r="AZ582" t="s">
        <v>74</v>
      </c>
      <c r="BA582" t="s">
        <v>74</v>
      </c>
      <c r="BB582">
        <v>532</v>
      </c>
      <c r="BC582">
        <v>541</v>
      </c>
      <c r="BD582" t="s">
        <v>74</v>
      </c>
      <c r="BE582" t="s">
        <v>11199</v>
      </c>
      <c r="BF582" t="str">
        <f>HYPERLINK("http://dx.doi.org/10.1016/j.lwt.2016.12.004","http://dx.doi.org/10.1016/j.lwt.2016.12.004")</f>
        <v>http://dx.doi.org/10.1016/j.lwt.2016.12.004</v>
      </c>
      <c r="BG582" t="s">
        <v>74</v>
      </c>
      <c r="BH582" t="s">
        <v>74</v>
      </c>
      <c r="BI582">
        <v>10</v>
      </c>
      <c r="BJ582" t="s">
        <v>2599</v>
      </c>
      <c r="BK582" t="s">
        <v>103</v>
      </c>
      <c r="BL582" t="s">
        <v>2599</v>
      </c>
      <c r="BM582" t="s">
        <v>11200</v>
      </c>
      <c r="BN582" t="s">
        <v>74</v>
      </c>
      <c r="BO582" t="s">
        <v>74</v>
      </c>
      <c r="BP582" t="s">
        <v>74</v>
      </c>
      <c r="BQ582" t="s">
        <v>74</v>
      </c>
      <c r="BR582" t="s">
        <v>106</v>
      </c>
      <c r="BS582" t="s">
        <v>11201</v>
      </c>
      <c r="BT582" t="str">
        <f>HYPERLINK("https%3A%2F%2Fwww.webofscience.com%2Fwos%2Fwoscc%2Ffull-record%2FWOS:000392769200069","View Full Record in Web of Science")</f>
        <v>View Full Record in Web of Science</v>
      </c>
    </row>
    <row r="583" spans="1:72" x14ac:dyDescent="0.15">
      <c r="A583" t="s">
        <v>72</v>
      </c>
      <c r="B583" t="s">
        <v>11202</v>
      </c>
      <c r="C583" t="s">
        <v>74</v>
      </c>
      <c r="D583" t="s">
        <v>74</v>
      </c>
      <c r="E583" t="s">
        <v>74</v>
      </c>
      <c r="F583" t="s">
        <v>11203</v>
      </c>
      <c r="G583" t="s">
        <v>74</v>
      </c>
      <c r="H583" t="s">
        <v>74</v>
      </c>
      <c r="I583" t="s">
        <v>11204</v>
      </c>
      <c r="J583" t="s">
        <v>3849</v>
      </c>
      <c r="K583" t="s">
        <v>74</v>
      </c>
      <c r="L583" t="s">
        <v>74</v>
      </c>
      <c r="M583" t="s">
        <v>78</v>
      </c>
      <c r="N583" t="s">
        <v>79</v>
      </c>
      <c r="O583" t="s">
        <v>74</v>
      </c>
      <c r="P583" t="s">
        <v>74</v>
      </c>
      <c r="Q583" t="s">
        <v>74</v>
      </c>
      <c r="R583" t="s">
        <v>74</v>
      </c>
      <c r="S583" t="s">
        <v>74</v>
      </c>
      <c r="T583" t="s">
        <v>74</v>
      </c>
      <c r="U583" t="s">
        <v>11205</v>
      </c>
      <c r="V583" t="s">
        <v>11206</v>
      </c>
      <c r="W583" t="s">
        <v>11207</v>
      </c>
      <c r="X583" t="s">
        <v>11208</v>
      </c>
      <c r="Y583" t="s">
        <v>11209</v>
      </c>
      <c r="Z583" t="s">
        <v>11210</v>
      </c>
      <c r="AA583" t="s">
        <v>11211</v>
      </c>
      <c r="AB583" t="s">
        <v>11212</v>
      </c>
      <c r="AC583" t="s">
        <v>11213</v>
      </c>
      <c r="AD583" t="s">
        <v>11214</v>
      </c>
      <c r="AE583" t="s">
        <v>11215</v>
      </c>
      <c r="AF583" t="s">
        <v>74</v>
      </c>
      <c r="AG583">
        <v>120</v>
      </c>
      <c r="AH583">
        <v>31</v>
      </c>
      <c r="AI583">
        <v>31</v>
      </c>
      <c r="AJ583">
        <v>1</v>
      </c>
      <c r="AK583">
        <v>29</v>
      </c>
      <c r="AL583" t="s">
        <v>3861</v>
      </c>
      <c r="AM583" t="s">
        <v>3862</v>
      </c>
      <c r="AN583" t="s">
        <v>3863</v>
      </c>
      <c r="AO583" t="s">
        <v>3864</v>
      </c>
      <c r="AP583" t="s">
        <v>74</v>
      </c>
      <c r="AQ583" t="s">
        <v>74</v>
      </c>
      <c r="AR583" t="s">
        <v>3849</v>
      </c>
      <c r="AS583" t="s">
        <v>3865</v>
      </c>
      <c r="AT583" t="s">
        <v>11216</v>
      </c>
      <c r="AU583">
        <v>2017</v>
      </c>
      <c r="AV583">
        <v>12</v>
      </c>
      <c r="AW583">
        <v>3</v>
      </c>
      <c r="AX583" t="s">
        <v>74</v>
      </c>
      <c r="AY583" t="s">
        <v>74</v>
      </c>
      <c r="AZ583" t="s">
        <v>74</v>
      </c>
      <c r="BA583" t="s">
        <v>74</v>
      </c>
      <c r="BB583" t="s">
        <v>74</v>
      </c>
      <c r="BC583" t="s">
        <v>74</v>
      </c>
      <c r="BD583" t="s">
        <v>11217</v>
      </c>
      <c r="BE583" t="s">
        <v>11218</v>
      </c>
      <c r="BF583" t="str">
        <f>HYPERLINK("http://dx.doi.org/10.1371/journal.pone.0174850","http://dx.doi.org/10.1371/journal.pone.0174850")</f>
        <v>http://dx.doi.org/10.1371/journal.pone.0174850</v>
      </c>
      <c r="BG583" t="s">
        <v>74</v>
      </c>
      <c r="BH583" t="s">
        <v>74</v>
      </c>
      <c r="BI583">
        <v>25</v>
      </c>
      <c r="BJ583" t="s">
        <v>1617</v>
      </c>
      <c r="BK583" t="s">
        <v>103</v>
      </c>
      <c r="BL583" t="s">
        <v>1618</v>
      </c>
      <c r="BM583" t="s">
        <v>11219</v>
      </c>
      <c r="BN583">
        <v>28362847</v>
      </c>
      <c r="BO583" t="s">
        <v>11220</v>
      </c>
      <c r="BP583" t="s">
        <v>74</v>
      </c>
      <c r="BQ583" t="s">
        <v>74</v>
      </c>
      <c r="BR583" t="s">
        <v>106</v>
      </c>
      <c r="BS583" t="s">
        <v>11221</v>
      </c>
      <c r="BT583" t="str">
        <f>HYPERLINK("https%3A%2F%2Fwww.webofscience.com%2Fwos%2Fwoscc%2Ffull-record%2FWOS:000399175000043","View Full Record in Web of Science")</f>
        <v>View Full Record in Web of Science</v>
      </c>
    </row>
    <row r="584" spans="1:72" x14ac:dyDescent="0.15">
      <c r="A584" t="s">
        <v>72</v>
      </c>
      <c r="B584" t="s">
        <v>11222</v>
      </c>
      <c r="C584" t="s">
        <v>74</v>
      </c>
      <c r="D584" t="s">
        <v>74</v>
      </c>
      <c r="E584" t="s">
        <v>74</v>
      </c>
      <c r="F584" t="s">
        <v>11223</v>
      </c>
      <c r="G584" t="s">
        <v>74</v>
      </c>
      <c r="H584" t="s">
        <v>74</v>
      </c>
      <c r="I584" t="s">
        <v>11224</v>
      </c>
      <c r="J584" t="s">
        <v>3746</v>
      </c>
      <c r="K584" t="s">
        <v>74</v>
      </c>
      <c r="L584" t="s">
        <v>74</v>
      </c>
      <c r="M584" t="s">
        <v>78</v>
      </c>
      <c r="N584" t="s">
        <v>518</v>
      </c>
      <c r="O584" t="s">
        <v>74</v>
      </c>
      <c r="P584" t="s">
        <v>74</v>
      </c>
      <c r="Q584" t="s">
        <v>74</v>
      </c>
      <c r="R584" t="s">
        <v>74</v>
      </c>
      <c r="S584" t="s">
        <v>74</v>
      </c>
      <c r="T584" t="s">
        <v>74</v>
      </c>
      <c r="U584" t="s">
        <v>11225</v>
      </c>
      <c r="V584" t="s">
        <v>11226</v>
      </c>
      <c r="W584" t="s">
        <v>11227</v>
      </c>
      <c r="X584" t="s">
        <v>11228</v>
      </c>
      <c r="Y584" t="s">
        <v>11229</v>
      </c>
      <c r="Z584" t="s">
        <v>11230</v>
      </c>
      <c r="AA584" t="s">
        <v>11231</v>
      </c>
      <c r="AB584" t="s">
        <v>11232</v>
      </c>
      <c r="AC584" t="s">
        <v>11233</v>
      </c>
      <c r="AD584" t="s">
        <v>11234</v>
      </c>
      <c r="AE584" t="s">
        <v>11235</v>
      </c>
      <c r="AF584" t="s">
        <v>74</v>
      </c>
      <c r="AG584">
        <v>117</v>
      </c>
      <c r="AH584">
        <v>1834</v>
      </c>
      <c r="AI584">
        <v>2009</v>
      </c>
      <c r="AJ584">
        <v>215</v>
      </c>
      <c r="AK584">
        <v>2588</v>
      </c>
      <c r="AL584" t="s">
        <v>3156</v>
      </c>
      <c r="AM584" t="s">
        <v>223</v>
      </c>
      <c r="AN584" t="s">
        <v>3157</v>
      </c>
      <c r="AO584" t="s">
        <v>3756</v>
      </c>
      <c r="AP584" t="s">
        <v>3757</v>
      </c>
      <c r="AQ584" t="s">
        <v>74</v>
      </c>
      <c r="AR584" t="s">
        <v>3746</v>
      </c>
      <c r="AS584" t="s">
        <v>3758</v>
      </c>
      <c r="AT584" t="s">
        <v>11216</v>
      </c>
      <c r="AU584">
        <v>2017</v>
      </c>
      <c r="AV584">
        <v>355</v>
      </c>
      <c r="AW584">
        <v>6332</v>
      </c>
      <c r="AX584" t="s">
        <v>74</v>
      </c>
      <c r="AY584" t="s">
        <v>74</v>
      </c>
      <c r="AZ584" t="s">
        <v>74</v>
      </c>
      <c r="BA584" t="s">
        <v>74</v>
      </c>
      <c r="BB584" t="s">
        <v>74</v>
      </c>
      <c r="BC584" t="s">
        <v>74</v>
      </c>
      <c r="BD584" t="s">
        <v>11236</v>
      </c>
      <c r="BE584" t="s">
        <v>11237</v>
      </c>
      <c r="BF584" t="str">
        <f>HYPERLINK("http://dx.doi.org/10.1126/science.aai9214","http://dx.doi.org/10.1126/science.aai9214")</f>
        <v>http://dx.doi.org/10.1126/science.aai9214</v>
      </c>
      <c r="BG584" t="s">
        <v>74</v>
      </c>
      <c r="BH584" t="s">
        <v>74</v>
      </c>
      <c r="BI584">
        <v>9</v>
      </c>
      <c r="BJ584" t="s">
        <v>1617</v>
      </c>
      <c r="BK584" t="s">
        <v>103</v>
      </c>
      <c r="BL584" t="s">
        <v>1618</v>
      </c>
      <c r="BM584" t="s">
        <v>11238</v>
      </c>
      <c r="BN584">
        <v>28360268</v>
      </c>
      <c r="BO584" t="s">
        <v>3209</v>
      </c>
      <c r="BP584" t="s">
        <v>2243</v>
      </c>
      <c r="BQ584" t="s">
        <v>2244</v>
      </c>
      <c r="BR584" t="s">
        <v>106</v>
      </c>
      <c r="BS584" t="s">
        <v>11239</v>
      </c>
      <c r="BT584" t="str">
        <f>HYPERLINK("https%3A%2F%2Fwww.webofscience.com%2Fwos%2Fwoscc%2Ffull-record%2FWOS:000397809500032","View Full Record in Web of Science")</f>
        <v>View Full Record in Web of Science</v>
      </c>
    </row>
    <row r="585" spans="1:72" x14ac:dyDescent="0.15">
      <c r="A585" t="s">
        <v>72</v>
      </c>
      <c r="B585" t="s">
        <v>11240</v>
      </c>
      <c r="C585" t="s">
        <v>74</v>
      </c>
      <c r="D585" t="s">
        <v>74</v>
      </c>
      <c r="E585" t="s">
        <v>74</v>
      </c>
      <c r="F585" t="s">
        <v>11241</v>
      </c>
      <c r="G585" t="s">
        <v>74</v>
      </c>
      <c r="H585" t="s">
        <v>74</v>
      </c>
      <c r="I585" t="s">
        <v>11242</v>
      </c>
      <c r="J585" t="s">
        <v>10423</v>
      </c>
      <c r="K585" t="s">
        <v>74</v>
      </c>
      <c r="L585" t="s">
        <v>74</v>
      </c>
      <c r="M585" t="s">
        <v>78</v>
      </c>
      <c r="N585" t="s">
        <v>79</v>
      </c>
      <c r="O585" t="s">
        <v>74</v>
      </c>
      <c r="P585" t="s">
        <v>74</v>
      </c>
      <c r="Q585" t="s">
        <v>74</v>
      </c>
      <c r="R585" t="s">
        <v>74</v>
      </c>
      <c r="S585" t="s">
        <v>74</v>
      </c>
      <c r="T585" t="s">
        <v>11243</v>
      </c>
      <c r="U585" t="s">
        <v>11244</v>
      </c>
      <c r="V585" t="s">
        <v>11245</v>
      </c>
      <c r="W585" t="s">
        <v>11246</v>
      </c>
      <c r="X585" t="s">
        <v>11247</v>
      </c>
      <c r="Y585" t="s">
        <v>11248</v>
      </c>
      <c r="Z585" t="s">
        <v>11249</v>
      </c>
      <c r="AA585" t="s">
        <v>11250</v>
      </c>
      <c r="AB585" t="s">
        <v>11251</v>
      </c>
      <c r="AC585" t="s">
        <v>11252</v>
      </c>
      <c r="AD585" t="s">
        <v>11253</v>
      </c>
      <c r="AE585" t="s">
        <v>11254</v>
      </c>
      <c r="AF585" t="s">
        <v>74</v>
      </c>
      <c r="AG585">
        <v>68</v>
      </c>
      <c r="AH585">
        <v>9</v>
      </c>
      <c r="AI585">
        <v>10</v>
      </c>
      <c r="AJ585">
        <v>0</v>
      </c>
      <c r="AK585">
        <v>15</v>
      </c>
      <c r="AL585" t="s">
        <v>681</v>
      </c>
      <c r="AM585" t="s">
        <v>682</v>
      </c>
      <c r="AN585" t="s">
        <v>683</v>
      </c>
      <c r="AO585" t="s">
        <v>10435</v>
      </c>
      <c r="AP585" t="s">
        <v>10436</v>
      </c>
      <c r="AQ585" t="s">
        <v>74</v>
      </c>
      <c r="AR585" t="s">
        <v>10437</v>
      </c>
      <c r="AS585" t="s">
        <v>10438</v>
      </c>
      <c r="AT585" t="s">
        <v>11255</v>
      </c>
      <c r="AU585">
        <v>2017</v>
      </c>
      <c r="AV585">
        <v>37</v>
      </c>
      <c r="AW585">
        <v>4</v>
      </c>
      <c r="AX585" t="s">
        <v>74</v>
      </c>
      <c r="AY585" t="s">
        <v>74</v>
      </c>
      <c r="AZ585" t="s">
        <v>74</v>
      </c>
      <c r="BA585" t="s">
        <v>74</v>
      </c>
      <c r="BB585">
        <v>1699</v>
      </c>
      <c r="BC585">
        <v>1715</v>
      </c>
      <c r="BD585" t="s">
        <v>74</v>
      </c>
      <c r="BE585" t="s">
        <v>11256</v>
      </c>
      <c r="BF585" t="str">
        <f>HYPERLINK("http://dx.doi.org/10.1002/joc.4828","http://dx.doi.org/10.1002/joc.4828")</f>
        <v>http://dx.doi.org/10.1002/joc.4828</v>
      </c>
      <c r="BG585" t="s">
        <v>74</v>
      </c>
      <c r="BH585" t="s">
        <v>74</v>
      </c>
      <c r="BI585">
        <v>17</v>
      </c>
      <c r="BJ585" t="s">
        <v>1261</v>
      </c>
      <c r="BK585" t="s">
        <v>103</v>
      </c>
      <c r="BL585" t="s">
        <v>1261</v>
      </c>
      <c r="BM585" t="s">
        <v>11257</v>
      </c>
      <c r="BN585" t="s">
        <v>74</v>
      </c>
      <c r="BO585" t="s">
        <v>74</v>
      </c>
      <c r="BP585" t="s">
        <v>74</v>
      </c>
      <c r="BQ585" t="s">
        <v>74</v>
      </c>
      <c r="BR585" t="s">
        <v>106</v>
      </c>
      <c r="BS585" t="s">
        <v>11258</v>
      </c>
      <c r="BT585" t="str">
        <f>HYPERLINK("https%3A%2F%2Fwww.webofscience.com%2Fwos%2Fwoscc%2Ffull-record%2FWOS:000397497700004","View Full Record in Web of Science")</f>
        <v>View Full Record in Web of Science</v>
      </c>
    </row>
    <row r="586" spans="1:72" x14ac:dyDescent="0.15">
      <c r="A586" t="s">
        <v>72</v>
      </c>
      <c r="B586" t="s">
        <v>11259</v>
      </c>
      <c r="C586" t="s">
        <v>74</v>
      </c>
      <c r="D586" t="s">
        <v>74</v>
      </c>
      <c r="E586" t="s">
        <v>74</v>
      </c>
      <c r="F586" t="s">
        <v>11260</v>
      </c>
      <c r="G586" t="s">
        <v>74</v>
      </c>
      <c r="H586" t="s">
        <v>74</v>
      </c>
      <c r="I586" t="s">
        <v>11261</v>
      </c>
      <c r="J586" t="s">
        <v>10423</v>
      </c>
      <c r="K586" t="s">
        <v>74</v>
      </c>
      <c r="L586" t="s">
        <v>74</v>
      </c>
      <c r="M586" t="s">
        <v>78</v>
      </c>
      <c r="N586" t="s">
        <v>79</v>
      </c>
      <c r="O586" t="s">
        <v>74</v>
      </c>
      <c r="P586" t="s">
        <v>74</v>
      </c>
      <c r="Q586" t="s">
        <v>74</v>
      </c>
      <c r="R586" t="s">
        <v>74</v>
      </c>
      <c r="S586" t="s">
        <v>74</v>
      </c>
      <c r="T586" t="s">
        <v>11262</v>
      </c>
      <c r="U586" t="s">
        <v>11263</v>
      </c>
      <c r="V586" t="s">
        <v>11264</v>
      </c>
      <c r="W586" t="s">
        <v>11265</v>
      </c>
      <c r="X586" t="s">
        <v>11266</v>
      </c>
      <c r="Y586" t="s">
        <v>11248</v>
      </c>
      <c r="Z586" t="s">
        <v>11249</v>
      </c>
      <c r="AA586" t="s">
        <v>11267</v>
      </c>
      <c r="AB586" t="s">
        <v>11268</v>
      </c>
      <c r="AC586" t="s">
        <v>11269</v>
      </c>
      <c r="AD586" t="s">
        <v>11270</v>
      </c>
      <c r="AE586" t="s">
        <v>11271</v>
      </c>
      <c r="AF586" t="s">
        <v>74</v>
      </c>
      <c r="AG586">
        <v>80</v>
      </c>
      <c r="AH586">
        <v>39</v>
      </c>
      <c r="AI586">
        <v>46</v>
      </c>
      <c r="AJ586">
        <v>1</v>
      </c>
      <c r="AK586">
        <v>48</v>
      </c>
      <c r="AL586" t="s">
        <v>681</v>
      </c>
      <c r="AM586" t="s">
        <v>682</v>
      </c>
      <c r="AN586" t="s">
        <v>683</v>
      </c>
      <c r="AO586" t="s">
        <v>10435</v>
      </c>
      <c r="AP586" t="s">
        <v>10436</v>
      </c>
      <c r="AQ586" t="s">
        <v>74</v>
      </c>
      <c r="AR586" t="s">
        <v>10437</v>
      </c>
      <c r="AS586" t="s">
        <v>10438</v>
      </c>
      <c r="AT586" t="s">
        <v>11255</v>
      </c>
      <c r="AU586">
        <v>2017</v>
      </c>
      <c r="AV586">
        <v>37</v>
      </c>
      <c r="AW586">
        <v>4</v>
      </c>
      <c r="AX586" t="s">
        <v>74</v>
      </c>
      <c r="AY586" t="s">
        <v>74</v>
      </c>
      <c r="AZ586" t="s">
        <v>74</v>
      </c>
      <c r="BA586" t="s">
        <v>74</v>
      </c>
      <c r="BB586">
        <v>1680</v>
      </c>
      <c r="BC586">
        <v>1698</v>
      </c>
      <c r="BD586" t="s">
        <v>74</v>
      </c>
      <c r="BE586" t="s">
        <v>11272</v>
      </c>
      <c r="BF586" t="str">
        <f>HYPERLINK("http://dx.doi.org/10.1002/joc.4804","http://dx.doi.org/10.1002/joc.4804")</f>
        <v>http://dx.doi.org/10.1002/joc.4804</v>
      </c>
      <c r="BG586" t="s">
        <v>74</v>
      </c>
      <c r="BH586" t="s">
        <v>74</v>
      </c>
      <c r="BI586">
        <v>19</v>
      </c>
      <c r="BJ586" t="s">
        <v>1261</v>
      </c>
      <c r="BK586" t="s">
        <v>103</v>
      </c>
      <c r="BL586" t="s">
        <v>1261</v>
      </c>
      <c r="BM586" t="s">
        <v>11257</v>
      </c>
      <c r="BN586" t="s">
        <v>74</v>
      </c>
      <c r="BO586" t="s">
        <v>74</v>
      </c>
      <c r="BP586" t="s">
        <v>74</v>
      </c>
      <c r="BQ586" t="s">
        <v>74</v>
      </c>
      <c r="BR586" t="s">
        <v>106</v>
      </c>
      <c r="BS586" t="s">
        <v>11273</v>
      </c>
      <c r="BT586" t="str">
        <f>HYPERLINK("https%3A%2F%2Fwww.webofscience.com%2Fwos%2Fwoscc%2Ffull-record%2FWOS:000397497700003","View Full Record in Web of Science")</f>
        <v>View Full Record in Web of Science</v>
      </c>
    </row>
    <row r="587" spans="1:72" x14ac:dyDescent="0.15">
      <c r="A587" t="s">
        <v>72</v>
      </c>
      <c r="B587" t="s">
        <v>11274</v>
      </c>
      <c r="C587" t="s">
        <v>74</v>
      </c>
      <c r="D587" t="s">
        <v>74</v>
      </c>
      <c r="E587" t="s">
        <v>74</v>
      </c>
      <c r="F587" t="s">
        <v>11275</v>
      </c>
      <c r="G587" t="s">
        <v>74</v>
      </c>
      <c r="H587" t="s">
        <v>74</v>
      </c>
      <c r="I587" t="s">
        <v>11276</v>
      </c>
      <c r="J587" t="s">
        <v>11277</v>
      </c>
      <c r="K587" t="s">
        <v>74</v>
      </c>
      <c r="L587" t="s">
        <v>74</v>
      </c>
      <c r="M587" t="s">
        <v>78</v>
      </c>
      <c r="N587" t="s">
        <v>79</v>
      </c>
      <c r="O587" t="s">
        <v>74</v>
      </c>
      <c r="P587" t="s">
        <v>74</v>
      </c>
      <c r="Q587" t="s">
        <v>74</v>
      </c>
      <c r="R587" t="s">
        <v>74</v>
      </c>
      <c r="S587" t="s">
        <v>74</v>
      </c>
      <c r="T587" t="s">
        <v>11278</v>
      </c>
      <c r="U587" t="s">
        <v>11279</v>
      </c>
      <c r="V587" t="s">
        <v>11280</v>
      </c>
      <c r="W587" t="s">
        <v>11281</v>
      </c>
      <c r="X587" t="s">
        <v>309</v>
      </c>
      <c r="Y587" t="s">
        <v>11282</v>
      </c>
      <c r="Z587" t="s">
        <v>11283</v>
      </c>
      <c r="AA587" t="s">
        <v>11284</v>
      </c>
      <c r="AB587" t="s">
        <v>11285</v>
      </c>
      <c r="AC587" t="s">
        <v>11286</v>
      </c>
      <c r="AD587" t="s">
        <v>11286</v>
      </c>
      <c r="AE587" t="s">
        <v>11287</v>
      </c>
      <c r="AF587" t="s">
        <v>74</v>
      </c>
      <c r="AG587">
        <v>52</v>
      </c>
      <c r="AH587">
        <v>4</v>
      </c>
      <c r="AI587">
        <v>4</v>
      </c>
      <c r="AJ587">
        <v>1</v>
      </c>
      <c r="AK587">
        <v>12</v>
      </c>
      <c r="AL587" t="s">
        <v>3510</v>
      </c>
      <c r="AM587" t="s">
        <v>3511</v>
      </c>
      <c r="AN587" t="s">
        <v>7561</v>
      </c>
      <c r="AO587" t="s">
        <v>11288</v>
      </c>
      <c r="AP587" t="s">
        <v>74</v>
      </c>
      <c r="AQ587" t="s">
        <v>74</v>
      </c>
      <c r="AR587" t="s">
        <v>11289</v>
      </c>
      <c r="AS587" t="s">
        <v>11290</v>
      </c>
      <c r="AT587" t="s">
        <v>11291</v>
      </c>
      <c r="AU587">
        <v>2017</v>
      </c>
      <c r="AV587">
        <v>8</v>
      </c>
      <c r="AW587" t="s">
        <v>74</v>
      </c>
      <c r="AX587" t="s">
        <v>74</v>
      </c>
      <c r="AY587" t="s">
        <v>74</v>
      </c>
      <c r="AZ587" t="s">
        <v>74</v>
      </c>
      <c r="BA587" t="s">
        <v>74</v>
      </c>
      <c r="BB587" t="s">
        <v>74</v>
      </c>
      <c r="BC587" t="s">
        <v>74</v>
      </c>
      <c r="BD587">
        <v>187</v>
      </c>
      <c r="BE587" t="s">
        <v>11292</v>
      </c>
      <c r="BF587" t="str">
        <f>HYPERLINK("http://dx.doi.org/10.3389/fphys.2017.00187","http://dx.doi.org/10.3389/fphys.2017.00187")</f>
        <v>http://dx.doi.org/10.3389/fphys.2017.00187</v>
      </c>
      <c r="BG587" t="s">
        <v>74</v>
      </c>
      <c r="BH587" t="s">
        <v>74</v>
      </c>
      <c r="BI587">
        <v>11</v>
      </c>
      <c r="BJ587" t="s">
        <v>11293</v>
      </c>
      <c r="BK587" t="s">
        <v>103</v>
      </c>
      <c r="BL587" t="s">
        <v>11293</v>
      </c>
      <c r="BM587" t="s">
        <v>11294</v>
      </c>
      <c r="BN587">
        <v>28424628</v>
      </c>
      <c r="BO587" t="s">
        <v>5384</v>
      </c>
      <c r="BP587" t="s">
        <v>74</v>
      </c>
      <c r="BQ587" t="s">
        <v>74</v>
      </c>
      <c r="BR587" t="s">
        <v>106</v>
      </c>
      <c r="BS587" t="s">
        <v>11295</v>
      </c>
      <c r="BT587" t="str">
        <f>HYPERLINK("https%3A%2F%2Fwww.webofscience.com%2Fwos%2Fwoscc%2Ffull-record%2FWOS:000397569400001","View Full Record in Web of Science")</f>
        <v>View Full Record in Web of Science</v>
      </c>
    </row>
    <row r="588" spans="1:72" x14ac:dyDescent="0.15">
      <c r="A588" t="s">
        <v>72</v>
      </c>
      <c r="B588" t="s">
        <v>11296</v>
      </c>
      <c r="C588" t="s">
        <v>74</v>
      </c>
      <c r="D588" t="s">
        <v>74</v>
      </c>
      <c r="E588" t="s">
        <v>74</v>
      </c>
      <c r="F588" t="s">
        <v>11297</v>
      </c>
      <c r="G588" t="s">
        <v>74</v>
      </c>
      <c r="H588" t="s">
        <v>74</v>
      </c>
      <c r="I588" t="s">
        <v>11298</v>
      </c>
      <c r="J588" t="s">
        <v>11299</v>
      </c>
      <c r="K588" t="s">
        <v>74</v>
      </c>
      <c r="L588" t="s">
        <v>74</v>
      </c>
      <c r="M588" t="s">
        <v>78</v>
      </c>
      <c r="N588" t="s">
        <v>79</v>
      </c>
      <c r="O588" t="s">
        <v>74</v>
      </c>
      <c r="P588" t="s">
        <v>74</v>
      </c>
      <c r="Q588" t="s">
        <v>74</v>
      </c>
      <c r="R588" t="s">
        <v>74</v>
      </c>
      <c r="S588" t="s">
        <v>74</v>
      </c>
      <c r="T588" t="s">
        <v>74</v>
      </c>
      <c r="U588" t="s">
        <v>11300</v>
      </c>
      <c r="V588" t="s">
        <v>11301</v>
      </c>
      <c r="W588" t="s">
        <v>11302</v>
      </c>
      <c r="X588" t="s">
        <v>11303</v>
      </c>
      <c r="Y588" t="s">
        <v>11304</v>
      </c>
      <c r="Z588" t="s">
        <v>11305</v>
      </c>
      <c r="AA588" t="s">
        <v>11306</v>
      </c>
      <c r="AB588" t="s">
        <v>11307</v>
      </c>
      <c r="AC588" t="s">
        <v>11308</v>
      </c>
      <c r="AD588" t="s">
        <v>11309</v>
      </c>
      <c r="AE588" t="s">
        <v>11310</v>
      </c>
      <c r="AF588" t="s">
        <v>74</v>
      </c>
      <c r="AG588">
        <v>152</v>
      </c>
      <c r="AH588">
        <v>41</v>
      </c>
      <c r="AI588">
        <v>41</v>
      </c>
      <c r="AJ588">
        <v>0</v>
      </c>
      <c r="AK588">
        <v>14</v>
      </c>
      <c r="AL588" t="s">
        <v>11311</v>
      </c>
      <c r="AM588" t="s">
        <v>11312</v>
      </c>
      <c r="AN588" t="s">
        <v>11313</v>
      </c>
      <c r="AO588" t="s">
        <v>11314</v>
      </c>
      <c r="AP588" t="s">
        <v>74</v>
      </c>
      <c r="AQ588" t="s">
        <v>74</v>
      </c>
      <c r="AR588" t="s">
        <v>11315</v>
      </c>
      <c r="AS588" t="s">
        <v>11316</v>
      </c>
      <c r="AT588" t="s">
        <v>11291</v>
      </c>
      <c r="AU588">
        <v>2017</v>
      </c>
      <c r="AV588">
        <v>5</v>
      </c>
      <c r="AW588" t="s">
        <v>74</v>
      </c>
      <c r="AX588" t="s">
        <v>74</v>
      </c>
      <c r="AY588" t="s">
        <v>74</v>
      </c>
      <c r="AZ588" t="s">
        <v>74</v>
      </c>
      <c r="BA588" t="s">
        <v>74</v>
      </c>
      <c r="BB588" t="s">
        <v>74</v>
      </c>
      <c r="BC588" t="s">
        <v>74</v>
      </c>
      <c r="BD588">
        <v>13</v>
      </c>
      <c r="BE588" t="s">
        <v>11317</v>
      </c>
      <c r="BF588" t="str">
        <f>HYPERLINK("http://dx.doi.org/10.1525/elementa.217","http://dx.doi.org/10.1525/elementa.217")</f>
        <v>http://dx.doi.org/10.1525/elementa.217</v>
      </c>
      <c r="BG588" t="s">
        <v>74</v>
      </c>
      <c r="BH588" t="s">
        <v>74</v>
      </c>
      <c r="BI588">
        <v>24</v>
      </c>
      <c r="BJ588" t="s">
        <v>3614</v>
      </c>
      <c r="BK588" t="s">
        <v>103</v>
      </c>
      <c r="BL588" t="s">
        <v>3615</v>
      </c>
      <c r="BM588" t="s">
        <v>11318</v>
      </c>
      <c r="BN588" t="s">
        <v>74</v>
      </c>
      <c r="BO588" t="s">
        <v>10742</v>
      </c>
      <c r="BP588" t="s">
        <v>74</v>
      </c>
      <c r="BQ588" t="s">
        <v>74</v>
      </c>
      <c r="BR588" t="s">
        <v>106</v>
      </c>
      <c r="BS588" t="s">
        <v>11319</v>
      </c>
      <c r="BT588" t="str">
        <f>HYPERLINK("https%3A%2F%2Fwww.webofscience.com%2Fwos%2Fwoscc%2Ffull-record%2FWOS:000397959000001","View Full Record in Web of Science")</f>
        <v>View Full Record in Web of Science</v>
      </c>
    </row>
    <row r="589" spans="1:72" x14ac:dyDescent="0.15">
      <c r="A589" t="s">
        <v>72</v>
      </c>
      <c r="B589" t="s">
        <v>11320</v>
      </c>
      <c r="C589" t="s">
        <v>74</v>
      </c>
      <c r="D589" t="s">
        <v>74</v>
      </c>
      <c r="E589" t="s">
        <v>74</v>
      </c>
      <c r="F589" t="s">
        <v>11321</v>
      </c>
      <c r="G589" t="s">
        <v>74</v>
      </c>
      <c r="H589" t="s">
        <v>74</v>
      </c>
      <c r="I589" t="s">
        <v>11322</v>
      </c>
      <c r="J589" t="s">
        <v>3849</v>
      </c>
      <c r="K589" t="s">
        <v>74</v>
      </c>
      <c r="L589" t="s">
        <v>74</v>
      </c>
      <c r="M589" t="s">
        <v>78</v>
      </c>
      <c r="N589" t="s">
        <v>79</v>
      </c>
      <c r="O589" t="s">
        <v>74</v>
      </c>
      <c r="P589" t="s">
        <v>74</v>
      </c>
      <c r="Q589" t="s">
        <v>74</v>
      </c>
      <c r="R589" t="s">
        <v>74</v>
      </c>
      <c r="S589" t="s">
        <v>74</v>
      </c>
      <c r="T589" t="s">
        <v>74</v>
      </c>
      <c r="U589" t="s">
        <v>11323</v>
      </c>
      <c r="V589" t="s">
        <v>11324</v>
      </c>
      <c r="W589" t="s">
        <v>11325</v>
      </c>
      <c r="X589" t="s">
        <v>11326</v>
      </c>
      <c r="Y589" t="s">
        <v>11327</v>
      </c>
      <c r="Z589" t="s">
        <v>11328</v>
      </c>
      <c r="AA589" t="s">
        <v>11329</v>
      </c>
      <c r="AB589" t="s">
        <v>11330</v>
      </c>
      <c r="AC589" t="s">
        <v>11331</v>
      </c>
      <c r="AD589" t="s">
        <v>11332</v>
      </c>
      <c r="AE589" t="s">
        <v>11333</v>
      </c>
      <c r="AF589" t="s">
        <v>74</v>
      </c>
      <c r="AG589">
        <v>76</v>
      </c>
      <c r="AH589">
        <v>8</v>
      </c>
      <c r="AI589">
        <v>10</v>
      </c>
      <c r="AJ589">
        <v>0</v>
      </c>
      <c r="AK589">
        <v>19</v>
      </c>
      <c r="AL589" t="s">
        <v>3861</v>
      </c>
      <c r="AM589" t="s">
        <v>3862</v>
      </c>
      <c r="AN589" t="s">
        <v>3863</v>
      </c>
      <c r="AO589" t="s">
        <v>3864</v>
      </c>
      <c r="AP589" t="s">
        <v>74</v>
      </c>
      <c r="AQ589" t="s">
        <v>74</v>
      </c>
      <c r="AR589" t="s">
        <v>3849</v>
      </c>
      <c r="AS589" t="s">
        <v>3865</v>
      </c>
      <c r="AT589" t="s">
        <v>11291</v>
      </c>
      <c r="AU589">
        <v>2017</v>
      </c>
      <c r="AV589">
        <v>12</v>
      </c>
      <c r="AW589">
        <v>3</v>
      </c>
      <c r="AX589" t="s">
        <v>74</v>
      </c>
      <c r="AY589" t="s">
        <v>74</v>
      </c>
      <c r="AZ589" t="s">
        <v>74</v>
      </c>
      <c r="BA589" t="s">
        <v>74</v>
      </c>
      <c r="BB589" t="s">
        <v>74</v>
      </c>
      <c r="BC589" t="s">
        <v>74</v>
      </c>
      <c r="BD589" t="s">
        <v>11334</v>
      </c>
      <c r="BE589" t="s">
        <v>11335</v>
      </c>
      <c r="BF589" t="str">
        <f>HYPERLINK("http://dx.doi.org/10.1371/journal.pone.0173797","http://dx.doi.org/10.1371/journal.pone.0173797")</f>
        <v>http://dx.doi.org/10.1371/journal.pone.0173797</v>
      </c>
      <c r="BG589" t="s">
        <v>74</v>
      </c>
      <c r="BH589" t="s">
        <v>74</v>
      </c>
      <c r="BI589">
        <v>24</v>
      </c>
      <c r="BJ589" t="s">
        <v>1617</v>
      </c>
      <c r="BK589" t="s">
        <v>103</v>
      </c>
      <c r="BL589" t="s">
        <v>1618</v>
      </c>
      <c r="BM589" t="s">
        <v>11336</v>
      </c>
      <c r="BN589">
        <v>28355282</v>
      </c>
      <c r="BO589" t="s">
        <v>4360</v>
      </c>
      <c r="BP589" t="s">
        <v>74</v>
      </c>
      <c r="BQ589" t="s">
        <v>74</v>
      </c>
      <c r="BR589" t="s">
        <v>106</v>
      </c>
      <c r="BS589" t="s">
        <v>11337</v>
      </c>
      <c r="BT589" t="str">
        <f>HYPERLINK("https%3A%2F%2Fwww.webofscience.com%2Fwos%2Fwoscc%2Ffull-record%2FWOS:000399174600026","View Full Record in Web of Science")</f>
        <v>View Full Record in Web of Science</v>
      </c>
    </row>
    <row r="590" spans="1:72" x14ac:dyDescent="0.15">
      <c r="A590" t="s">
        <v>72</v>
      </c>
      <c r="B590" t="s">
        <v>11338</v>
      </c>
      <c r="C590" t="s">
        <v>74</v>
      </c>
      <c r="D590" t="s">
        <v>74</v>
      </c>
      <c r="E590" t="s">
        <v>74</v>
      </c>
      <c r="F590" t="s">
        <v>11339</v>
      </c>
      <c r="G590" t="s">
        <v>74</v>
      </c>
      <c r="H590" t="s">
        <v>74</v>
      </c>
      <c r="I590" t="s">
        <v>11340</v>
      </c>
      <c r="J590" t="s">
        <v>8103</v>
      </c>
      <c r="K590" t="s">
        <v>74</v>
      </c>
      <c r="L590" t="s">
        <v>74</v>
      </c>
      <c r="M590" t="s">
        <v>78</v>
      </c>
      <c r="N590" t="s">
        <v>79</v>
      </c>
      <c r="O590" t="s">
        <v>74</v>
      </c>
      <c r="P590" t="s">
        <v>74</v>
      </c>
      <c r="Q590" t="s">
        <v>74</v>
      </c>
      <c r="R590" t="s">
        <v>74</v>
      </c>
      <c r="S590" t="s">
        <v>74</v>
      </c>
      <c r="T590" t="s">
        <v>11341</v>
      </c>
      <c r="U590" t="s">
        <v>11342</v>
      </c>
      <c r="V590" t="s">
        <v>11343</v>
      </c>
      <c r="W590" t="s">
        <v>11344</v>
      </c>
      <c r="X590" t="s">
        <v>11345</v>
      </c>
      <c r="Y590" t="s">
        <v>11346</v>
      </c>
      <c r="Z590" t="s">
        <v>11347</v>
      </c>
      <c r="AA590" t="s">
        <v>11348</v>
      </c>
      <c r="AB590" t="s">
        <v>11349</v>
      </c>
      <c r="AC590" t="s">
        <v>11350</v>
      </c>
      <c r="AD590" t="s">
        <v>11351</v>
      </c>
      <c r="AE590" t="s">
        <v>11352</v>
      </c>
      <c r="AF590" t="s">
        <v>74</v>
      </c>
      <c r="AG590">
        <v>47</v>
      </c>
      <c r="AH590">
        <v>48</v>
      </c>
      <c r="AI590">
        <v>52</v>
      </c>
      <c r="AJ590">
        <v>2</v>
      </c>
      <c r="AK590">
        <v>54</v>
      </c>
      <c r="AL590" t="s">
        <v>8116</v>
      </c>
      <c r="AM590" t="s">
        <v>223</v>
      </c>
      <c r="AN590" t="s">
        <v>8117</v>
      </c>
      <c r="AO590" t="s">
        <v>8118</v>
      </c>
      <c r="AP590" t="s">
        <v>11353</v>
      </c>
      <c r="AQ590" t="s">
        <v>74</v>
      </c>
      <c r="AR590" t="s">
        <v>8119</v>
      </c>
      <c r="AS590" t="s">
        <v>8120</v>
      </c>
      <c r="AT590" t="s">
        <v>11354</v>
      </c>
      <c r="AU590">
        <v>2017</v>
      </c>
      <c r="AV590">
        <v>114</v>
      </c>
      <c r="AW590">
        <v>13</v>
      </c>
      <c r="AX590" t="s">
        <v>74</v>
      </c>
      <c r="AY590" t="s">
        <v>74</v>
      </c>
      <c r="AZ590" t="s">
        <v>74</v>
      </c>
      <c r="BA590" t="s">
        <v>74</v>
      </c>
      <c r="BB590">
        <v>3352</v>
      </c>
      <c r="BC590">
        <v>3357</v>
      </c>
      <c r="BD590" t="s">
        <v>74</v>
      </c>
      <c r="BE590" t="s">
        <v>11355</v>
      </c>
      <c r="BF590" t="str">
        <f>HYPERLINK("http://dx.doi.org/10.1073/pnas.1615718114","http://dx.doi.org/10.1073/pnas.1615718114")</f>
        <v>http://dx.doi.org/10.1073/pnas.1615718114</v>
      </c>
      <c r="BG590" t="s">
        <v>74</v>
      </c>
      <c r="BH590" t="s">
        <v>74</v>
      </c>
      <c r="BI590">
        <v>6</v>
      </c>
      <c r="BJ590" t="s">
        <v>1617</v>
      </c>
      <c r="BK590" t="s">
        <v>103</v>
      </c>
      <c r="BL590" t="s">
        <v>1618</v>
      </c>
      <c r="BM590" t="s">
        <v>11356</v>
      </c>
      <c r="BN590">
        <v>28298529</v>
      </c>
      <c r="BO590" t="s">
        <v>11357</v>
      </c>
      <c r="BP590" t="s">
        <v>74</v>
      </c>
      <c r="BQ590" t="s">
        <v>74</v>
      </c>
      <c r="BR590" t="s">
        <v>106</v>
      </c>
      <c r="BS590" t="s">
        <v>11358</v>
      </c>
      <c r="BT590" t="str">
        <f>HYPERLINK("https%3A%2F%2Fwww.webofscience.com%2Fwos%2Fwoscc%2Ffull-record%2FWOS:000397607300052","View Full Record in Web of Science")</f>
        <v>View Full Record in Web of Science</v>
      </c>
    </row>
    <row r="591" spans="1:72" x14ac:dyDescent="0.15">
      <c r="A591" t="s">
        <v>72</v>
      </c>
      <c r="B591" t="s">
        <v>11359</v>
      </c>
      <c r="C591" t="s">
        <v>74</v>
      </c>
      <c r="D591" t="s">
        <v>74</v>
      </c>
      <c r="E591" t="s">
        <v>74</v>
      </c>
      <c r="F591" t="s">
        <v>11360</v>
      </c>
      <c r="G591" t="s">
        <v>74</v>
      </c>
      <c r="H591" t="s">
        <v>74</v>
      </c>
      <c r="I591" t="s">
        <v>11361</v>
      </c>
      <c r="J591" t="s">
        <v>3661</v>
      </c>
      <c r="K591" t="s">
        <v>74</v>
      </c>
      <c r="L591" t="s">
        <v>74</v>
      </c>
      <c r="M591" t="s">
        <v>78</v>
      </c>
      <c r="N591" t="s">
        <v>79</v>
      </c>
      <c r="O591" t="s">
        <v>74</v>
      </c>
      <c r="P591" t="s">
        <v>74</v>
      </c>
      <c r="Q591" t="s">
        <v>74</v>
      </c>
      <c r="R591" t="s">
        <v>74</v>
      </c>
      <c r="S591" t="s">
        <v>74</v>
      </c>
      <c r="T591" t="s">
        <v>74</v>
      </c>
      <c r="U591" t="s">
        <v>11362</v>
      </c>
      <c r="V591" t="s">
        <v>11363</v>
      </c>
      <c r="W591" t="s">
        <v>11364</v>
      </c>
      <c r="X591" t="s">
        <v>11365</v>
      </c>
      <c r="Y591" t="s">
        <v>11366</v>
      </c>
      <c r="Z591" t="s">
        <v>11367</v>
      </c>
      <c r="AA591" t="s">
        <v>11368</v>
      </c>
      <c r="AB591" t="s">
        <v>11369</v>
      </c>
      <c r="AC591" t="s">
        <v>11370</v>
      </c>
      <c r="AD591" t="s">
        <v>11371</v>
      </c>
      <c r="AE591" t="s">
        <v>11372</v>
      </c>
      <c r="AF591" t="s">
        <v>74</v>
      </c>
      <c r="AG591">
        <v>44</v>
      </c>
      <c r="AH591">
        <v>56</v>
      </c>
      <c r="AI591">
        <v>56</v>
      </c>
      <c r="AJ591">
        <v>1</v>
      </c>
      <c r="AK591">
        <v>28</v>
      </c>
      <c r="AL591" t="s">
        <v>3671</v>
      </c>
      <c r="AM591" t="s">
        <v>3672</v>
      </c>
      <c r="AN591" t="s">
        <v>3673</v>
      </c>
      <c r="AO591" t="s">
        <v>3674</v>
      </c>
      <c r="AP591" t="s">
        <v>74</v>
      </c>
      <c r="AQ591" t="s">
        <v>74</v>
      </c>
      <c r="AR591" t="s">
        <v>3675</v>
      </c>
      <c r="AS591" t="s">
        <v>3676</v>
      </c>
      <c r="AT591" t="s">
        <v>11354</v>
      </c>
      <c r="AU591">
        <v>2017</v>
      </c>
      <c r="AV591">
        <v>7</v>
      </c>
      <c r="AW591" t="s">
        <v>74</v>
      </c>
      <c r="AX591" t="s">
        <v>74</v>
      </c>
      <c r="AY591" t="s">
        <v>74</v>
      </c>
      <c r="AZ591" t="s">
        <v>74</v>
      </c>
      <c r="BA591" t="s">
        <v>74</v>
      </c>
      <c r="BB591" t="s">
        <v>74</v>
      </c>
      <c r="BC591" t="s">
        <v>74</v>
      </c>
      <c r="BD591">
        <v>45257</v>
      </c>
      <c r="BE591" t="s">
        <v>11373</v>
      </c>
      <c r="BF591" t="str">
        <f>HYPERLINK("http://dx.doi.org/10.1038/srep45257","http://dx.doi.org/10.1038/srep45257")</f>
        <v>http://dx.doi.org/10.1038/srep45257</v>
      </c>
      <c r="BG591" t="s">
        <v>74</v>
      </c>
      <c r="BH591" t="s">
        <v>74</v>
      </c>
      <c r="BI591">
        <v>9</v>
      </c>
      <c r="BJ591" t="s">
        <v>1617</v>
      </c>
      <c r="BK591" t="s">
        <v>103</v>
      </c>
      <c r="BL591" t="s">
        <v>1618</v>
      </c>
      <c r="BM591" t="s">
        <v>11374</v>
      </c>
      <c r="BN591">
        <v>28349934</v>
      </c>
      <c r="BO591" t="s">
        <v>11375</v>
      </c>
      <c r="BP591" t="s">
        <v>74</v>
      </c>
      <c r="BQ591" t="s">
        <v>74</v>
      </c>
      <c r="BR591" t="s">
        <v>106</v>
      </c>
      <c r="BS591" t="s">
        <v>11376</v>
      </c>
      <c r="BT591" t="str">
        <f>HYPERLINK("https%3A%2F%2Fwww.webofscience.com%2Fwos%2Fwoscc%2Ffull-record%2FWOS:000397535200001","View Full Record in Web of Science")</f>
        <v>View Full Record in Web of Science</v>
      </c>
    </row>
    <row r="592" spans="1:72" x14ac:dyDescent="0.15">
      <c r="A592" t="s">
        <v>72</v>
      </c>
      <c r="B592" t="s">
        <v>11377</v>
      </c>
      <c r="C592" t="s">
        <v>74</v>
      </c>
      <c r="D592" t="s">
        <v>74</v>
      </c>
      <c r="E592" t="s">
        <v>74</v>
      </c>
      <c r="F592" t="s">
        <v>11378</v>
      </c>
      <c r="G592" t="s">
        <v>74</v>
      </c>
      <c r="H592" t="s">
        <v>74</v>
      </c>
      <c r="I592" t="s">
        <v>11379</v>
      </c>
      <c r="J592" t="s">
        <v>11380</v>
      </c>
      <c r="K592" t="s">
        <v>74</v>
      </c>
      <c r="L592" t="s">
        <v>74</v>
      </c>
      <c r="M592" t="s">
        <v>78</v>
      </c>
      <c r="N592" t="s">
        <v>79</v>
      </c>
      <c r="O592" t="s">
        <v>74</v>
      </c>
      <c r="P592" t="s">
        <v>74</v>
      </c>
      <c r="Q592" t="s">
        <v>74</v>
      </c>
      <c r="R592" t="s">
        <v>74</v>
      </c>
      <c r="S592" t="s">
        <v>74</v>
      </c>
      <c r="T592" t="s">
        <v>11381</v>
      </c>
      <c r="U592" t="s">
        <v>11382</v>
      </c>
      <c r="V592" t="s">
        <v>11383</v>
      </c>
      <c r="W592" t="s">
        <v>11384</v>
      </c>
      <c r="X592" t="s">
        <v>11385</v>
      </c>
      <c r="Y592" t="s">
        <v>11386</v>
      </c>
      <c r="Z592" t="s">
        <v>11387</v>
      </c>
      <c r="AA592" t="s">
        <v>11388</v>
      </c>
      <c r="AB592" t="s">
        <v>11389</v>
      </c>
      <c r="AC592" t="s">
        <v>11390</v>
      </c>
      <c r="AD592" t="s">
        <v>11391</v>
      </c>
      <c r="AE592" t="s">
        <v>11392</v>
      </c>
      <c r="AF592" t="s">
        <v>74</v>
      </c>
      <c r="AG592">
        <v>56</v>
      </c>
      <c r="AH592">
        <v>84</v>
      </c>
      <c r="AI592">
        <v>92</v>
      </c>
      <c r="AJ592">
        <v>4</v>
      </c>
      <c r="AK592">
        <v>57</v>
      </c>
      <c r="AL592" t="s">
        <v>3585</v>
      </c>
      <c r="AM592" t="s">
        <v>403</v>
      </c>
      <c r="AN592" t="s">
        <v>3586</v>
      </c>
      <c r="AO592" t="s">
        <v>11393</v>
      </c>
      <c r="AP592" t="s">
        <v>74</v>
      </c>
      <c r="AQ592" t="s">
        <v>74</v>
      </c>
      <c r="AR592" t="s">
        <v>11394</v>
      </c>
      <c r="AS592" t="s">
        <v>11395</v>
      </c>
      <c r="AT592" t="s">
        <v>11396</v>
      </c>
      <c r="AU592">
        <v>2017</v>
      </c>
      <c r="AV592">
        <v>5</v>
      </c>
      <c r="AW592" t="s">
        <v>74</v>
      </c>
      <c r="AX592" t="s">
        <v>74</v>
      </c>
      <c r="AY592" t="s">
        <v>74</v>
      </c>
      <c r="AZ592" t="s">
        <v>74</v>
      </c>
      <c r="BA592" t="s">
        <v>74</v>
      </c>
      <c r="BB592" t="s">
        <v>74</v>
      </c>
      <c r="BC592" t="s">
        <v>74</v>
      </c>
      <c r="BD592">
        <v>6</v>
      </c>
      <c r="BE592" t="s">
        <v>11397</v>
      </c>
      <c r="BF592" t="str">
        <f>HYPERLINK("http://dx.doi.org/10.1186/s40462-017-0097-x","http://dx.doi.org/10.1186/s40462-017-0097-x")</f>
        <v>http://dx.doi.org/10.1186/s40462-017-0097-x</v>
      </c>
      <c r="BG592" t="s">
        <v>74</v>
      </c>
      <c r="BH592" t="s">
        <v>74</v>
      </c>
      <c r="BI592">
        <v>14</v>
      </c>
      <c r="BJ592" t="s">
        <v>992</v>
      </c>
      <c r="BK592" t="s">
        <v>103</v>
      </c>
      <c r="BL592" t="s">
        <v>993</v>
      </c>
      <c r="BM592" t="s">
        <v>11398</v>
      </c>
      <c r="BN592">
        <v>28357113</v>
      </c>
      <c r="BO592" t="s">
        <v>2009</v>
      </c>
      <c r="BP592" t="s">
        <v>74</v>
      </c>
      <c r="BQ592" t="s">
        <v>74</v>
      </c>
      <c r="BR592" t="s">
        <v>106</v>
      </c>
      <c r="BS592" t="s">
        <v>11399</v>
      </c>
      <c r="BT592" t="str">
        <f>HYPERLINK("https%3A%2F%2Fwww.webofscience.com%2Fwos%2Fwoscc%2Ffull-record%2FWOS:000397817700001","View Full Record in Web of Science")</f>
        <v>View Full Record in Web of Science</v>
      </c>
    </row>
    <row r="593" spans="1:72" x14ac:dyDescent="0.15">
      <c r="A593" t="s">
        <v>72</v>
      </c>
      <c r="B593" t="s">
        <v>11400</v>
      </c>
      <c r="C593" t="s">
        <v>74</v>
      </c>
      <c r="D593" t="s">
        <v>74</v>
      </c>
      <c r="E593" t="s">
        <v>74</v>
      </c>
      <c r="F593" t="s">
        <v>11401</v>
      </c>
      <c r="G593" t="s">
        <v>74</v>
      </c>
      <c r="H593" t="s">
        <v>74</v>
      </c>
      <c r="I593" t="s">
        <v>11402</v>
      </c>
      <c r="J593" t="s">
        <v>11403</v>
      </c>
      <c r="K593" t="s">
        <v>74</v>
      </c>
      <c r="L593" t="s">
        <v>74</v>
      </c>
      <c r="M593" t="s">
        <v>78</v>
      </c>
      <c r="N593" t="s">
        <v>11404</v>
      </c>
      <c r="O593" t="s">
        <v>74</v>
      </c>
      <c r="P593" t="s">
        <v>74</v>
      </c>
      <c r="Q593" t="s">
        <v>74</v>
      </c>
      <c r="R593" t="s">
        <v>74</v>
      </c>
      <c r="S593" t="s">
        <v>74</v>
      </c>
      <c r="T593" t="s">
        <v>74</v>
      </c>
      <c r="U593" t="s">
        <v>11405</v>
      </c>
      <c r="V593" t="s">
        <v>74</v>
      </c>
      <c r="W593" t="s">
        <v>11406</v>
      </c>
      <c r="X593" t="s">
        <v>11407</v>
      </c>
      <c r="Y593" t="s">
        <v>11408</v>
      </c>
      <c r="Z593" t="s">
        <v>11409</v>
      </c>
      <c r="AA593" t="s">
        <v>11410</v>
      </c>
      <c r="AB593" t="s">
        <v>11411</v>
      </c>
      <c r="AC593" t="s">
        <v>74</v>
      </c>
      <c r="AD593" t="s">
        <v>74</v>
      </c>
      <c r="AE593" t="s">
        <v>74</v>
      </c>
      <c r="AF593" t="s">
        <v>74</v>
      </c>
      <c r="AG593">
        <v>4</v>
      </c>
      <c r="AH593">
        <v>0</v>
      </c>
      <c r="AI593">
        <v>0</v>
      </c>
      <c r="AJ593">
        <v>0</v>
      </c>
      <c r="AK593">
        <v>0</v>
      </c>
      <c r="AL593" t="s">
        <v>5879</v>
      </c>
      <c r="AM593" t="s">
        <v>430</v>
      </c>
      <c r="AN593" t="s">
        <v>5880</v>
      </c>
      <c r="AO593" t="s">
        <v>11412</v>
      </c>
      <c r="AP593" t="s">
        <v>11413</v>
      </c>
      <c r="AQ593" t="s">
        <v>74</v>
      </c>
      <c r="AR593" t="s">
        <v>11403</v>
      </c>
      <c r="AS593" t="s">
        <v>11414</v>
      </c>
      <c r="AT593" t="s">
        <v>11415</v>
      </c>
      <c r="AU593">
        <v>2017</v>
      </c>
      <c r="AV593">
        <v>389</v>
      </c>
      <c r="AW593">
        <v>10075</v>
      </c>
      <c r="AX593" t="s">
        <v>74</v>
      </c>
      <c r="AY593" t="s">
        <v>74</v>
      </c>
      <c r="AZ593" t="s">
        <v>74</v>
      </c>
      <c r="BA593" t="s">
        <v>74</v>
      </c>
      <c r="BB593">
        <v>1192</v>
      </c>
      <c r="BC593">
        <v>1193</v>
      </c>
      <c r="BD593" t="s">
        <v>74</v>
      </c>
      <c r="BE593" t="s">
        <v>11416</v>
      </c>
      <c r="BF593" t="str">
        <f>HYPERLINK("http://dx.doi.org/10.1016/S0140-6736(17)30779-1","http://dx.doi.org/10.1016/S0140-6736(17)30779-1")</f>
        <v>http://dx.doi.org/10.1016/S0140-6736(17)30779-1</v>
      </c>
      <c r="BG593" t="s">
        <v>74</v>
      </c>
      <c r="BH593" t="s">
        <v>74</v>
      </c>
      <c r="BI593">
        <v>2</v>
      </c>
      <c r="BJ593" t="s">
        <v>11417</v>
      </c>
      <c r="BK593" t="s">
        <v>103</v>
      </c>
      <c r="BL593" t="s">
        <v>11418</v>
      </c>
      <c r="BM593" t="s">
        <v>11419</v>
      </c>
      <c r="BN593">
        <v>28353440</v>
      </c>
      <c r="BO593" t="s">
        <v>412</v>
      </c>
      <c r="BP593" t="s">
        <v>74</v>
      </c>
      <c r="BQ593" t="s">
        <v>74</v>
      </c>
      <c r="BR593" t="s">
        <v>106</v>
      </c>
      <c r="BS593" t="s">
        <v>11420</v>
      </c>
      <c r="BT593" t="str">
        <f>HYPERLINK("https%3A%2F%2Fwww.webofscience.com%2Fwos%2Fwoscc%2Ffull-record%2FWOS:000397143700026","View Full Record in Web of Science")</f>
        <v>View Full Record in Web of Science</v>
      </c>
    </row>
    <row r="594" spans="1:72" x14ac:dyDescent="0.15">
      <c r="A594" t="s">
        <v>72</v>
      </c>
      <c r="B594" t="s">
        <v>11421</v>
      </c>
      <c r="C594" t="s">
        <v>74</v>
      </c>
      <c r="D594" t="s">
        <v>74</v>
      </c>
      <c r="E594" t="s">
        <v>74</v>
      </c>
      <c r="F594" t="s">
        <v>11422</v>
      </c>
      <c r="G594" t="s">
        <v>74</v>
      </c>
      <c r="H594" t="s">
        <v>74</v>
      </c>
      <c r="I594" t="s">
        <v>11402</v>
      </c>
      <c r="J594" t="s">
        <v>11403</v>
      </c>
      <c r="K594" t="s">
        <v>74</v>
      </c>
      <c r="L594" t="s">
        <v>74</v>
      </c>
      <c r="M594" t="s">
        <v>78</v>
      </c>
      <c r="N594" t="s">
        <v>11404</v>
      </c>
      <c r="O594" t="s">
        <v>74</v>
      </c>
      <c r="P594" t="s">
        <v>74</v>
      </c>
      <c r="Q594" t="s">
        <v>74</v>
      </c>
      <c r="R594" t="s">
        <v>74</v>
      </c>
      <c r="S594" t="s">
        <v>74</v>
      </c>
      <c r="T594" t="s">
        <v>74</v>
      </c>
      <c r="U594" t="s">
        <v>11423</v>
      </c>
      <c r="V594" t="s">
        <v>74</v>
      </c>
      <c r="W594" t="s">
        <v>11424</v>
      </c>
      <c r="X594" t="s">
        <v>11425</v>
      </c>
      <c r="Y594" t="s">
        <v>11426</v>
      </c>
      <c r="Z594" t="s">
        <v>11427</v>
      </c>
      <c r="AA594" t="s">
        <v>11428</v>
      </c>
      <c r="AB594" t="s">
        <v>11429</v>
      </c>
      <c r="AC594" t="s">
        <v>74</v>
      </c>
      <c r="AD594" t="s">
        <v>74</v>
      </c>
      <c r="AE594" t="s">
        <v>74</v>
      </c>
      <c r="AF594" t="s">
        <v>74</v>
      </c>
      <c r="AG594">
        <v>3</v>
      </c>
      <c r="AH594">
        <v>2</v>
      </c>
      <c r="AI594">
        <v>2</v>
      </c>
      <c r="AJ594">
        <v>0</v>
      </c>
      <c r="AK594">
        <v>2</v>
      </c>
      <c r="AL594" t="s">
        <v>5879</v>
      </c>
      <c r="AM594" t="s">
        <v>430</v>
      </c>
      <c r="AN594" t="s">
        <v>5880</v>
      </c>
      <c r="AO594" t="s">
        <v>11412</v>
      </c>
      <c r="AP594" t="s">
        <v>11413</v>
      </c>
      <c r="AQ594" t="s">
        <v>74</v>
      </c>
      <c r="AR594" t="s">
        <v>11403</v>
      </c>
      <c r="AS594" t="s">
        <v>11414</v>
      </c>
      <c r="AT594" t="s">
        <v>11415</v>
      </c>
      <c r="AU594">
        <v>2017</v>
      </c>
      <c r="AV594">
        <v>389</v>
      </c>
      <c r="AW594">
        <v>10075</v>
      </c>
      <c r="AX594" t="s">
        <v>74</v>
      </c>
      <c r="AY594" t="s">
        <v>74</v>
      </c>
      <c r="AZ594" t="s">
        <v>74</v>
      </c>
      <c r="BA594" t="s">
        <v>74</v>
      </c>
      <c r="BB594">
        <v>1193</v>
      </c>
      <c r="BC594">
        <v>1193</v>
      </c>
      <c r="BD594" t="s">
        <v>74</v>
      </c>
      <c r="BE594" t="s">
        <v>11430</v>
      </c>
      <c r="BF594" t="str">
        <f>HYPERLINK("http://dx.doi.org/10.1016/S0140-6736(17)30780-8","http://dx.doi.org/10.1016/S0140-6736(17)30780-8")</f>
        <v>http://dx.doi.org/10.1016/S0140-6736(17)30780-8</v>
      </c>
      <c r="BG594" t="s">
        <v>74</v>
      </c>
      <c r="BH594" t="s">
        <v>74</v>
      </c>
      <c r="BI594">
        <v>1</v>
      </c>
      <c r="BJ594" t="s">
        <v>11417</v>
      </c>
      <c r="BK594" t="s">
        <v>103</v>
      </c>
      <c r="BL594" t="s">
        <v>11418</v>
      </c>
      <c r="BM594" t="s">
        <v>11419</v>
      </c>
      <c r="BN594">
        <v>28353442</v>
      </c>
      <c r="BO594" t="s">
        <v>412</v>
      </c>
      <c r="BP594" t="s">
        <v>74</v>
      </c>
      <c r="BQ594" t="s">
        <v>74</v>
      </c>
      <c r="BR594" t="s">
        <v>106</v>
      </c>
      <c r="BS594" t="s">
        <v>11431</v>
      </c>
      <c r="BT594" t="str">
        <f>HYPERLINK("https%3A%2F%2Fwww.webofscience.com%2Fwos%2Fwoscc%2Ffull-record%2FWOS:000397143700027","View Full Record in Web of Science")</f>
        <v>View Full Record in Web of Science</v>
      </c>
    </row>
    <row r="595" spans="1:72" x14ac:dyDescent="0.15">
      <c r="A595" t="s">
        <v>72</v>
      </c>
      <c r="B595" t="s">
        <v>11432</v>
      </c>
      <c r="C595" t="s">
        <v>74</v>
      </c>
      <c r="D595" t="s">
        <v>74</v>
      </c>
      <c r="E595" t="s">
        <v>74</v>
      </c>
      <c r="F595" t="s">
        <v>11433</v>
      </c>
      <c r="G595" t="s">
        <v>74</v>
      </c>
      <c r="H595" t="s">
        <v>11434</v>
      </c>
      <c r="I595" t="s">
        <v>11435</v>
      </c>
      <c r="J595" t="s">
        <v>11403</v>
      </c>
      <c r="K595" t="s">
        <v>74</v>
      </c>
      <c r="L595" t="s">
        <v>74</v>
      </c>
      <c r="M595" t="s">
        <v>78</v>
      </c>
      <c r="N595" t="s">
        <v>11404</v>
      </c>
      <c r="O595" t="s">
        <v>74</v>
      </c>
      <c r="P595" t="s">
        <v>74</v>
      </c>
      <c r="Q595" t="s">
        <v>74</v>
      </c>
      <c r="R595" t="s">
        <v>74</v>
      </c>
      <c r="S595" t="s">
        <v>74</v>
      </c>
      <c r="T595" t="s">
        <v>74</v>
      </c>
      <c r="U595" t="s">
        <v>11436</v>
      </c>
      <c r="V595" t="s">
        <v>74</v>
      </c>
      <c r="W595" t="s">
        <v>11437</v>
      </c>
      <c r="X595" t="s">
        <v>11438</v>
      </c>
      <c r="Y595" t="s">
        <v>11439</v>
      </c>
      <c r="Z595" t="s">
        <v>11440</v>
      </c>
      <c r="AA595" t="s">
        <v>74</v>
      </c>
      <c r="AB595" t="s">
        <v>74</v>
      </c>
      <c r="AC595" t="s">
        <v>74</v>
      </c>
      <c r="AD595" t="s">
        <v>74</v>
      </c>
      <c r="AE595" t="s">
        <v>74</v>
      </c>
      <c r="AF595" t="s">
        <v>74</v>
      </c>
      <c r="AG595">
        <v>7</v>
      </c>
      <c r="AH595">
        <v>0</v>
      </c>
      <c r="AI595">
        <v>0</v>
      </c>
      <c r="AJ595">
        <v>0</v>
      </c>
      <c r="AK595">
        <v>0</v>
      </c>
      <c r="AL595" t="s">
        <v>5879</v>
      </c>
      <c r="AM595" t="s">
        <v>430</v>
      </c>
      <c r="AN595" t="s">
        <v>5880</v>
      </c>
      <c r="AO595" t="s">
        <v>11412</v>
      </c>
      <c r="AP595" t="s">
        <v>11413</v>
      </c>
      <c r="AQ595" t="s">
        <v>74</v>
      </c>
      <c r="AR595" t="s">
        <v>11403</v>
      </c>
      <c r="AS595" t="s">
        <v>11414</v>
      </c>
      <c r="AT595" t="s">
        <v>11415</v>
      </c>
      <c r="AU595">
        <v>2017</v>
      </c>
      <c r="AV595">
        <v>389</v>
      </c>
      <c r="AW595">
        <v>10075</v>
      </c>
      <c r="AX595" t="s">
        <v>74</v>
      </c>
      <c r="AY595" t="s">
        <v>74</v>
      </c>
      <c r="AZ595" t="s">
        <v>74</v>
      </c>
      <c r="BA595" t="s">
        <v>74</v>
      </c>
      <c r="BB595">
        <v>1193</v>
      </c>
      <c r="BC595">
        <v>1194</v>
      </c>
      <c r="BD595" t="s">
        <v>74</v>
      </c>
      <c r="BE595" t="s">
        <v>11441</v>
      </c>
      <c r="BF595" t="str">
        <f>HYPERLINK("http://dx.doi.org/10.1016/S0140-6736(17)30781-X","http://dx.doi.org/10.1016/S0140-6736(17)30781-X")</f>
        <v>http://dx.doi.org/10.1016/S0140-6736(17)30781-X</v>
      </c>
      <c r="BG595" t="s">
        <v>74</v>
      </c>
      <c r="BH595" t="s">
        <v>74</v>
      </c>
      <c r="BI595">
        <v>2</v>
      </c>
      <c r="BJ595" t="s">
        <v>11417</v>
      </c>
      <c r="BK595" t="s">
        <v>103</v>
      </c>
      <c r="BL595" t="s">
        <v>11418</v>
      </c>
      <c r="BM595" t="s">
        <v>11419</v>
      </c>
      <c r="BN595">
        <v>28353441</v>
      </c>
      <c r="BO595" t="s">
        <v>412</v>
      </c>
      <c r="BP595" t="s">
        <v>74</v>
      </c>
      <c r="BQ595" t="s">
        <v>74</v>
      </c>
      <c r="BR595" t="s">
        <v>106</v>
      </c>
      <c r="BS595" t="s">
        <v>11442</v>
      </c>
      <c r="BT595" t="str">
        <f>HYPERLINK("https%3A%2F%2Fwww.webofscience.com%2Fwos%2Fwoscc%2Ffull-record%2FWOS:000397143700028","View Full Record in Web of Science")</f>
        <v>View Full Record in Web of Science</v>
      </c>
    </row>
    <row r="596" spans="1:72" x14ac:dyDescent="0.15">
      <c r="A596" t="s">
        <v>72</v>
      </c>
      <c r="B596" t="s">
        <v>11443</v>
      </c>
      <c r="C596" t="s">
        <v>74</v>
      </c>
      <c r="D596" t="s">
        <v>74</v>
      </c>
      <c r="E596" t="s">
        <v>74</v>
      </c>
      <c r="F596" t="s">
        <v>11444</v>
      </c>
      <c r="G596" t="s">
        <v>74</v>
      </c>
      <c r="H596" t="s">
        <v>74</v>
      </c>
      <c r="I596" t="s">
        <v>11445</v>
      </c>
      <c r="J596" t="s">
        <v>11446</v>
      </c>
      <c r="K596" t="s">
        <v>74</v>
      </c>
      <c r="L596" t="s">
        <v>74</v>
      </c>
      <c r="M596" t="s">
        <v>78</v>
      </c>
      <c r="N596" t="s">
        <v>79</v>
      </c>
      <c r="O596" t="s">
        <v>74</v>
      </c>
      <c r="P596" t="s">
        <v>74</v>
      </c>
      <c r="Q596" t="s">
        <v>74</v>
      </c>
      <c r="R596" t="s">
        <v>74</v>
      </c>
      <c r="S596" t="s">
        <v>74</v>
      </c>
      <c r="T596" t="s">
        <v>11447</v>
      </c>
      <c r="U596" t="s">
        <v>11448</v>
      </c>
      <c r="V596" t="s">
        <v>11449</v>
      </c>
      <c r="W596" t="s">
        <v>11450</v>
      </c>
      <c r="X596" t="s">
        <v>11451</v>
      </c>
      <c r="Y596" t="s">
        <v>11452</v>
      </c>
      <c r="Z596" t="s">
        <v>11453</v>
      </c>
      <c r="AA596" t="s">
        <v>11454</v>
      </c>
      <c r="AB596" t="s">
        <v>11455</v>
      </c>
      <c r="AC596" t="s">
        <v>74</v>
      </c>
      <c r="AD596" t="s">
        <v>74</v>
      </c>
      <c r="AE596" t="s">
        <v>74</v>
      </c>
      <c r="AF596" t="s">
        <v>74</v>
      </c>
      <c r="AG596">
        <v>26</v>
      </c>
      <c r="AH596">
        <v>18</v>
      </c>
      <c r="AI596">
        <v>18</v>
      </c>
      <c r="AJ596">
        <v>0</v>
      </c>
      <c r="AK596">
        <v>36</v>
      </c>
      <c r="AL596" t="s">
        <v>1141</v>
      </c>
      <c r="AM596" t="s">
        <v>318</v>
      </c>
      <c r="AN596" t="s">
        <v>1142</v>
      </c>
      <c r="AO596" t="s">
        <v>11456</v>
      </c>
      <c r="AP596" t="s">
        <v>11457</v>
      </c>
      <c r="AQ596" t="s">
        <v>74</v>
      </c>
      <c r="AR596" t="s">
        <v>11458</v>
      </c>
      <c r="AS596" t="s">
        <v>11459</v>
      </c>
      <c r="AT596" t="s">
        <v>11415</v>
      </c>
      <c r="AU596">
        <v>2017</v>
      </c>
      <c r="AV596">
        <v>35</v>
      </c>
      <c r="AW596" t="s">
        <v>74</v>
      </c>
      <c r="AX596" t="s">
        <v>74</v>
      </c>
      <c r="AY596" t="s">
        <v>74</v>
      </c>
      <c r="AZ596" t="s">
        <v>74</v>
      </c>
      <c r="BA596" t="s">
        <v>74</v>
      </c>
      <c r="BB596">
        <v>13</v>
      </c>
      <c r="BC596">
        <v>18</v>
      </c>
      <c r="BD596" t="s">
        <v>74</v>
      </c>
      <c r="BE596" t="s">
        <v>11460</v>
      </c>
      <c r="BF596" t="str">
        <f>HYPERLINK("http://dx.doi.org/10.1016/j.nbt.2016.10.009","http://dx.doi.org/10.1016/j.nbt.2016.10.009")</f>
        <v>http://dx.doi.org/10.1016/j.nbt.2016.10.009</v>
      </c>
      <c r="BG596" t="s">
        <v>74</v>
      </c>
      <c r="BH596" t="s">
        <v>74</v>
      </c>
      <c r="BI596">
        <v>6</v>
      </c>
      <c r="BJ596" t="s">
        <v>11461</v>
      </c>
      <c r="BK596" t="s">
        <v>103</v>
      </c>
      <c r="BL596" t="s">
        <v>11462</v>
      </c>
      <c r="BM596" t="s">
        <v>11463</v>
      </c>
      <c r="BN596">
        <v>27989956</v>
      </c>
      <c r="BO596" t="s">
        <v>74</v>
      </c>
      <c r="BP596" t="s">
        <v>74</v>
      </c>
      <c r="BQ596" t="s">
        <v>74</v>
      </c>
      <c r="BR596" t="s">
        <v>106</v>
      </c>
      <c r="BS596" t="s">
        <v>11464</v>
      </c>
      <c r="BT596" t="str">
        <f>HYPERLINK("https%3A%2F%2Fwww.webofscience.com%2Fwos%2Fwoscc%2Ffull-record%2FWOS:000390677400002","View Full Record in Web of Science")</f>
        <v>View Full Record in Web of Science</v>
      </c>
    </row>
    <row r="597" spans="1:72" x14ac:dyDescent="0.15">
      <c r="A597" t="s">
        <v>72</v>
      </c>
      <c r="B597" t="s">
        <v>11465</v>
      </c>
      <c r="C597" t="s">
        <v>74</v>
      </c>
      <c r="D597" t="s">
        <v>74</v>
      </c>
      <c r="E597" t="s">
        <v>74</v>
      </c>
      <c r="F597" t="s">
        <v>11466</v>
      </c>
      <c r="G597" t="s">
        <v>74</v>
      </c>
      <c r="H597" t="s">
        <v>74</v>
      </c>
      <c r="I597" t="s">
        <v>11467</v>
      </c>
      <c r="J597" t="s">
        <v>3827</v>
      </c>
      <c r="K597" t="s">
        <v>74</v>
      </c>
      <c r="L597" t="s">
        <v>74</v>
      </c>
      <c r="M597" t="s">
        <v>78</v>
      </c>
      <c r="N597" t="s">
        <v>79</v>
      </c>
      <c r="O597" t="s">
        <v>74</v>
      </c>
      <c r="P597" t="s">
        <v>74</v>
      </c>
      <c r="Q597" t="s">
        <v>74</v>
      </c>
      <c r="R597" t="s">
        <v>74</v>
      </c>
      <c r="S597" t="s">
        <v>74</v>
      </c>
      <c r="T597" t="s">
        <v>74</v>
      </c>
      <c r="U597" t="s">
        <v>11468</v>
      </c>
      <c r="V597" t="s">
        <v>11469</v>
      </c>
      <c r="W597" t="s">
        <v>11470</v>
      </c>
      <c r="X597" t="s">
        <v>9398</v>
      </c>
      <c r="Y597" t="s">
        <v>11471</v>
      </c>
      <c r="Z597" t="s">
        <v>11472</v>
      </c>
      <c r="AA597" t="s">
        <v>11473</v>
      </c>
      <c r="AB597" t="s">
        <v>11474</v>
      </c>
      <c r="AC597" t="s">
        <v>11475</v>
      </c>
      <c r="AD597" t="s">
        <v>11476</v>
      </c>
      <c r="AE597" t="s">
        <v>11477</v>
      </c>
      <c r="AF597" t="s">
        <v>74</v>
      </c>
      <c r="AG597">
        <v>90</v>
      </c>
      <c r="AH597">
        <v>13</v>
      </c>
      <c r="AI597">
        <v>14</v>
      </c>
      <c r="AJ597">
        <v>1</v>
      </c>
      <c r="AK597">
        <v>16</v>
      </c>
      <c r="AL597" t="s">
        <v>3534</v>
      </c>
      <c r="AM597" t="s">
        <v>3535</v>
      </c>
      <c r="AN597" t="s">
        <v>3536</v>
      </c>
      <c r="AO597" t="s">
        <v>3839</v>
      </c>
      <c r="AP597" t="s">
        <v>3840</v>
      </c>
      <c r="AQ597" t="s">
        <v>74</v>
      </c>
      <c r="AR597" t="s">
        <v>3827</v>
      </c>
      <c r="AS597" t="s">
        <v>3841</v>
      </c>
      <c r="AT597" t="s">
        <v>11478</v>
      </c>
      <c r="AU597">
        <v>2017</v>
      </c>
      <c r="AV597">
        <v>11</v>
      </c>
      <c r="AW597">
        <v>2</v>
      </c>
      <c r="AX597" t="s">
        <v>74</v>
      </c>
      <c r="AY597" t="s">
        <v>74</v>
      </c>
      <c r="AZ597" t="s">
        <v>74</v>
      </c>
      <c r="BA597" t="s">
        <v>74</v>
      </c>
      <c r="BB597">
        <v>789</v>
      </c>
      <c r="BC597">
        <v>803</v>
      </c>
      <c r="BD597" t="s">
        <v>74</v>
      </c>
      <c r="BE597" t="s">
        <v>11479</v>
      </c>
      <c r="BF597" t="str">
        <f>HYPERLINK("http://dx.doi.org/10.5194/tc-11-789-2017","http://dx.doi.org/10.5194/tc-11-789-2017")</f>
        <v>http://dx.doi.org/10.5194/tc-11-789-2017</v>
      </c>
      <c r="BG597" t="s">
        <v>74</v>
      </c>
      <c r="BH597" t="s">
        <v>74</v>
      </c>
      <c r="BI597">
        <v>15</v>
      </c>
      <c r="BJ597" t="s">
        <v>1338</v>
      </c>
      <c r="BK597" t="s">
        <v>103</v>
      </c>
      <c r="BL597" t="s">
        <v>1339</v>
      </c>
      <c r="BM597" t="s">
        <v>11480</v>
      </c>
      <c r="BN597" t="s">
        <v>74</v>
      </c>
      <c r="BO597" t="s">
        <v>3887</v>
      </c>
      <c r="BP597" t="s">
        <v>74</v>
      </c>
      <c r="BQ597" t="s">
        <v>74</v>
      </c>
      <c r="BR597" t="s">
        <v>106</v>
      </c>
      <c r="BS597" t="s">
        <v>11481</v>
      </c>
      <c r="BT597" t="str">
        <f>HYPERLINK("https%3A%2F%2Fwww.webofscience.com%2Fwos%2Fwoscc%2Ffull-record%2FWOS:000398913200001","View Full Record in Web of Science")</f>
        <v>View Full Record in Web of Science</v>
      </c>
    </row>
    <row r="598" spans="1:72" x14ac:dyDescent="0.15">
      <c r="A598" t="s">
        <v>72</v>
      </c>
      <c r="B598" t="s">
        <v>11482</v>
      </c>
      <c r="C598" t="s">
        <v>74</v>
      </c>
      <c r="D598" t="s">
        <v>74</v>
      </c>
      <c r="E598" t="s">
        <v>74</v>
      </c>
      <c r="F598" t="s">
        <v>11483</v>
      </c>
      <c r="G598" t="s">
        <v>74</v>
      </c>
      <c r="H598" t="s">
        <v>74</v>
      </c>
      <c r="I598" t="s">
        <v>11484</v>
      </c>
      <c r="J598" t="s">
        <v>3441</v>
      </c>
      <c r="K598" t="s">
        <v>74</v>
      </c>
      <c r="L598" t="s">
        <v>74</v>
      </c>
      <c r="M598" t="s">
        <v>78</v>
      </c>
      <c r="N598" t="s">
        <v>79</v>
      </c>
      <c r="O598" t="s">
        <v>74</v>
      </c>
      <c r="P598" t="s">
        <v>74</v>
      </c>
      <c r="Q598" t="s">
        <v>74</v>
      </c>
      <c r="R598" t="s">
        <v>74</v>
      </c>
      <c r="S598" t="s">
        <v>74</v>
      </c>
      <c r="T598" t="s">
        <v>11485</v>
      </c>
      <c r="U598" t="s">
        <v>11486</v>
      </c>
      <c r="V598" t="s">
        <v>11487</v>
      </c>
      <c r="W598" t="s">
        <v>11488</v>
      </c>
      <c r="X598" t="s">
        <v>11489</v>
      </c>
      <c r="Y598" t="s">
        <v>11490</v>
      </c>
      <c r="Z598" t="s">
        <v>11491</v>
      </c>
      <c r="AA598" t="s">
        <v>11492</v>
      </c>
      <c r="AB598" t="s">
        <v>11493</v>
      </c>
      <c r="AC598" t="s">
        <v>11494</v>
      </c>
      <c r="AD598" t="s">
        <v>11495</v>
      </c>
      <c r="AE598" t="s">
        <v>11496</v>
      </c>
      <c r="AF598" t="s">
        <v>74</v>
      </c>
      <c r="AG598">
        <v>56</v>
      </c>
      <c r="AH598">
        <v>28</v>
      </c>
      <c r="AI598">
        <v>31</v>
      </c>
      <c r="AJ598">
        <v>6</v>
      </c>
      <c r="AK598">
        <v>41</v>
      </c>
      <c r="AL598" t="s">
        <v>3454</v>
      </c>
      <c r="AM598" t="s">
        <v>3455</v>
      </c>
      <c r="AN598" t="s">
        <v>3456</v>
      </c>
      <c r="AO598" t="s">
        <v>3457</v>
      </c>
      <c r="AP598" t="s">
        <v>3458</v>
      </c>
      <c r="AQ598" t="s">
        <v>74</v>
      </c>
      <c r="AR598" t="s">
        <v>3459</v>
      </c>
      <c r="AS598" t="s">
        <v>3460</v>
      </c>
      <c r="AT598" t="s">
        <v>11478</v>
      </c>
      <c r="AU598">
        <v>2017</v>
      </c>
      <c r="AV598">
        <v>568</v>
      </c>
      <c r="AW598" t="s">
        <v>74</v>
      </c>
      <c r="AX598" t="s">
        <v>74</v>
      </c>
      <c r="AY598" t="s">
        <v>74</v>
      </c>
      <c r="AZ598" t="s">
        <v>74</v>
      </c>
      <c r="BA598" t="s">
        <v>74</v>
      </c>
      <c r="BB598">
        <v>47</v>
      </c>
      <c r="BC598">
        <v>58</v>
      </c>
      <c r="BD598" t="s">
        <v>74</v>
      </c>
      <c r="BE598" t="s">
        <v>11497</v>
      </c>
      <c r="BF598" t="str">
        <f>HYPERLINK("http://dx.doi.org/10.3354/meps12042","http://dx.doi.org/10.3354/meps12042")</f>
        <v>http://dx.doi.org/10.3354/meps12042</v>
      </c>
      <c r="BG598" t="s">
        <v>74</v>
      </c>
      <c r="BH598" t="s">
        <v>74</v>
      </c>
      <c r="BI598">
        <v>12</v>
      </c>
      <c r="BJ598" t="s">
        <v>3463</v>
      </c>
      <c r="BK598" t="s">
        <v>103</v>
      </c>
      <c r="BL598" t="s">
        <v>3464</v>
      </c>
      <c r="BM598" t="s">
        <v>11498</v>
      </c>
      <c r="BN598" t="s">
        <v>74</v>
      </c>
      <c r="BO598" t="s">
        <v>11499</v>
      </c>
      <c r="BP598" t="s">
        <v>74</v>
      </c>
      <c r="BQ598" t="s">
        <v>74</v>
      </c>
      <c r="BR598" t="s">
        <v>106</v>
      </c>
      <c r="BS598" t="s">
        <v>11500</v>
      </c>
      <c r="BT598" t="str">
        <f>HYPERLINK("https%3A%2F%2Fwww.webofscience.com%2Fwos%2Fwoscc%2Ffull-record%2FWOS:000398911600004","View Full Record in Web of Science")</f>
        <v>View Full Record in Web of Science</v>
      </c>
    </row>
    <row r="599" spans="1:72" x14ac:dyDescent="0.15">
      <c r="A599" t="s">
        <v>72</v>
      </c>
      <c r="B599" t="s">
        <v>11501</v>
      </c>
      <c r="C599" t="s">
        <v>74</v>
      </c>
      <c r="D599" t="s">
        <v>74</v>
      </c>
      <c r="E599" t="s">
        <v>74</v>
      </c>
      <c r="F599" t="s">
        <v>11502</v>
      </c>
      <c r="G599" t="s">
        <v>74</v>
      </c>
      <c r="H599" t="s">
        <v>74</v>
      </c>
      <c r="I599" t="s">
        <v>11503</v>
      </c>
      <c r="J599" t="s">
        <v>3441</v>
      </c>
      <c r="K599" t="s">
        <v>74</v>
      </c>
      <c r="L599" t="s">
        <v>74</v>
      </c>
      <c r="M599" t="s">
        <v>78</v>
      </c>
      <c r="N599" t="s">
        <v>79</v>
      </c>
      <c r="O599" t="s">
        <v>74</v>
      </c>
      <c r="P599" t="s">
        <v>74</v>
      </c>
      <c r="Q599" t="s">
        <v>74</v>
      </c>
      <c r="R599" t="s">
        <v>74</v>
      </c>
      <c r="S599" t="s">
        <v>74</v>
      </c>
      <c r="T599" t="s">
        <v>11504</v>
      </c>
      <c r="U599" t="s">
        <v>11505</v>
      </c>
      <c r="V599" t="s">
        <v>11506</v>
      </c>
      <c r="W599" t="s">
        <v>11507</v>
      </c>
      <c r="X599" t="s">
        <v>11508</v>
      </c>
      <c r="Y599" t="s">
        <v>11509</v>
      </c>
      <c r="Z599" t="s">
        <v>11510</v>
      </c>
      <c r="AA599" t="s">
        <v>11511</v>
      </c>
      <c r="AB599" t="s">
        <v>11512</v>
      </c>
      <c r="AC599" t="s">
        <v>11513</v>
      </c>
      <c r="AD599" t="s">
        <v>11514</v>
      </c>
      <c r="AE599" t="s">
        <v>11515</v>
      </c>
      <c r="AF599" t="s">
        <v>74</v>
      </c>
      <c r="AG599">
        <v>82</v>
      </c>
      <c r="AH599">
        <v>0</v>
      </c>
      <c r="AI599">
        <v>0</v>
      </c>
      <c r="AJ599">
        <v>1</v>
      </c>
      <c r="AK599">
        <v>22</v>
      </c>
      <c r="AL599" t="s">
        <v>3454</v>
      </c>
      <c r="AM599" t="s">
        <v>3455</v>
      </c>
      <c r="AN599" t="s">
        <v>3456</v>
      </c>
      <c r="AO599" t="s">
        <v>3457</v>
      </c>
      <c r="AP599" t="s">
        <v>3458</v>
      </c>
      <c r="AQ599" t="s">
        <v>74</v>
      </c>
      <c r="AR599" t="s">
        <v>3459</v>
      </c>
      <c r="AS599" t="s">
        <v>3460</v>
      </c>
      <c r="AT599" t="s">
        <v>11478</v>
      </c>
      <c r="AU599">
        <v>2017</v>
      </c>
      <c r="AV599">
        <v>568</v>
      </c>
      <c r="AW599" t="s">
        <v>74</v>
      </c>
      <c r="AX599" t="s">
        <v>74</v>
      </c>
      <c r="AY599" t="s">
        <v>74</v>
      </c>
      <c r="AZ599" t="s">
        <v>74</v>
      </c>
      <c r="BA599" t="s">
        <v>74</v>
      </c>
      <c r="BB599">
        <v>59</v>
      </c>
      <c r="BC599">
        <v>71</v>
      </c>
      <c r="BD599" t="s">
        <v>74</v>
      </c>
      <c r="BE599" t="s">
        <v>11516</v>
      </c>
      <c r="BF599" t="str">
        <f>HYPERLINK("http://dx.doi.org/10.3354/meps12047","http://dx.doi.org/10.3354/meps12047")</f>
        <v>http://dx.doi.org/10.3354/meps12047</v>
      </c>
      <c r="BG599" t="s">
        <v>74</v>
      </c>
      <c r="BH599" t="s">
        <v>74</v>
      </c>
      <c r="BI599">
        <v>13</v>
      </c>
      <c r="BJ599" t="s">
        <v>3463</v>
      </c>
      <c r="BK599" t="s">
        <v>103</v>
      </c>
      <c r="BL599" t="s">
        <v>3464</v>
      </c>
      <c r="BM599" t="s">
        <v>11498</v>
      </c>
      <c r="BN599" t="s">
        <v>74</v>
      </c>
      <c r="BO599" t="s">
        <v>231</v>
      </c>
      <c r="BP599" t="s">
        <v>74</v>
      </c>
      <c r="BQ599" t="s">
        <v>74</v>
      </c>
      <c r="BR599" t="s">
        <v>106</v>
      </c>
      <c r="BS599" t="s">
        <v>11517</v>
      </c>
      <c r="BT599" t="str">
        <f>HYPERLINK("https%3A%2F%2Fwww.webofscience.com%2Fwos%2Fwoscc%2Ffull-record%2FWOS:000398911600005","View Full Record in Web of Science")</f>
        <v>View Full Record in Web of Science</v>
      </c>
    </row>
    <row r="600" spans="1:72" x14ac:dyDescent="0.15">
      <c r="A600" t="s">
        <v>72</v>
      </c>
      <c r="B600" t="s">
        <v>11518</v>
      </c>
      <c r="C600" t="s">
        <v>74</v>
      </c>
      <c r="D600" t="s">
        <v>74</v>
      </c>
      <c r="E600" t="s">
        <v>74</v>
      </c>
      <c r="F600" t="s">
        <v>11519</v>
      </c>
      <c r="G600" t="s">
        <v>74</v>
      </c>
      <c r="H600" t="s">
        <v>74</v>
      </c>
      <c r="I600" t="s">
        <v>11520</v>
      </c>
      <c r="J600" t="s">
        <v>3441</v>
      </c>
      <c r="K600" t="s">
        <v>74</v>
      </c>
      <c r="L600" t="s">
        <v>74</v>
      </c>
      <c r="M600" t="s">
        <v>78</v>
      </c>
      <c r="N600" t="s">
        <v>79</v>
      </c>
      <c r="O600" t="s">
        <v>74</v>
      </c>
      <c r="P600" t="s">
        <v>74</v>
      </c>
      <c r="Q600" t="s">
        <v>74</v>
      </c>
      <c r="R600" t="s">
        <v>74</v>
      </c>
      <c r="S600" t="s">
        <v>74</v>
      </c>
      <c r="T600" t="s">
        <v>11521</v>
      </c>
      <c r="U600" t="s">
        <v>11522</v>
      </c>
      <c r="V600" t="s">
        <v>11523</v>
      </c>
      <c r="W600" t="s">
        <v>11524</v>
      </c>
      <c r="X600" t="s">
        <v>11525</v>
      </c>
      <c r="Y600" t="s">
        <v>11526</v>
      </c>
      <c r="Z600" t="s">
        <v>11527</v>
      </c>
      <c r="AA600" t="s">
        <v>11528</v>
      </c>
      <c r="AB600" t="s">
        <v>11529</v>
      </c>
      <c r="AC600" t="s">
        <v>11530</v>
      </c>
      <c r="AD600" t="s">
        <v>11531</v>
      </c>
      <c r="AE600" t="s">
        <v>11532</v>
      </c>
      <c r="AF600" t="s">
        <v>74</v>
      </c>
      <c r="AG600">
        <v>50</v>
      </c>
      <c r="AH600">
        <v>11</v>
      </c>
      <c r="AI600">
        <v>15</v>
      </c>
      <c r="AJ600">
        <v>0</v>
      </c>
      <c r="AK600">
        <v>25</v>
      </c>
      <c r="AL600" t="s">
        <v>3454</v>
      </c>
      <c r="AM600" t="s">
        <v>3455</v>
      </c>
      <c r="AN600" t="s">
        <v>3456</v>
      </c>
      <c r="AO600" t="s">
        <v>3457</v>
      </c>
      <c r="AP600" t="s">
        <v>3458</v>
      </c>
      <c r="AQ600" t="s">
        <v>74</v>
      </c>
      <c r="AR600" t="s">
        <v>3459</v>
      </c>
      <c r="AS600" t="s">
        <v>3460</v>
      </c>
      <c r="AT600" t="s">
        <v>11478</v>
      </c>
      <c r="AU600">
        <v>2017</v>
      </c>
      <c r="AV600">
        <v>568</v>
      </c>
      <c r="AW600" t="s">
        <v>74</v>
      </c>
      <c r="AX600" t="s">
        <v>74</v>
      </c>
      <c r="AY600" t="s">
        <v>74</v>
      </c>
      <c r="AZ600" t="s">
        <v>74</v>
      </c>
      <c r="BA600" t="s">
        <v>74</v>
      </c>
      <c r="BB600">
        <v>203</v>
      </c>
      <c r="BC600">
        <v>215</v>
      </c>
      <c r="BD600" t="s">
        <v>74</v>
      </c>
      <c r="BE600" t="s">
        <v>11533</v>
      </c>
      <c r="BF600" t="str">
        <f>HYPERLINK("http://dx.doi.org/10.3354/meps12082","http://dx.doi.org/10.3354/meps12082")</f>
        <v>http://dx.doi.org/10.3354/meps12082</v>
      </c>
      <c r="BG600" t="s">
        <v>74</v>
      </c>
      <c r="BH600" t="s">
        <v>74</v>
      </c>
      <c r="BI600">
        <v>13</v>
      </c>
      <c r="BJ600" t="s">
        <v>3463</v>
      </c>
      <c r="BK600" t="s">
        <v>103</v>
      </c>
      <c r="BL600" t="s">
        <v>3464</v>
      </c>
      <c r="BM600" t="s">
        <v>11498</v>
      </c>
      <c r="BN600" t="s">
        <v>74</v>
      </c>
      <c r="BO600" t="s">
        <v>5731</v>
      </c>
      <c r="BP600" t="s">
        <v>74</v>
      </c>
      <c r="BQ600" t="s">
        <v>74</v>
      </c>
      <c r="BR600" t="s">
        <v>106</v>
      </c>
      <c r="BS600" t="s">
        <v>11534</v>
      </c>
      <c r="BT600" t="str">
        <f>HYPERLINK("https%3A%2F%2Fwww.webofscience.com%2Fwos%2Fwoscc%2Ffull-record%2FWOS:000398911600015","View Full Record in Web of Science")</f>
        <v>View Full Record in Web of Science</v>
      </c>
    </row>
    <row r="601" spans="1:72" x14ac:dyDescent="0.15">
      <c r="A601" t="s">
        <v>72</v>
      </c>
      <c r="B601" t="s">
        <v>11535</v>
      </c>
      <c r="C601" t="s">
        <v>74</v>
      </c>
      <c r="D601" t="s">
        <v>74</v>
      </c>
      <c r="E601" t="s">
        <v>74</v>
      </c>
      <c r="F601" t="s">
        <v>11536</v>
      </c>
      <c r="G601" t="s">
        <v>74</v>
      </c>
      <c r="H601" t="s">
        <v>74</v>
      </c>
      <c r="I601" t="s">
        <v>11537</v>
      </c>
      <c r="J601" t="s">
        <v>3441</v>
      </c>
      <c r="K601" t="s">
        <v>74</v>
      </c>
      <c r="L601" t="s">
        <v>74</v>
      </c>
      <c r="M601" t="s">
        <v>78</v>
      </c>
      <c r="N601" t="s">
        <v>79</v>
      </c>
      <c r="O601" t="s">
        <v>74</v>
      </c>
      <c r="P601" t="s">
        <v>74</v>
      </c>
      <c r="Q601" t="s">
        <v>74</v>
      </c>
      <c r="R601" t="s">
        <v>74</v>
      </c>
      <c r="S601" t="s">
        <v>74</v>
      </c>
      <c r="T601" t="s">
        <v>11538</v>
      </c>
      <c r="U601" t="s">
        <v>11539</v>
      </c>
      <c r="V601" t="s">
        <v>11540</v>
      </c>
      <c r="W601" t="s">
        <v>11541</v>
      </c>
      <c r="X601" t="s">
        <v>11542</v>
      </c>
      <c r="Y601" t="s">
        <v>11543</v>
      </c>
      <c r="Z601" t="s">
        <v>11544</v>
      </c>
      <c r="AA601" t="s">
        <v>11545</v>
      </c>
      <c r="AB601" t="s">
        <v>11546</v>
      </c>
      <c r="AC601" t="s">
        <v>11547</v>
      </c>
      <c r="AD601" t="s">
        <v>11548</v>
      </c>
      <c r="AE601" t="s">
        <v>11549</v>
      </c>
      <c r="AF601" t="s">
        <v>74</v>
      </c>
      <c r="AG601">
        <v>65</v>
      </c>
      <c r="AH601">
        <v>6</v>
      </c>
      <c r="AI601">
        <v>7</v>
      </c>
      <c r="AJ601">
        <v>1</v>
      </c>
      <c r="AK601">
        <v>39</v>
      </c>
      <c r="AL601" t="s">
        <v>3454</v>
      </c>
      <c r="AM601" t="s">
        <v>3455</v>
      </c>
      <c r="AN601" t="s">
        <v>3456</v>
      </c>
      <c r="AO601" t="s">
        <v>3457</v>
      </c>
      <c r="AP601" t="s">
        <v>3458</v>
      </c>
      <c r="AQ601" t="s">
        <v>74</v>
      </c>
      <c r="AR601" t="s">
        <v>3459</v>
      </c>
      <c r="AS601" t="s">
        <v>3460</v>
      </c>
      <c r="AT601" t="s">
        <v>11478</v>
      </c>
      <c r="AU601">
        <v>2017</v>
      </c>
      <c r="AV601">
        <v>568</v>
      </c>
      <c r="AW601" t="s">
        <v>74</v>
      </c>
      <c r="AX601" t="s">
        <v>74</v>
      </c>
      <c r="AY601" t="s">
        <v>74</v>
      </c>
      <c r="AZ601" t="s">
        <v>74</v>
      </c>
      <c r="BA601" t="s">
        <v>74</v>
      </c>
      <c r="BB601">
        <v>249</v>
      </c>
      <c r="BC601">
        <v>260</v>
      </c>
      <c r="BD601" t="s">
        <v>74</v>
      </c>
      <c r="BE601" t="s">
        <v>11550</v>
      </c>
      <c r="BF601" t="str">
        <f>HYPERLINK("http://dx.doi.org/10.3354/meps12085","http://dx.doi.org/10.3354/meps12085")</f>
        <v>http://dx.doi.org/10.3354/meps12085</v>
      </c>
      <c r="BG601" t="s">
        <v>74</v>
      </c>
      <c r="BH601" t="s">
        <v>74</v>
      </c>
      <c r="BI601">
        <v>12</v>
      </c>
      <c r="BJ601" t="s">
        <v>3463</v>
      </c>
      <c r="BK601" t="s">
        <v>103</v>
      </c>
      <c r="BL601" t="s">
        <v>3464</v>
      </c>
      <c r="BM601" t="s">
        <v>11498</v>
      </c>
      <c r="BN601" t="s">
        <v>74</v>
      </c>
      <c r="BO601" t="s">
        <v>3209</v>
      </c>
      <c r="BP601" t="s">
        <v>74</v>
      </c>
      <c r="BQ601" t="s">
        <v>74</v>
      </c>
      <c r="BR601" t="s">
        <v>106</v>
      </c>
      <c r="BS601" t="s">
        <v>11551</v>
      </c>
      <c r="BT601" t="str">
        <f>HYPERLINK("https%3A%2F%2Fwww.webofscience.com%2Fwos%2Fwoscc%2Ffull-record%2FWOS:000398911600018","View Full Record in Web of Science")</f>
        <v>View Full Record in Web of Science</v>
      </c>
    </row>
    <row r="602" spans="1:72" x14ac:dyDescent="0.15">
      <c r="A602" t="s">
        <v>72</v>
      </c>
      <c r="B602" t="s">
        <v>11552</v>
      </c>
      <c r="C602" t="s">
        <v>74</v>
      </c>
      <c r="D602" t="s">
        <v>74</v>
      </c>
      <c r="E602" t="s">
        <v>74</v>
      </c>
      <c r="F602" t="s">
        <v>11553</v>
      </c>
      <c r="G602" t="s">
        <v>74</v>
      </c>
      <c r="H602" t="s">
        <v>74</v>
      </c>
      <c r="I602" t="s">
        <v>11554</v>
      </c>
      <c r="J602" t="s">
        <v>7365</v>
      </c>
      <c r="K602" t="s">
        <v>74</v>
      </c>
      <c r="L602" t="s">
        <v>74</v>
      </c>
      <c r="M602" t="s">
        <v>78</v>
      </c>
      <c r="N602" t="s">
        <v>79</v>
      </c>
      <c r="O602" t="s">
        <v>74</v>
      </c>
      <c r="P602" t="s">
        <v>74</v>
      </c>
      <c r="Q602" t="s">
        <v>74</v>
      </c>
      <c r="R602" t="s">
        <v>74</v>
      </c>
      <c r="S602" t="s">
        <v>74</v>
      </c>
      <c r="T602" t="s">
        <v>74</v>
      </c>
      <c r="U602" t="s">
        <v>11555</v>
      </c>
      <c r="V602" t="s">
        <v>11556</v>
      </c>
      <c r="W602" t="s">
        <v>11557</v>
      </c>
      <c r="X602" t="s">
        <v>11558</v>
      </c>
      <c r="Y602" t="s">
        <v>11559</v>
      </c>
      <c r="Z602" t="s">
        <v>11560</v>
      </c>
      <c r="AA602" t="s">
        <v>11561</v>
      </c>
      <c r="AB602" t="s">
        <v>11562</v>
      </c>
      <c r="AC602" t="s">
        <v>11563</v>
      </c>
      <c r="AD602" t="s">
        <v>11564</v>
      </c>
      <c r="AE602" t="s">
        <v>11565</v>
      </c>
      <c r="AF602" t="s">
        <v>74</v>
      </c>
      <c r="AG602">
        <v>85</v>
      </c>
      <c r="AH602">
        <v>23</v>
      </c>
      <c r="AI602">
        <v>23</v>
      </c>
      <c r="AJ602">
        <v>0</v>
      </c>
      <c r="AK602">
        <v>31</v>
      </c>
      <c r="AL602" t="s">
        <v>3534</v>
      </c>
      <c r="AM602" t="s">
        <v>3535</v>
      </c>
      <c r="AN602" t="s">
        <v>3536</v>
      </c>
      <c r="AO602" t="s">
        <v>7377</v>
      </c>
      <c r="AP602" t="s">
        <v>7378</v>
      </c>
      <c r="AQ602" t="s">
        <v>74</v>
      </c>
      <c r="AR602" t="s">
        <v>7365</v>
      </c>
      <c r="AS602" t="s">
        <v>7379</v>
      </c>
      <c r="AT602" t="s">
        <v>11478</v>
      </c>
      <c r="AU602">
        <v>2017</v>
      </c>
      <c r="AV602">
        <v>14</v>
      </c>
      <c r="AW602">
        <v>6</v>
      </c>
      <c r="AX602" t="s">
        <v>74</v>
      </c>
      <c r="AY602" t="s">
        <v>74</v>
      </c>
      <c r="AZ602" t="s">
        <v>74</v>
      </c>
      <c r="BA602" t="s">
        <v>74</v>
      </c>
      <c r="BB602">
        <v>1511</v>
      </c>
      <c r="BC602">
        <v>1525</v>
      </c>
      <c r="BD602" t="s">
        <v>74</v>
      </c>
      <c r="BE602" t="s">
        <v>11566</v>
      </c>
      <c r="BF602" t="str">
        <f>HYPERLINK("http://dx.doi.org/10.5194/bg-14-1511-2017","http://dx.doi.org/10.5194/bg-14-1511-2017")</f>
        <v>http://dx.doi.org/10.5194/bg-14-1511-2017</v>
      </c>
      <c r="BG602" t="s">
        <v>74</v>
      </c>
      <c r="BH602" t="s">
        <v>74</v>
      </c>
      <c r="BI602">
        <v>15</v>
      </c>
      <c r="BJ602" t="s">
        <v>1693</v>
      </c>
      <c r="BK602" t="s">
        <v>103</v>
      </c>
      <c r="BL602" t="s">
        <v>270</v>
      </c>
      <c r="BM602" t="s">
        <v>11567</v>
      </c>
      <c r="BN602" t="s">
        <v>74</v>
      </c>
      <c r="BO602" t="s">
        <v>11568</v>
      </c>
      <c r="BP602" t="s">
        <v>74</v>
      </c>
      <c r="BQ602" t="s">
        <v>74</v>
      </c>
      <c r="BR602" t="s">
        <v>106</v>
      </c>
      <c r="BS602" t="s">
        <v>11569</v>
      </c>
      <c r="BT602" t="str">
        <f>HYPERLINK("https%3A%2F%2Fwww.webofscience.com%2Fwos%2Fwoscc%2Ffull-record%2FWOS:000398193100003","View Full Record in Web of Science")</f>
        <v>View Full Record in Web of Science</v>
      </c>
    </row>
    <row r="603" spans="1:72" x14ac:dyDescent="0.15">
      <c r="A603" t="s">
        <v>72</v>
      </c>
      <c r="B603" t="s">
        <v>11570</v>
      </c>
      <c r="C603" t="s">
        <v>74</v>
      </c>
      <c r="D603" t="s">
        <v>74</v>
      </c>
      <c r="E603" t="s">
        <v>74</v>
      </c>
      <c r="F603" t="s">
        <v>11571</v>
      </c>
      <c r="G603" t="s">
        <v>74</v>
      </c>
      <c r="H603" t="s">
        <v>74</v>
      </c>
      <c r="I603" t="s">
        <v>11572</v>
      </c>
      <c r="J603" t="s">
        <v>11573</v>
      </c>
      <c r="K603" t="s">
        <v>74</v>
      </c>
      <c r="L603" t="s">
        <v>74</v>
      </c>
      <c r="M603" t="s">
        <v>78</v>
      </c>
      <c r="N603" t="s">
        <v>79</v>
      </c>
      <c r="O603" t="s">
        <v>74</v>
      </c>
      <c r="P603" t="s">
        <v>74</v>
      </c>
      <c r="Q603" t="s">
        <v>74</v>
      </c>
      <c r="R603" t="s">
        <v>74</v>
      </c>
      <c r="S603" t="s">
        <v>74</v>
      </c>
      <c r="T603" t="s">
        <v>11574</v>
      </c>
      <c r="U603" t="s">
        <v>11575</v>
      </c>
      <c r="V603" t="s">
        <v>11576</v>
      </c>
      <c r="W603" t="s">
        <v>11577</v>
      </c>
      <c r="X603" t="s">
        <v>11578</v>
      </c>
      <c r="Y603" t="s">
        <v>11579</v>
      </c>
      <c r="Z603" t="s">
        <v>11580</v>
      </c>
      <c r="AA603" t="s">
        <v>74</v>
      </c>
      <c r="AB603" t="s">
        <v>74</v>
      </c>
      <c r="AC603" t="s">
        <v>11581</v>
      </c>
      <c r="AD603" t="s">
        <v>11582</v>
      </c>
      <c r="AE603" t="s">
        <v>11583</v>
      </c>
      <c r="AF603" t="s">
        <v>74</v>
      </c>
      <c r="AG603">
        <v>83</v>
      </c>
      <c r="AH603">
        <v>37</v>
      </c>
      <c r="AI603">
        <v>41</v>
      </c>
      <c r="AJ603">
        <v>3</v>
      </c>
      <c r="AK603">
        <v>47</v>
      </c>
      <c r="AL603" t="s">
        <v>92</v>
      </c>
      <c r="AM603" t="s">
        <v>93</v>
      </c>
      <c r="AN603" t="s">
        <v>94</v>
      </c>
      <c r="AO603" t="s">
        <v>11584</v>
      </c>
      <c r="AP603" t="s">
        <v>74</v>
      </c>
      <c r="AQ603" t="s">
        <v>74</v>
      </c>
      <c r="AR603" t="s">
        <v>11585</v>
      </c>
      <c r="AS603" t="s">
        <v>11586</v>
      </c>
      <c r="AT603" t="s">
        <v>11478</v>
      </c>
      <c r="AU603">
        <v>2017</v>
      </c>
      <c r="AV603">
        <v>5</v>
      </c>
      <c r="AW603" t="s">
        <v>74</v>
      </c>
      <c r="AX603" t="s">
        <v>74</v>
      </c>
      <c r="AY603" t="s">
        <v>74</v>
      </c>
      <c r="AZ603" t="s">
        <v>74</v>
      </c>
      <c r="BA603" t="s">
        <v>74</v>
      </c>
      <c r="BB603" t="s">
        <v>74</v>
      </c>
      <c r="BC603" t="s">
        <v>74</v>
      </c>
      <c r="BD603" t="s">
        <v>11587</v>
      </c>
      <c r="BE603" t="s">
        <v>11588</v>
      </c>
      <c r="BF603" t="str">
        <f>HYPERLINK("http://dx.doi.org/10.1093/conphys/cox019","http://dx.doi.org/10.1093/conphys/cox019")</f>
        <v>http://dx.doi.org/10.1093/conphys/cox019</v>
      </c>
      <c r="BG603" t="s">
        <v>74</v>
      </c>
      <c r="BH603" t="s">
        <v>74</v>
      </c>
      <c r="BI603">
        <v>15</v>
      </c>
      <c r="BJ603" t="s">
        <v>11589</v>
      </c>
      <c r="BK603" t="s">
        <v>103</v>
      </c>
      <c r="BL603" t="s">
        <v>11590</v>
      </c>
      <c r="BM603" t="s">
        <v>11591</v>
      </c>
      <c r="BN603">
        <v>28852515</v>
      </c>
      <c r="BO603" t="s">
        <v>4540</v>
      </c>
      <c r="BP603" t="s">
        <v>74</v>
      </c>
      <c r="BQ603" t="s">
        <v>74</v>
      </c>
      <c r="BR603" t="s">
        <v>106</v>
      </c>
      <c r="BS603" t="s">
        <v>11592</v>
      </c>
      <c r="BT603" t="str">
        <f>HYPERLINK("https%3A%2F%2Fwww.webofscience.com%2Fwos%2Fwoscc%2Ffull-record%2FWOS:000402601300001","View Full Record in Web of Science")</f>
        <v>View Full Record in Web of Science</v>
      </c>
    </row>
    <row r="604" spans="1:72" x14ac:dyDescent="0.15">
      <c r="A604" t="s">
        <v>72</v>
      </c>
      <c r="B604" t="s">
        <v>11593</v>
      </c>
      <c r="C604" t="s">
        <v>74</v>
      </c>
      <c r="D604" t="s">
        <v>74</v>
      </c>
      <c r="E604" t="s">
        <v>74</v>
      </c>
      <c r="F604" t="s">
        <v>11594</v>
      </c>
      <c r="G604" t="s">
        <v>74</v>
      </c>
      <c r="H604" t="s">
        <v>74</v>
      </c>
      <c r="I604" t="s">
        <v>11595</v>
      </c>
      <c r="J604" t="s">
        <v>3441</v>
      </c>
      <c r="K604" t="s">
        <v>74</v>
      </c>
      <c r="L604" t="s">
        <v>74</v>
      </c>
      <c r="M604" t="s">
        <v>78</v>
      </c>
      <c r="N604" t="s">
        <v>79</v>
      </c>
      <c r="O604" t="s">
        <v>74</v>
      </c>
      <c r="P604" t="s">
        <v>74</v>
      </c>
      <c r="Q604" t="s">
        <v>74</v>
      </c>
      <c r="R604" t="s">
        <v>74</v>
      </c>
      <c r="S604" t="s">
        <v>74</v>
      </c>
      <c r="T604" t="s">
        <v>11596</v>
      </c>
      <c r="U604" t="s">
        <v>11597</v>
      </c>
      <c r="V604" t="s">
        <v>11598</v>
      </c>
      <c r="W604" t="s">
        <v>11599</v>
      </c>
      <c r="X604" t="s">
        <v>11600</v>
      </c>
      <c r="Y604" t="s">
        <v>11601</v>
      </c>
      <c r="Z604" t="s">
        <v>11602</v>
      </c>
      <c r="AA604" t="s">
        <v>11603</v>
      </c>
      <c r="AB604" t="s">
        <v>11604</v>
      </c>
      <c r="AC604" t="s">
        <v>74</v>
      </c>
      <c r="AD604" t="s">
        <v>74</v>
      </c>
      <c r="AE604" t="s">
        <v>74</v>
      </c>
      <c r="AF604" t="s">
        <v>74</v>
      </c>
      <c r="AG604">
        <v>94</v>
      </c>
      <c r="AH604">
        <v>60</v>
      </c>
      <c r="AI604">
        <v>67</v>
      </c>
      <c r="AJ604">
        <v>4</v>
      </c>
      <c r="AK604">
        <v>66</v>
      </c>
      <c r="AL604" t="s">
        <v>3454</v>
      </c>
      <c r="AM604" t="s">
        <v>3455</v>
      </c>
      <c r="AN604" t="s">
        <v>3456</v>
      </c>
      <c r="AO604" t="s">
        <v>3457</v>
      </c>
      <c r="AP604" t="s">
        <v>3458</v>
      </c>
      <c r="AQ604" t="s">
        <v>74</v>
      </c>
      <c r="AR604" t="s">
        <v>3459</v>
      </c>
      <c r="AS604" t="s">
        <v>3460</v>
      </c>
      <c r="AT604" t="s">
        <v>11478</v>
      </c>
      <c r="AU604">
        <v>2017</v>
      </c>
      <c r="AV604">
        <v>568</v>
      </c>
      <c r="AW604" t="s">
        <v>74</v>
      </c>
      <c r="AX604" t="s">
        <v>74</v>
      </c>
      <c r="AY604" t="s">
        <v>74</v>
      </c>
      <c r="AZ604" t="s">
        <v>74</v>
      </c>
      <c r="BA604" t="s">
        <v>74</v>
      </c>
      <c r="BB604">
        <v>1</v>
      </c>
      <c r="BC604">
        <v>16</v>
      </c>
      <c r="BD604" t="s">
        <v>74</v>
      </c>
      <c r="BE604" t="s">
        <v>11605</v>
      </c>
      <c r="BF604" t="str">
        <f>HYPERLINK("http://dx.doi.org/10.3354/meps12099","http://dx.doi.org/10.3354/meps12099")</f>
        <v>http://dx.doi.org/10.3354/meps12099</v>
      </c>
      <c r="BG604" t="s">
        <v>74</v>
      </c>
      <c r="BH604" t="s">
        <v>74</v>
      </c>
      <c r="BI604">
        <v>16</v>
      </c>
      <c r="BJ604" t="s">
        <v>3463</v>
      </c>
      <c r="BK604" t="s">
        <v>103</v>
      </c>
      <c r="BL604" t="s">
        <v>3464</v>
      </c>
      <c r="BM604" t="s">
        <v>11498</v>
      </c>
      <c r="BN604" t="s">
        <v>74</v>
      </c>
      <c r="BO604" t="s">
        <v>412</v>
      </c>
      <c r="BP604" t="s">
        <v>74</v>
      </c>
      <c r="BQ604" t="s">
        <v>74</v>
      </c>
      <c r="BR604" t="s">
        <v>106</v>
      </c>
      <c r="BS604" t="s">
        <v>11606</v>
      </c>
      <c r="BT604" t="str">
        <f>HYPERLINK("https%3A%2F%2Fwww.webofscience.com%2Fwos%2Fwoscc%2Ffull-record%2FWOS:000398911600001","View Full Record in Web of Science")</f>
        <v>View Full Record in Web of Science</v>
      </c>
    </row>
    <row r="605" spans="1:72" x14ac:dyDescent="0.15">
      <c r="A605" t="s">
        <v>72</v>
      </c>
      <c r="B605" t="s">
        <v>11607</v>
      </c>
      <c r="C605" t="s">
        <v>74</v>
      </c>
      <c r="D605" t="s">
        <v>74</v>
      </c>
      <c r="E605" t="s">
        <v>74</v>
      </c>
      <c r="F605" t="s">
        <v>11608</v>
      </c>
      <c r="G605" t="s">
        <v>74</v>
      </c>
      <c r="H605" t="s">
        <v>74</v>
      </c>
      <c r="I605" t="s">
        <v>11609</v>
      </c>
      <c r="J605" t="s">
        <v>3661</v>
      </c>
      <c r="K605" t="s">
        <v>74</v>
      </c>
      <c r="L605" t="s">
        <v>74</v>
      </c>
      <c r="M605" t="s">
        <v>78</v>
      </c>
      <c r="N605" t="s">
        <v>79</v>
      </c>
      <c r="O605" t="s">
        <v>74</v>
      </c>
      <c r="P605" t="s">
        <v>74</v>
      </c>
      <c r="Q605" t="s">
        <v>74</v>
      </c>
      <c r="R605" t="s">
        <v>74</v>
      </c>
      <c r="S605" t="s">
        <v>74</v>
      </c>
      <c r="T605" t="s">
        <v>74</v>
      </c>
      <c r="U605" t="s">
        <v>11610</v>
      </c>
      <c r="V605" t="s">
        <v>11611</v>
      </c>
      <c r="W605" t="s">
        <v>11612</v>
      </c>
      <c r="X605" t="s">
        <v>11613</v>
      </c>
      <c r="Y605" t="s">
        <v>11614</v>
      </c>
      <c r="Z605" t="s">
        <v>11615</v>
      </c>
      <c r="AA605" t="s">
        <v>11616</v>
      </c>
      <c r="AB605" t="s">
        <v>11617</v>
      </c>
      <c r="AC605" t="s">
        <v>11618</v>
      </c>
      <c r="AD605" t="s">
        <v>11619</v>
      </c>
      <c r="AE605" t="s">
        <v>11620</v>
      </c>
      <c r="AF605" t="s">
        <v>74</v>
      </c>
      <c r="AG605">
        <v>59</v>
      </c>
      <c r="AH605">
        <v>44</v>
      </c>
      <c r="AI605">
        <v>47</v>
      </c>
      <c r="AJ605">
        <v>0</v>
      </c>
      <c r="AK605">
        <v>49</v>
      </c>
      <c r="AL605" t="s">
        <v>3671</v>
      </c>
      <c r="AM605" t="s">
        <v>3672</v>
      </c>
      <c r="AN605" t="s">
        <v>3673</v>
      </c>
      <c r="AO605" t="s">
        <v>3674</v>
      </c>
      <c r="AP605" t="s">
        <v>74</v>
      </c>
      <c r="AQ605" t="s">
        <v>74</v>
      </c>
      <c r="AR605" t="s">
        <v>3675</v>
      </c>
      <c r="AS605" t="s">
        <v>3676</v>
      </c>
      <c r="AT605" t="s">
        <v>11621</v>
      </c>
      <c r="AU605">
        <v>2017</v>
      </c>
      <c r="AV605">
        <v>7</v>
      </c>
      <c r="AW605" t="s">
        <v>74</v>
      </c>
      <c r="AX605" t="s">
        <v>74</v>
      </c>
      <c r="AY605" t="s">
        <v>74</v>
      </c>
      <c r="AZ605" t="s">
        <v>74</v>
      </c>
      <c r="BA605" t="s">
        <v>74</v>
      </c>
      <c r="BB605" t="s">
        <v>74</v>
      </c>
      <c r="BC605" t="s">
        <v>74</v>
      </c>
      <c r="BD605">
        <v>44585</v>
      </c>
      <c r="BE605" t="s">
        <v>11622</v>
      </c>
      <c r="BF605" t="str">
        <f>HYPERLINK("http://dx.doi.org/10.1038/srep44585","http://dx.doi.org/10.1038/srep44585")</f>
        <v>http://dx.doi.org/10.1038/srep44585</v>
      </c>
      <c r="BG605" t="s">
        <v>74</v>
      </c>
      <c r="BH605" t="s">
        <v>74</v>
      </c>
      <c r="BI605">
        <v>10</v>
      </c>
      <c r="BJ605" t="s">
        <v>1617</v>
      </c>
      <c r="BK605" t="s">
        <v>103</v>
      </c>
      <c r="BL605" t="s">
        <v>1618</v>
      </c>
      <c r="BM605" t="s">
        <v>11623</v>
      </c>
      <c r="BN605">
        <v>28327635</v>
      </c>
      <c r="BO605" t="s">
        <v>7299</v>
      </c>
      <c r="BP605" t="s">
        <v>74</v>
      </c>
      <c r="BQ605" t="s">
        <v>74</v>
      </c>
      <c r="BR605" t="s">
        <v>106</v>
      </c>
      <c r="BS605" t="s">
        <v>11624</v>
      </c>
      <c r="BT605" t="str">
        <f>HYPERLINK("https%3A%2F%2Fwww.webofscience.com%2Fwos%2Fwoscc%2Ffull-record%2FWOS:000397009500001","View Full Record in Web of Science")</f>
        <v>View Full Record in Web of Science</v>
      </c>
    </row>
    <row r="606" spans="1:72" x14ac:dyDescent="0.15">
      <c r="A606" t="s">
        <v>72</v>
      </c>
      <c r="B606" t="s">
        <v>11625</v>
      </c>
      <c r="C606" t="s">
        <v>74</v>
      </c>
      <c r="D606" t="s">
        <v>74</v>
      </c>
      <c r="E606" t="s">
        <v>74</v>
      </c>
      <c r="F606" t="s">
        <v>11626</v>
      </c>
      <c r="G606" t="s">
        <v>74</v>
      </c>
      <c r="H606" t="s">
        <v>74</v>
      </c>
      <c r="I606" t="s">
        <v>11627</v>
      </c>
      <c r="J606" t="s">
        <v>4545</v>
      </c>
      <c r="K606" t="s">
        <v>74</v>
      </c>
      <c r="L606" t="s">
        <v>74</v>
      </c>
      <c r="M606" t="s">
        <v>78</v>
      </c>
      <c r="N606" t="s">
        <v>518</v>
      </c>
      <c r="O606" t="s">
        <v>74</v>
      </c>
      <c r="P606" t="s">
        <v>74</v>
      </c>
      <c r="Q606" t="s">
        <v>74</v>
      </c>
      <c r="R606" t="s">
        <v>74</v>
      </c>
      <c r="S606" t="s">
        <v>74</v>
      </c>
      <c r="T606" t="s">
        <v>74</v>
      </c>
      <c r="U606" t="s">
        <v>74</v>
      </c>
      <c r="V606" t="s">
        <v>11628</v>
      </c>
      <c r="W606" t="s">
        <v>11629</v>
      </c>
      <c r="X606" t="s">
        <v>11630</v>
      </c>
      <c r="Y606" t="s">
        <v>11631</v>
      </c>
      <c r="Z606" t="s">
        <v>11632</v>
      </c>
      <c r="AA606" t="s">
        <v>11633</v>
      </c>
      <c r="AB606" t="s">
        <v>11634</v>
      </c>
      <c r="AC606" t="s">
        <v>74</v>
      </c>
      <c r="AD606" t="s">
        <v>74</v>
      </c>
      <c r="AE606" t="s">
        <v>74</v>
      </c>
      <c r="AF606" t="s">
        <v>74</v>
      </c>
      <c r="AG606">
        <v>18</v>
      </c>
      <c r="AH606">
        <v>12</v>
      </c>
      <c r="AI606">
        <v>12</v>
      </c>
      <c r="AJ606">
        <v>0</v>
      </c>
      <c r="AK606">
        <v>23</v>
      </c>
      <c r="AL606" t="s">
        <v>3534</v>
      </c>
      <c r="AM606" t="s">
        <v>3535</v>
      </c>
      <c r="AN606" t="s">
        <v>3536</v>
      </c>
      <c r="AO606" t="s">
        <v>4557</v>
      </c>
      <c r="AP606" t="s">
        <v>4558</v>
      </c>
      <c r="AQ606" t="s">
        <v>74</v>
      </c>
      <c r="AR606" t="s">
        <v>4559</v>
      </c>
      <c r="AS606" t="s">
        <v>4560</v>
      </c>
      <c r="AT606" t="s">
        <v>11635</v>
      </c>
      <c r="AU606">
        <v>2017</v>
      </c>
      <c r="AV606">
        <v>9</v>
      </c>
      <c r="AW606">
        <v>1</v>
      </c>
      <c r="AX606" t="s">
        <v>74</v>
      </c>
      <c r="AY606" t="s">
        <v>74</v>
      </c>
      <c r="AZ606" t="s">
        <v>74</v>
      </c>
      <c r="BA606" t="s">
        <v>74</v>
      </c>
      <c r="BB606">
        <v>211</v>
      </c>
      <c r="BC606">
        <v>220</v>
      </c>
      <c r="BD606" t="s">
        <v>74</v>
      </c>
      <c r="BE606" t="s">
        <v>11636</v>
      </c>
      <c r="BF606" t="str">
        <f>HYPERLINK("http://dx.doi.org/10.5194/essd-9-211-2017","http://dx.doi.org/10.5194/essd-9-211-2017")</f>
        <v>http://dx.doi.org/10.5194/essd-9-211-2017</v>
      </c>
      <c r="BG606" t="s">
        <v>74</v>
      </c>
      <c r="BH606" t="s">
        <v>74</v>
      </c>
      <c r="BI606">
        <v>10</v>
      </c>
      <c r="BJ606" t="s">
        <v>3820</v>
      </c>
      <c r="BK606" t="s">
        <v>103</v>
      </c>
      <c r="BL606" t="s">
        <v>3821</v>
      </c>
      <c r="BM606" t="s">
        <v>11637</v>
      </c>
      <c r="BN606" t="s">
        <v>74</v>
      </c>
      <c r="BO606" t="s">
        <v>4484</v>
      </c>
      <c r="BP606" t="s">
        <v>74</v>
      </c>
      <c r="BQ606" t="s">
        <v>74</v>
      </c>
      <c r="BR606" t="s">
        <v>106</v>
      </c>
      <c r="BS606" t="s">
        <v>11638</v>
      </c>
      <c r="BT606" t="str">
        <f>HYPERLINK("https%3A%2F%2Fwww.webofscience.com%2Fwos%2Fwoscc%2Ffull-record%2FWOS:000397887600001","View Full Record in Web of Science")</f>
        <v>View Full Record in Web of Science</v>
      </c>
    </row>
    <row r="607" spans="1:72" x14ac:dyDescent="0.15">
      <c r="A607" t="s">
        <v>72</v>
      </c>
      <c r="B607" t="s">
        <v>11639</v>
      </c>
      <c r="C607" t="s">
        <v>74</v>
      </c>
      <c r="D607" t="s">
        <v>74</v>
      </c>
      <c r="E607" t="s">
        <v>74</v>
      </c>
      <c r="F607" t="s">
        <v>11640</v>
      </c>
      <c r="G607" t="s">
        <v>74</v>
      </c>
      <c r="H607" t="s">
        <v>74</v>
      </c>
      <c r="I607" t="s">
        <v>11641</v>
      </c>
      <c r="J607" t="s">
        <v>11642</v>
      </c>
      <c r="K607" t="s">
        <v>74</v>
      </c>
      <c r="L607" t="s">
        <v>74</v>
      </c>
      <c r="M607" t="s">
        <v>78</v>
      </c>
      <c r="N607" t="s">
        <v>79</v>
      </c>
      <c r="O607" t="s">
        <v>74</v>
      </c>
      <c r="P607" t="s">
        <v>74</v>
      </c>
      <c r="Q607" t="s">
        <v>74</v>
      </c>
      <c r="R607" t="s">
        <v>74</v>
      </c>
      <c r="S607" t="s">
        <v>74</v>
      </c>
      <c r="T607" t="s">
        <v>11643</v>
      </c>
      <c r="U607" t="s">
        <v>11644</v>
      </c>
      <c r="V607" t="s">
        <v>11645</v>
      </c>
      <c r="W607" t="s">
        <v>11646</v>
      </c>
      <c r="X607" t="s">
        <v>11647</v>
      </c>
      <c r="Y607" t="s">
        <v>11648</v>
      </c>
      <c r="Z607" t="s">
        <v>11649</v>
      </c>
      <c r="AA607" t="s">
        <v>74</v>
      </c>
      <c r="AB607" t="s">
        <v>74</v>
      </c>
      <c r="AC607" t="s">
        <v>11650</v>
      </c>
      <c r="AD607" t="s">
        <v>11651</v>
      </c>
      <c r="AE607" t="s">
        <v>11652</v>
      </c>
      <c r="AF607" t="s">
        <v>74</v>
      </c>
      <c r="AG607">
        <v>60</v>
      </c>
      <c r="AH607">
        <v>4</v>
      </c>
      <c r="AI607">
        <v>5</v>
      </c>
      <c r="AJ607">
        <v>0</v>
      </c>
      <c r="AK607">
        <v>8</v>
      </c>
      <c r="AL607" t="s">
        <v>5702</v>
      </c>
      <c r="AM607" t="s">
        <v>5703</v>
      </c>
      <c r="AN607" t="s">
        <v>5704</v>
      </c>
      <c r="AO607" t="s">
        <v>11653</v>
      </c>
      <c r="AP607" t="s">
        <v>11654</v>
      </c>
      <c r="AQ607" t="s">
        <v>74</v>
      </c>
      <c r="AR607" t="s">
        <v>11655</v>
      </c>
      <c r="AS607" t="s">
        <v>11656</v>
      </c>
      <c r="AT607" t="s">
        <v>11635</v>
      </c>
      <c r="AU607">
        <v>2017</v>
      </c>
      <c r="AV607">
        <v>98</v>
      </c>
      <c r="AW607">
        <v>2</v>
      </c>
      <c r="AX607" t="s">
        <v>74</v>
      </c>
      <c r="AY607" t="s">
        <v>74</v>
      </c>
      <c r="AZ607" t="s">
        <v>74</v>
      </c>
      <c r="BA607" t="s">
        <v>74</v>
      </c>
      <c r="BB607">
        <v>397</v>
      </c>
      <c r="BC607">
        <v>409</v>
      </c>
      <c r="BD607" t="s">
        <v>74</v>
      </c>
      <c r="BE607" t="s">
        <v>11657</v>
      </c>
      <c r="BF607" t="str">
        <f>HYPERLINK("http://dx.doi.org/10.1093/jmammal/gyw182","http://dx.doi.org/10.1093/jmammal/gyw182")</f>
        <v>http://dx.doi.org/10.1093/jmammal/gyw182</v>
      </c>
      <c r="BG607" t="s">
        <v>74</v>
      </c>
      <c r="BH607" t="s">
        <v>74</v>
      </c>
      <c r="BI607">
        <v>13</v>
      </c>
      <c r="BJ607" t="s">
        <v>555</v>
      </c>
      <c r="BK607" t="s">
        <v>103</v>
      </c>
      <c r="BL607" t="s">
        <v>555</v>
      </c>
      <c r="BM607" t="s">
        <v>11658</v>
      </c>
      <c r="BN607" t="s">
        <v>74</v>
      </c>
      <c r="BO607" t="s">
        <v>412</v>
      </c>
      <c r="BP607" t="s">
        <v>74</v>
      </c>
      <c r="BQ607" t="s">
        <v>74</v>
      </c>
      <c r="BR607" t="s">
        <v>106</v>
      </c>
      <c r="BS607" t="s">
        <v>11659</v>
      </c>
      <c r="BT607" t="str">
        <f>HYPERLINK("https%3A%2F%2Fwww.webofscience.com%2Fwos%2Fwoscc%2Ffull-record%2FWOS:000398033100008","View Full Record in Web of Science")</f>
        <v>View Full Record in Web of Science</v>
      </c>
    </row>
    <row r="608" spans="1:72" x14ac:dyDescent="0.15">
      <c r="A608" t="s">
        <v>72</v>
      </c>
      <c r="B608" t="s">
        <v>11660</v>
      </c>
      <c r="C608" t="s">
        <v>74</v>
      </c>
      <c r="D608" t="s">
        <v>74</v>
      </c>
      <c r="E608" t="s">
        <v>74</v>
      </c>
      <c r="F608" t="s">
        <v>11661</v>
      </c>
      <c r="G608" t="s">
        <v>74</v>
      </c>
      <c r="H608" t="s">
        <v>74</v>
      </c>
      <c r="I608" t="s">
        <v>11662</v>
      </c>
      <c r="J608" t="s">
        <v>1599</v>
      </c>
      <c r="K608" t="s">
        <v>74</v>
      </c>
      <c r="L608" t="s">
        <v>74</v>
      </c>
      <c r="M608" t="s">
        <v>78</v>
      </c>
      <c r="N608" t="s">
        <v>79</v>
      </c>
      <c r="O608" t="s">
        <v>74</v>
      </c>
      <c r="P608" t="s">
        <v>74</v>
      </c>
      <c r="Q608" t="s">
        <v>74</v>
      </c>
      <c r="R608" t="s">
        <v>74</v>
      </c>
      <c r="S608" t="s">
        <v>74</v>
      </c>
      <c r="T608" t="s">
        <v>74</v>
      </c>
      <c r="U608" t="s">
        <v>11663</v>
      </c>
      <c r="V608" t="s">
        <v>11664</v>
      </c>
      <c r="W608" t="s">
        <v>11665</v>
      </c>
      <c r="X608" t="s">
        <v>11666</v>
      </c>
      <c r="Y608" t="s">
        <v>11667</v>
      </c>
      <c r="Z608" t="s">
        <v>11668</v>
      </c>
      <c r="AA608" t="s">
        <v>11669</v>
      </c>
      <c r="AB608" t="s">
        <v>11670</v>
      </c>
      <c r="AC608" t="s">
        <v>11671</v>
      </c>
      <c r="AD608" t="s">
        <v>11672</v>
      </c>
      <c r="AE608" t="s">
        <v>11673</v>
      </c>
      <c r="AF608" t="s">
        <v>74</v>
      </c>
      <c r="AG608">
        <v>67</v>
      </c>
      <c r="AH608">
        <v>114</v>
      </c>
      <c r="AI608">
        <v>125</v>
      </c>
      <c r="AJ608">
        <v>10</v>
      </c>
      <c r="AK608">
        <v>93</v>
      </c>
      <c r="AL608" t="s">
        <v>3671</v>
      </c>
      <c r="AM608" t="s">
        <v>3672</v>
      </c>
      <c r="AN608" t="s">
        <v>3673</v>
      </c>
      <c r="AO608" t="s">
        <v>74</v>
      </c>
      <c r="AP608" t="s">
        <v>1613</v>
      </c>
      <c r="AQ608" t="s">
        <v>74</v>
      </c>
      <c r="AR608" t="s">
        <v>1614</v>
      </c>
      <c r="AS608" t="s">
        <v>1615</v>
      </c>
      <c r="AT608" t="s">
        <v>11635</v>
      </c>
      <c r="AU608">
        <v>2017</v>
      </c>
      <c r="AV608">
        <v>8</v>
      </c>
      <c r="AW608" t="s">
        <v>74</v>
      </c>
      <c r="AX608" t="s">
        <v>74</v>
      </c>
      <c r="AY608" t="s">
        <v>74</v>
      </c>
      <c r="AZ608" t="s">
        <v>74</v>
      </c>
      <c r="BA608" t="s">
        <v>74</v>
      </c>
      <c r="BB608" t="s">
        <v>74</v>
      </c>
      <c r="BC608" t="s">
        <v>74</v>
      </c>
      <c r="BD608">
        <v>14847</v>
      </c>
      <c r="BE608" t="s">
        <v>11674</v>
      </c>
      <c r="BF608" t="str">
        <f>HYPERLINK("http://dx.doi.org/10.1038/ncomms14847","http://dx.doi.org/10.1038/ncomms14847")</f>
        <v>http://dx.doi.org/10.1038/ncomms14847</v>
      </c>
      <c r="BG608" t="s">
        <v>74</v>
      </c>
      <c r="BH608" t="s">
        <v>74</v>
      </c>
      <c r="BI608">
        <v>9</v>
      </c>
      <c r="BJ608" t="s">
        <v>1617</v>
      </c>
      <c r="BK608" t="s">
        <v>103</v>
      </c>
      <c r="BL608" t="s">
        <v>1618</v>
      </c>
      <c r="BM608" t="s">
        <v>11675</v>
      </c>
      <c r="BN608">
        <v>28322218</v>
      </c>
      <c r="BO608" t="s">
        <v>7702</v>
      </c>
      <c r="BP608" t="s">
        <v>74</v>
      </c>
      <c r="BQ608" t="s">
        <v>74</v>
      </c>
      <c r="BR608" t="s">
        <v>106</v>
      </c>
      <c r="BS608" t="s">
        <v>11676</v>
      </c>
      <c r="BT608" t="str">
        <f>HYPERLINK("https%3A%2F%2Fwww.webofscience.com%2Fwos%2Fwoscc%2Ffull-record%2FWOS:000396857900001","View Full Record in Web of Science")</f>
        <v>View Full Record in Web of Science</v>
      </c>
    </row>
    <row r="609" spans="1:72" x14ac:dyDescent="0.15">
      <c r="A609" t="s">
        <v>72</v>
      </c>
      <c r="B609" t="s">
        <v>11677</v>
      </c>
      <c r="C609" t="s">
        <v>74</v>
      </c>
      <c r="D609" t="s">
        <v>74</v>
      </c>
      <c r="E609" t="s">
        <v>74</v>
      </c>
      <c r="F609" t="s">
        <v>11678</v>
      </c>
      <c r="G609" t="s">
        <v>74</v>
      </c>
      <c r="H609" t="s">
        <v>74</v>
      </c>
      <c r="I609" t="s">
        <v>11679</v>
      </c>
      <c r="J609" t="s">
        <v>11680</v>
      </c>
      <c r="K609" t="s">
        <v>74</v>
      </c>
      <c r="L609" t="s">
        <v>74</v>
      </c>
      <c r="M609" t="s">
        <v>78</v>
      </c>
      <c r="N609" t="s">
        <v>79</v>
      </c>
      <c r="O609" t="s">
        <v>74</v>
      </c>
      <c r="P609" t="s">
        <v>74</v>
      </c>
      <c r="Q609" t="s">
        <v>74</v>
      </c>
      <c r="R609" t="s">
        <v>74</v>
      </c>
      <c r="S609" t="s">
        <v>74</v>
      </c>
      <c r="T609" t="s">
        <v>11681</v>
      </c>
      <c r="U609" t="s">
        <v>11682</v>
      </c>
      <c r="V609" t="s">
        <v>11683</v>
      </c>
      <c r="W609" t="s">
        <v>11684</v>
      </c>
      <c r="X609" t="s">
        <v>11685</v>
      </c>
      <c r="Y609" t="s">
        <v>11686</v>
      </c>
      <c r="Z609" t="s">
        <v>11687</v>
      </c>
      <c r="AA609" t="s">
        <v>11688</v>
      </c>
      <c r="AB609" t="s">
        <v>11689</v>
      </c>
      <c r="AC609" t="s">
        <v>11690</v>
      </c>
      <c r="AD609" t="s">
        <v>11691</v>
      </c>
      <c r="AE609" t="s">
        <v>11692</v>
      </c>
      <c r="AF609" t="s">
        <v>74</v>
      </c>
      <c r="AG609">
        <v>60</v>
      </c>
      <c r="AH609">
        <v>19</v>
      </c>
      <c r="AI609">
        <v>23</v>
      </c>
      <c r="AJ609">
        <v>1</v>
      </c>
      <c r="AK609">
        <v>38</v>
      </c>
      <c r="AL609" t="s">
        <v>317</v>
      </c>
      <c r="AM609" t="s">
        <v>318</v>
      </c>
      <c r="AN609" t="s">
        <v>319</v>
      </c>
      <c r="AO609" t="s">
        <v>11693</v>
      </c>
      <c r="AP609" t="s">
        <v>11694</v>
      </c>
      <c r="AQ609" t="s">
        <v>74</v>
      </c>
      <c r="AR609" t="s">
        <v>11695</v>
      </c>
      <c r="AS609" t="s">
        <v>11696</v>
      </c>
      <c r="AT609" t="s">
        <v>11697</v>
      </c>
      <c r="AU609">
        <v>2017</v>
      </c>
      <c r="AV609">
        <v>245</v>
      </c>
      <c r="AW609" t="s">
        <v>74</v>
      </c>
      <c r="AX609" t="s">
        <v>74</v>
      </c>
      <c r="AY609" t="s">
        <v>74</v>
      </c>
      <c r="AZ609" t="s">
        <v>74</v>
      </c>
      <c r="BA609" t="s">
        <v>74</v>
      </c>
      <c r="BB609">
        <v>59</v>
      </c>
      <c r="BC609">
        <v>65</v>
      </c>
      <c r="BD609" t="s">
        <v>74</v>
      </c>
      <c r="BE609" t="s">
        <v>11698</v>
      </c>
      <c r="BF609" t="str">
        <f>HYPERLINK("http://dx.doi.org/10.1016/j.ijfoodmicro.2017.01.009","http://dx.doi.org/10.1016/j.ijfoodmicro.2017.01.009")</f>
        <v>http://dx.doi.org/10.1016/j.ijfoodmicro.2017.01.009</v>
      </c>
      <c r="BG609" t="s">
        <v>74</v>
      </c>
      <c r="BH609" t="s">
        <v>74</v>
      </c>
      <c r="BI609">
        <v>7</v>
      </c>
      <c r="BJ609" t="s">
        <v>11699</v>
      </c>
      <c r="BK609" t="s">
        <v>103</v>
      </c>
      <c r="BL609" t="s">
        <v>11699</v>
      </c>
      <c r="BM609" t="s">
        <v>11700</v>
      </c>
      <c r="BN609">
        <v>28131961</v>
      </c>
      <c r="BO609" t="s">
        <v>74</v>
      </c>
      <c r="BP609" t="s">
        <v>74</v>
      </c>
      <c r="BQ609" t="s">
        <v>74</v>
      </c>
      <c r="BR609" t="s">
        <v>106</v>
      </c>
      <c r="BS609" t="s">
        <v>11701</v>
      </c>
      <c r="BT609" t="str">
        <f>HYPERLINK("https%3A%2F%2Fwww.webofscience.com%2Fwos%2Fwoscc%2Ffull-record%2FWOS:000395599700008","View Full Record in Web of Science")</f>
        <v>View Full Record in Web of Science</v>
      </c>
    </row>
    <row r="610" spans="1:72" x14ac:dyDescent="0.15">
      <c r="A610" t="s">
        <v>72</v>
      </c>
      <c r="B610" t="s">
        <v>11702</v>
      </c>
      <c r="C610" t="s">
        <v>74</v>
      </c>
      <c r="D610" t="s">
        <v>74</v>
      </c>
      <c r="E610" t="s">
        <v>74</v>
      </c>
      <c r="F610" t="s">
        <v>11703</v>
      </c>
      <c r="G610" t="s">
        <v>74</v>
      </c>
      <c r="H610" t="s">
        <v>74</v>
      </c>
      <c r="I610" t="s">
        <v>11704</v>
      </c>
      <c r="J610" t="s">
        <v>3827</v>
      </c>
      <c r="K610" t="s">
        <v>74</v>
      </c>
      <c r="L610" t="s">
        <v>74</v>
      </c>
      <c r="M610" t="s">
        <v>78</v>
      </c>
      <c r="N610" t="s">
        <v>79</v>
      </c>
      <c r="O610" t="s">
        <v>74</v>
      </c>
      <c r="P610" t="s">
        <v>74</v>
      </c>
      <c r="Q610" t="s">
        <v>74</v>
      </c>
      <c r="R610" t="s">
        <v>74</v>
      </c>
      <c r="S610" t="s">
        <v>74</v>
      </c>
      <c r="T610" t="s">
        <v>74</v>
      </c>
      <c r="U610" t="s">
        <v>11705</v>
      </c>
      <c r="V610" t="s">
        <v>11706</v>
      </c>
      <c r="W610" t="s">
        <v>11707</v>
      </c>
      <c r="X610" t="s">
        <v>11708</v>
      </c>
      <c r="Y610" t="s">
        <v>11709</v>
      </c>
      <c r="Z610" t="s">
        <v>11710</v>
      </c>
      <c r="AA610" t="s">
        <v>74</v>
      </c>
      <c r="AB610" t="s">
        <v>11711</v>
      </c>
      <c r="AC610" t="s">
        <v>11712</v>
      </c>
      <c r="AD610" t="s">
        <v>11713</v>
      </c>
      <c r="AE610" t="s">
        <v>11714</v>
      </c>
      <c r="AF610" t="s">
        <v>74</v>
      </c>
      <c r="AG610">
        <v>68</v>
      </c>
      <c r="AH610">
        <v>18</v>
      </c>
      <c r="AI610">
        <v>21</v>
      </c>
      <c r="AJ610">
        <v>2</v>
      </c>
      <c r="AK610">
        <v>48</v>
      </c>
      <c r="AL610" t="s">
        <v>3534</v>
      </c>
      <c r="AM610" t="s">
        <v>3535</v>
      </c>
      <c r="AN610" t="s">
        <v>3536</v>
      </c>
      <c r="AO610" t="s">
        <v>3839</v>
      </c>
      <c r="AP610" t="s">
        <v>3840</v>
      </c>
      <c r="AQ610" t="s">
        <v>74</v>
      </c>
      <c r="AR610" t="s">
        <v>3827</v>
      </c>
      <c r="AS610" t="s">
        <v>3841</v>
      </c>
      <c r="AT610" t="s">
        <v>11715</v>
      </c>
      <c r="AU610">
        <v>2017</v>
      </c>
      <c r="AV610">
        <v>11</v>
      </c>
      <c r="AW610">
        <v>2</v>
      </c>
      <c r="AX610" t="s">
        <v>74</v>
      </c>
      <c r="AY610" t="s">
        <v>74</v>
      </c>
      <c r="AZ610" t="s">
        <v>74</v>
      </c>
      <c r="BA610" t="s">
        <v>74</v>
      </c>
      <c r="BB610">
        <v>707</v>
      </c>
      <c r="BC610">
        <v>722</v>
      </c>
      <c r="BD610" t="s">
        <v>74</v>
      </c>
      <c r="BE610" t="s">
        <v>11716</v>
      </c>
      <c r="BF610" t="str">
        <f>HYPERLINK("http://dx.doi.org/10.5194/tc-11-707-2017","http://dx.doi.org/10.5194/tc-11-707-2017")</f>
        <v>http://dx.doi.org/10.5194/tc-11-707-2017</v>
      </c>
      <c r="BG610" t="s">
        <v>74</v>
      </c>
      <c r="BH610" t="s">
        <v>74</v>
      </c>
      <c r="BI610">
        <v>16</v>
      </c>
      <c r="BJ610" t="s">
        <v>1338</v>
      </c>
      <c r="BK610" t="s">
        <v>103</v>
      </c>
      <c r="BL610" t="s">
        <v>1339</v>
      </c>
      <c r="BM610" t="s">
        <v>11717</v>
      </c>
      <c r="BN610" t="s">
        <v>74</v>
      </c>
      <c r="BO610" t="s">
        <v>205</v>
      </c>
      <c r="BP610" t="s">
        <v>74</v>
      </c>
      <c r="BQ610" t="s">
        <v>74</v>
      </c>
      <c r="BR610" t="s">
        <v>106</v>
      </c>
      <c r="BS610" t="s">
        <v>11718</v>
      </c>
      <c r="BT610" t="str">
        <f>HYPERLINK("https%3A%2F%2Fwww.webofscience.com%2Fwos%2Fwoscc%2Ffull-record%2FWOS:000398590200002","View Full Record in Web of Science")</f>
        <v>View Full Record in Web of Science</v>
      </c>
    </row>
    <row r="611" spans="1:72" x14ac:dyDescent="0.15">
      <c r="A611" t="s">
        <v>72</v>
      </c>
      <c r="B611" t="s">
        <v>11719</v>
      </c>
      <c r="C611" t="s">
        <v>74</v>
      </c>
      <c r="D611" t="s">
        <v>74</v>
      </c>
      <c r="E611" t="s">
        <v>74</v>
      </c>
      <c r="F611" t="s">
        <v>11720</v>
      </c>
      <c r="G611" t="s">
        <v>74</v>
      </c>
      <c r="H611" t="s">
        <v>74</v>
      </c>
      <c r="I611" t="s">
        <v>11721</v>
      </c>
      <c r="J611" t="s">
        <v>1599</v>
      </c>
      <c r="K611" t="s">
        <v>74</v>
      </c>
      <c r="L611" t="s">
        <v>74</v>
      </c>
      <c r="M611" t="s">
        <v>78</v>
      </c>
      <c r="N611" t="s">
        <v>79</v>
      </c>
      <c r="O611" t="s">
        <v>74</v>
      </c>
      <c r="P611" t="s">
        <v>74</v>
      </c>
      <c r="Q611" t="s">
        <v>74</v>
      </c>
      <c r="R611" t="s">
        <v>74</v>
      </c>
      <c r="S611" t="s">
        <v>74</v>
      </c>
      <c r="T611" t="s">
        <v>74</v>
      </c>
      <c r="U611" t="s">
        <v>11722</v>
      </c>
      <c r="V611" t="s">
        <v>11723</v>
      </c>
      <c r="W611" t="s">
        <v>11724</v>
      </c>
      <c r="X611" t="s">
        <v>11725</v>
      </c>
      <c r="Y611" t="s">
        <v>11726</v>
      </c>
      <c r="Z611" t="s">
        <v>11727</v>
      </c>
      <c r="AA611" t="s">
        <v>11728</v>
      </c>
      <c r="AB611" t="s">
        <v>11729</v>
      </c>
      <c r="AC611" t="s">
        <v>11730</v>
      </c>
      <c r="AD611" t="s">
        <v>11731</v>
      </c>
      <c r="AE611" t="s">
        <v>11732</v>
      </c>
      <c r="AF611" t="s">
        <v>74</v>
      </c>
      <c r="AG611">
        <v>83</v>
      </c>
      <c r="AH611">
        <v>26</v>
      </c>
      <c r="AI611">
        <v>27</v>
      </c>
      <c r="AJ611">
        <v>2</v>
      </c>
      <c r="AK611">
        <v>20</v>
      </c>
      <c r="AL611" t="s">
        <v>3671</v>
      </c>
      <c r="AM611" t="s">
        <v>3672</v>
      </c>
      <c r="AN611" t="s">
        <v>3673</v>
      </c>
      <c r="AO611" t="s">
        <v>74</v>
      </c>
      <c r="AP611" t="s">
        <v>1613</v>
      </c>
      <c r="AQ611" t="s">
        <v>74</v>
      </c>
      <c r="AR611" t="s">
        <v>1614</v>
      </c>
      <c r="AS611" t="s">
        <v>1615</v>
      </c>
      <c r="AT611" t="s">
        <v>11715</v>
      </c>
      <c r="AU611">
        <v>2017</v>
      </c>
      <c r="AV611">
        <v>8</v>
      </c>
      <c r="AW611" t="s">
        <v>74</v>
      </c>
      <c r="AX611" t="s">
        <v>74</v>
      </c>
      <c r="AY611" t="s">
        <v>74</v>
      </c>
      <c r="AZ611" t="s">
        <v>74</v>
      </c>
      <c r="BA611" t="s">
        <v>74</v>
      </c>
      <c r="BB611" t="s">
        <v>74</v>
      </c>
      <c r="BC611" t="s">
        <v>74</v>
      </c>
      <c r="BD611">
        <v>14798</v>
      </c>
      <c r="BE611" t="s">
        <v>11733</v>
      </c>
      <c r="BF611" t="str">
        <f>HYPERLINK("http://dx.doi.org/10.1038/ncomms14798","http://dx.doi.org/10.1038/ncomms14798")</f>
        <v>http://dx.doi.org/10.1038/ncomms14798</v>
      </c>
      <c r="BG611" t="s">
        <v>74</v>
      </c>
      <c r="BH611" t="s">
        <v>74</v>
      </c>
      <c r="BI611">
        <v>15</v>
      </c>
      <c r="BJ611" t="s">
        <v>1617</v>
      </c>
      <c r="BK611" t="s">
        <v>103</v>
      </c>
      <c r="BL611" t="s">
        <v>1618</v>
      </c>
      <c r="BM611" t="s">
        <v>11734</v>
      </c>
      <c r="BN611">
        <v>28303885</v>
      </c>
      <c r="BO611" t="s">
        <v>8026</v>
      </c>
      <c r="BP611" t="s">
        <v>74</v>
      </c>
      <c r="BQ611" t="s">
        <v>74</v>
      </c>
      <c r="BR611" t="s">
        <v>106</v>
      </c>
      <c r="BS611" t="s">
        <v>11735</v>
      </c>
      <c r="BT611" t="str">
        <f>HYPERLINK("https%3A%2F%2Fwww.webofscience.com%2Fwos%2Fwoscc%2Ffull-record%2FWOS:000396402600001","View Full Record in Web of Science")</f>
        <v>View Full Record in Web of Science</v>
      </c>
    </row>
    <row r="612" spans="1:72" x14ac:dyDescent="0.15">
      <c r="A612" t="s">
        <v>72</v>
      </c>
      <c r="B612" t="s">
        <v>11736</v>
      </c>
      <c r="C612" t="s">
        <v>74</v>
      </c>
      <c r="D612" t="s">
        <v>74</v>
      </c>
      <c r="E612" t="s">
        <v>74</v>
      </c>
      <c r="F612" t="s">
        <v>11737</v>
      </c>
      <c r="G612" t="s">
        <v>74</v>
      </c>
      <c r="H612" t="s">
        <v>74</v>
      </c>
      <c r="I612" t="s">
        <v>11738</v>
      </c>
      <c r="J612" t="s">
        <v>3684</v>
      </c>
      <c r="K612" t="s">
        <v>74</v>
      </c>
      <c r="L612" t="s">
        <v>74</v>
      </c>
      <c r="M612" t="s">
        <v>78</v>
      </c>
      <c r="N612" t="s">
        <v>79</v>
      </c>
      <c r="O612" t="s">
        <v>74</v>
      </c>
      <c r="P612" t="s">
        <v>74</v>
      </c>
      <c r="Q612" t="s">
        <v>74</v>
      </c>
      <c r="R612" t="s">
        <v>74</v>
      </c>
      <c r="S612" t="s">
        <v>74</v>
      </c>
      <c r="T612" t="s">
        <v>11739</v>
      </c>
      <c r="U612" t="s">
        <v>11740</v>
      </c>
      <c r="V612" t="s">
        <v>11741</v>
      </c>
      <c r="W612" t="s">
        <v>11742</v>
      </c>
      <c r="X612" t="s">
        <v>11743</v>
      </c>
      <c r="Y612" t="s">
        <v>11744</v>
      </c>
      <c r="Z612" t="s">
        <v>11745</v>
      </c>
      <c r="AA612" t="s">
        <v>11746</v>
      </c>
      <c r="AB612" t="s">
        <v>11747</v>
      </c>
      <c r="AC612" t="s">
        <v>11748</v>
      </c>
      <c r="AD612" t="s">
        <v>11749</v>
      </c>
      <c r="AE612" t="s">
        <v>11750</v>
      </c>
      <c r="AF612" t="s">
        <v>74</v>
      </c>
      <c r="AG612">
        <v>28</v>
      </c>
      <c r="AH612">
        <v>29</v>
      </c>
      <c r="AI612">
        <v>33</v>
      </c>
      <c r="AJ612">
        <v>0</v>
      </c>
      <c r="AK612">
        <v>15</v>
      </c>
      <c r="AL612" t="s">
        <v>222</v>
      </c>
      <c r="AM612" t="s">
        <v>223</v>
      </c>
      <c r="AN612" t="s">
        <v>224</v>
      </c>
      <c r="AO612" t="s">
        <v>3696</v>
      </c>
      <c r="AP612" t="s">
        <v>3697</v>
      </c>
      <c r="AQ612" t="s">
        <v>74</v>
      </c>
      <c r="AR612" t="s">
        <v>3698</v>
      </c>
      <c r="AS612" t="s">
        <v>3699</v>
      </c>
      <c r="AT612" t="s">
        <v>11751</v>
      </c>
      <c r="AU612">
        <v>2017</v>
      </c>
      <c r="AV612">
        <v>44</v>
      </c>
      <c r="AW612">
        <v>5</v>
      </c>
      <c r="AX612" t="s">
        <v>74</v>
      </c>
      <c r="AY612" t="s">
        <v>74</v>
      </c>
      <c r="AZ612" t="s">
        <v>74</v>
      </c>
      <c r="BA612" t="s">
        <v>74</v>
      </c>
      <c r="BB612">
        <v>2060</v>
      </c>
      <c r="BC612">
        <v>2069</v>
      </c>
      <c r="BD612" t="s">
        <v>74</v>
      </c>
      <c r="BE612" t="s">
        <v>11752</v>
      </c>
      <c r="BF612" t="str">
        <f>HYPERLINK("http://dx.doi.org/10.1002/2016GL072181","http://dx.doi.org/10.1002/2016GL072181")</f>
        <v>http://dx.doi.org/10.1002/2016GL072181</v>
      </c>
      <c r="BG612" t="s">
        <v>74</v>
      </c>
      <c r="BH612" t="s">
        <v>74</v>
      </c>
      <c r="BI612">
        <v>10</v>
      </c>
      <c r="BJ612" t="s">
        <v>437</v>
      </c>
      <c r="BK612" t="s">
        <v>103</v>
      </c>
      <c r="BL612" t="s">
        <v>438</v>
      </c>
      <c r="BM612" t="s">
        <v>11753</v>
      </c>
      <c r="BN612" t="s">
        <v>74</v>
      </c>
      <c r="BO612" t="s">
        <v>11754</v>
      </c>
      <c r="BP612" t="s">
        <v>74</v>
      </c>
      <c r="BQ612" t="s">
        <v>74</v>
      </c>
      <c r="BR612" t="s">
        <v>106</v>
      </c>
      <c r="BS612" t="s">
        <v>11755</v>
      </c>
      <c r="BT612" t="str">
        <f>HYPERLINK("https%3A%2F%2Fwww.webofscience.com%2Fwos%2Fwoscc%2Ffull-record%2FWOS:000398183700002","View Full Record in Web of Science")</f>
        <v>View Full Record in Web of Science</v>
      </c>
    </row>
    <row r="613" spans="1:72" x14ac:dyDescent="0.15">
      <c r="A613" t="s">
        <v>72</v>
      </c>
      <c r="B613" t="s">
        <v>11756</v>
      </c>
      <c r="C613" t="s">
        <v>74</v>
      </c>
      <c r="D613" t="s">
        <v>74</v>
      </c>
      <c r="E613" t="s">
        <v>74</v>
      </c>
      <c r="F613" t="s">
        <v>11757</v>
      </c>
      <c r="G613" t="s">
        <v>74</v>
      </c>
      <c r="H613" t="s">
        <v>74</v>
      </c>
      <c r="I613" t="s">
        <v>11758</v>
      </c>
      <c r="J613" t="s">
        <v>3684</v>
      </c>
      <c r="K613" t="s">
        <v>74</v>
      </c>
      <c r="L613" t="s">
        <v>74</v>
      </c>
      <c r="M613" t="s">
        <v>78</v>
      </c>
      <c r="N613" t="s">
        <v>79</v>
      </c>
      <c r="O613" t="s">
        <v>74</v>
      </c>
      <c r="P613" t="s">
        <v>74</v>
      </c>
      <c r="Q613" t="s">
        <v>74</v>
      </c>
      <c r="R613" t="s">
        <v>74</v>
      </c>
      <c r="S613" t="s">
        <v>74</v>
      </c>
      <c r="T613" t="s">
        <v>74</v>
      </c>
      <c r="U613" t="s">
        <v>11759</v>
      </c>
      <c r="V613" t="s">
        <v>11760</v>
      </c>
      <c r="W613" t="s">
        <v>11761</v>
      </c>
      <c r="X613" t="s">
        <v>11762</v>
      </c>
      <c r="Y613" t="s">
        <v>11763</v>
      </c>
      <c r="Z613" t="s">
        <v>11764</v>
      </c>
      <c r="AA613" t="s">
        <v>11765</v>
      </c>
      <c r="AB613" t="s">
        <v>11766</v>
      </c>
      <c r="AC613" t="s">
        <v>11767</v>
      </c>
      <c r="AD613" t="s">
        <v>11768</v>
      </c>
      <c r="AE613" t="s">
        <v>11769</v>
      </c>
      <c r="AF613" t="s">
        <v>74</v>
      </c>
      <c r="AG613">
        <v>86</v>
      </c>
      <c r="AH613">
        <v>133</v>
      </c>
      <c r="AI613">
        <v>136</v>
      </c>
      <c r="AJ613">
        <v>2</v>
      </c>
      <c r="AK613">
        <v>14</v>
      </c>
      <c r="AL613" t="s">
        <v>222</v>
      </c>
      <c r="AM613" t="s">
        <v>223</v>
      </c>
      <c r="AN613" t="s">
        <v>224</v>
      </c>
      <c r="AO613" t="s">
        <v>3696</v>
      </c>
      <c r="AP613" t="s">
        <v>3697</v>
      </c>
      <c r="AQ613" t="s">
        <v>74</v>
      </c>
      <c r="AR613" t="s">
        <v>3698</v>
      </c>
      <c r="AS613" t="s">
        <v>3699</v>
      </c>
      <c r="AT613" t="s">
        <v>11751</v>
      </c>
      <c r="AU613">
        <v>2017</v>
      </c>
      <c r="AV613">
        <v>44</v>
      </c>
      <c r="AW613">
        <v>5</v>
      </c>
      <c r="AX613" t="s">
        <v>74</v>
      </c>
      <c r="AY613" t="s">
        <v>74</v>
      </c>
      <c r="AZ613" t="s">
        <v>74</v>
      </c>
      <c r="BA613" t="s">
        <v>74</v>
      </c>
      <c r="BB613">
        <v>2416</v>
      </c>
      <c r="BC613">
        <v>2426</v>
      </c>
      <c r="BD613" t="s">
        <v>74</v>
      </c>
      <c r="BE613" t="s">
        <v>11770</v>
      </c>
      <c r="BF613" t="str">
        <f>HYPERLINK("http://dx.doi.org/10.1002/2016GL072488","http://dx.doi.org/10.1002/2016GL072488")</f>
        <v>http://dx.doi.org/10.1002/2016GL072488</v>
      </c>
      <c r="BG613" t="s">
        <v>74</v>
      </c>
      <c r="BH613" t="s">
        <v>74</v>
      </c>
      <c r="BI613">
        <v>11</v>
      </c>
      <c r="BJ613" t="s">
        <v>437</v>
      </c>
      <c r="BK613" t="s">
        <v>103</v>
      </c>
      <c r="BL613" t="s">
        <v>438</v>
      </c>
      <c r="BM613" t="s">
        <v>11753</v>
      </c>
      <c r="BN613" t="s">
        <v>74</v>
      </c>
      <c r="BO613" t="s">
        <v>384</v>
      </c>
      <c r="BP613" t="s">
        <v>74</v>
      </c>
      <c r="BQ613" t="s">
        <v>74</v>
      </c>
      <c r="BR613" t="s">
        <v>106</v>
      </c>
      <c r="BS613" t="s">
        <v>11771</v>
      </c>
      <c r="BT613" t="str">
        <f>HYPERLINK("https%3A%2F%2Fwww.webofscience.com%2Fwos%2Fwoscc%2Ffull-record%2FWOS:000398183700042","View Full Record in Web of Science")</f>
        <v>View Full Record in Web of Science</v>
      </c>
    </row>
    <row r="614" spans="1:72" x14ac:dyDescent="0.15">
      <c r="A614" t="s">
        <v>72</v>
      </c>
      <c r="B614" t="s">
        <v>11772</v>
      </c>
      <c r="C614" t="s">
        <v>74</v>
      </c>
      <c r="D614" t="s">
        <v>74</v>
      </c>
      <c r="E614" t="s">
        <v>74</v>
      </c>
      <c r="F614" t="s">
        <v>11773</v>
      </c>
      <c r="G614" t="s">
        <v>74</v>
      </c>
      <c r="H614" t="s">
        <v>74</v>
      </c>
      <c r="I614" t="s">
        <v>11774</v>
      </c>
      <c r="J614" t="s">
        <v>3684</v>
      </c>
      <c r="K614" t="s">
        <v>74</v>
      </c>
      <c r="L614" t="s">
        <v>74</v>
      </c>
      <c r="M614" t="s">
        <v>78</v>
      </c>
      <c r="N614" t="s">
        <v>79</v>
      </c>
      <c r="O614" t="s">
        <v>74</v>
      </c>
      <c r="P614" t="s">
        <v>74</v>
      </c>
      <c r="Q614" t="s">
        <v>74</v>
      </c>
      <c r="R614" t="s">
        <v>74</v>
      </c>
      <c r="S614" t="s">
        <v>74</v>
      </c>
      <c r="T614" t="s">
        <v>74</v>
      </c>
      <c r="U614" t="s">
        <v>11775</v>
      </c>
      <c r="V614" t="s">
        <v>11776</v>
      </c>
      <c r="W614" t="s">
        <v>11777</v>
      </c>
      <c r="X614" t="s">
        <v>11778</v>
      </c>
      <c r="Y614" t="s">
        <v>11779</v>
      </c>
      <c r="Z614" t="s">
        <v>11780</v>
      </c>
      <c r="AA614" t="s">
        <v>11781</v>
      </c>
      <c r="AB614" t="s">
        <v>11782</v>
      </c>
      <c r="AC614" t="s">
        <v>11783</v>
      </c>
      <c r="AD614" t="s">
        <v>11784</v>
      </c>
      <c r="AE614" t="s">
        <v>11785</v>
      </c>
      <c r="AF614" t="s">
        <v>74</v>
      </c>
      <c r="AG614">
        <v>16</v>
      </c>
      <c r="AH614">
        <v>46</v>
      </c>
      <c r="AI614">
        <v>47</v>
      </c>
      <c r="AJ614">
        <v>0</v>
      </c>
      <c r="AK614">
        <v>18</v>
      </c>
      <c r="AL614" t="s">
        <v>222</v>
      </c>
      <c r="AM614" t="s">
        <v>223</v>
      </c>
      <c r="AN614" t="s">
        <v>224</v>
      </c>
      <c r="AO614" t="s">
        <v>3696</v>
      </c>
      <c r="AP614" t="s">
        <v>3697</v>
      </c>
      <c r="AQ614" t="s">
        <v>74</v>
      </c>
      <c r="AR614" t="s">
        <v>3698</v>
      </c>
      <c r="AS614" t="s">
        <v>3699</v>
      </c>
      <c r="AT614" t="s">
        <v>11751</v>
      </c>
      <c r="AU614">
        <v>2017</v>
      </c>
      <c r="AV614">
        <v>44</v>
      </c>
      <c r="AW614">
        <v>5</v>
      </c>
      <c r="AX614" t="s">
        <v>74</v>
      </c>
      <c r="AY614" t="s">
        <v>74</v>
      </c>
      <c r="AZ614" t="s">
        <v>74</v>
      </c>
      <c r="BA614" t="s">
        <v>74</v>
      </c>
      <c r="BB614">
        <v>2556</v>
      </c>
      <c r="BC614">
        <v>2561</v>
      </c>
      <c r="BD614" t="s">
        <v>74</v>
      </c>
      <c r="BE614" t="s">
        <v>11786</v>
      </c>
      <c r="BF614" t="str">
        <f>HYPERLINK("http://dx.doi.org/10.1002/2016GL071925","http://dx.doi.org/10.1002/2016GL071925")</f>
        <v>http://dx.doi.org/10.1002/2016GL071925</v>
      </c>
      <c r="BG614" t="s">
        <v>74</v>
      </c>
      <c r="BH614" t="s">
        <v>74</v>
      </c>
      <c r="BI614">
        <v>6</v>
      </c>
      <c r="BJ614" t="s">
        <v>437</v>
      </c>
      <c r="BK614" t="s">
        <v>103</v>
      </c>
      <c r="BL614" t="s">
        <v>438</v>
      </c>
      <c r="BM614" t="s">
        <v>11753</v>
      </c>
      <c r="BN614" t="s">
        <v>74</v>
      </c>
      <c r="BO614" t="s">
        <v>2510</v>
      </c>
      <c r="BP614" t="s">
        <v>74</v>
      </c>
      <c r="BQ614" t="s">
        <v>74</v>
      </c>
      <c r="BR614" t="s">
        <v>106</v>
      </c>
      <c r="BS614" t="s">
        <v>11787</v>
      </c>
      <c r="BT614" t="str">
        <f>HYPERLINK("https%3A%2F%2Fwww.webofscience.com%2Fwos%2Fwoscc%2Ffull-record%2FWOS:000398183700057","View Full Record in Web of Science")</f>
        <v>View Full Record in Web of Science</v>
      </c>
    </row>
    <row r="615" spans="1:72" x14ac:dyDescent="0.15">
      <c r="A615" t="s">
        <v>72</v>
      </c>
      <c r="B615" t="s">
        <v>11788</v>
      </c>
      <c r="C615" t="s">
        <v>74</v>
      </c>
      <c r="D615" t="s">
        <v>74</v>
      </c>
      <c r="E615" t="s">
        <v>74</v>
      </c>
      <c r="F615" t="s">
        <v>11789</v>
      </c>
      <c r="G615" t="s">
        <v>74</v>
      </c>
      <c r="H615" t="s">
        <v>74</v>
      </c>
      <c r="I615" t="s">
        <v>11790</v>
      </c>
      <c r="J615" t="s">
        <v>3597</v>
      </c>
      <c r="K615" t="s">
        <v>74</v>
      </c>
      <c r="L615" t="s">
        <v>74</v>
      </c>
      <c r="M615" t="s">
        <v>78</v>
      </c>
      <c r="N615" t="s">
        <v>79</v>
      </c>
      <c r="O615" t="s">
        <v>74</v>
      </c>
      <c r="P615" t="s">
        <v>74</v>
      </c>
      <c r="Q615" t="s">
        <v>74</v>
      </c>
      <c r="R615" t="s">
        <v>74</v>
      </c>
      <c r="S615" t="s">
        <v>74</v>
      </c>
      <c r="T615" t="s">
        <v>74</v>
      </c>
      <c r="U615" t="s">
        <v>11791</v>
      </c>
      <c r="V615" t="s">
        <v>11792</v>
      </c>
      <c r="W615" t="s">
        <v>11793</v>
      </c>
      <c r="X615" t="s">
        <v>115</v>
      </c>
      <c r="Y615" t="s">
        <v>11794</v>
      </c>
      <c r="Z615" t="s">
        <v>11795</v>
      </c>
      <c r="AA615" t="s">
        <v>11796</v>
      </c>
      <c r="AB615" t="s">
        <v>11797</v>
      </c>
      <c r="AC615" t="s">
        <v>11798</v>
      </c>
      <c r="AD615" t="s">
        <v>11799</v>
      </c>
      <c r="AE615" t="s">
        <v>11800</v>
      </c>
      <c r="AF615" t="s">
        <v>74</v>
      </c>
      <c r="AG615">
        <v>77</v>
      </c>
      <c r="AH615">
        <v>79</v>
      </c>
      <c r="AI615">
        <v>85</v>
      </c>
      <c r="AJ615">
        <v>1</v>
      </c>
      <c r="AK615">
        <v>42</v>
      </c>
      <c r="AL615" t="s">
        <v>3534</v>
      </c>
      <c r="AM615" t="s">
        <v>3535</v>
      </c>
      <c r="AN615" t="s">
        <v>3536</v>
      </c>
      <c r="AO615" t="s">
        <v>3609</v>
      </c>
      <c r="AP615" t="s">
        <v>3610</v>
      </c>
      <c r="AQ615" t="s">
        <v>74</v>
      </c>
      <c r="AR615" t="s">
        <v>3611</v>
      </c>
      <c r="AS615" t="s">
        <v>3612</v>
      </c>
      <c r="AT615" t="s">
        <v>11751</v>
      </c>
      <c r="AU615">
        <v>2017</v>
      </c>
      <c r="AV615">
        <v>17</v>
      </c>
      <c r="AW615">
        <v>5</v>
      </c>
      <c r="AX615" t="s">
        <v>74</v>
      </c>
      <c r="AY615" t="s">
        <v>74</v>
      </c>
      <c r="AZ615" t="s">
        <v>74</v>
      </c>
      <c r="BA615" t="s">
        <v>74</v>
      </c>
      <c r="BB615">
        <v>3699</v>
      </c>
      <c r="BC615">
        <v>3712</v>
      </c>
      <c r="BD615" t="s">
        <v>74</v>
      </c>
      <c r="BE615" t="s">
        <v>11801</v>
      </c>
      <c r="BF615" t="str">
        <f>HYPERLINK("http://dx.doi.org/10.5194/acp-17-3699-2017","http://dx.doi.org/10.5194/acp-17-3699-2017")</f>
        <v>http://dx.doi.org/10.5194/acp-17-3699-2017</v>
      </c>
      <c r="BG615" t="s">
        <v>74</v>
      </c>
      <c r="BH615" t="s">
        <v>74</v>
      </c>
      <c r="BI615">
        <v>14</v>
      </c>
      <c r="BJ615" t="s">
        <v>3614</v>
      </c>
      <c r="BK615" t="s">
        <v>103</v>
      </c>
      <c r="BL615" t="s">
        <v>3615</v>
      </c>
      <c r="BM615" t="s">
        <v>11802</v>
      </c>
      <c r="BN615" t="s">
        <v>74</v>
      </c>
      <c r="BO615" t="s">
        <v>205</v>
      </c>
      <c r="BP615" t="s">
        <v>74</v>
      </c>
      <c r="BQ615" t="s">
        <v>74</v>
      </c>
      <c r="BR615" t="s">
        <v>106</v>
      </c>
      <c r="BS615" t="s">
        <v>11803</v>
      </c>
      <c r="BT615" t="str">
        <f>HYPERLINK("https%3A%2F%2Fwww.webofscience.com%2Fwos%2Fwoscc%2Ffull-record%2FWOS:000397929000002","View Full Record in Web of Science")</f>
        <v>View Full Record in Web of Science</v>
      </c>
    </row>
    <row r="616" spans="1:72" x14ac:dyDescent="0.15">
      <c r="A616" t="s">
        <v>72</v>
      </c>
      <c r="B616" t="s">
        <v>11804</v>
      </c>
      <c r="C616" t="s">
        <v>74</v>
      </c>
      <c r="D616" t="s">
        <v>74</v>
      </c>
      <c r="E616" t="s">
        <v>74</v>
      </c>
      <c r="F616" t="s">
        <v>11805</v>
      </c>
      <c r="G616" t="s">
        <v>74</v>
      </c>
      <c r="H616" t="s">
        <v>74</v>
      </c>
      <c r="I616" t="s">
        <v>11806</v>
      </c>
      <c r="J616" t="s">
        <v>3723</v>
      </c>
      <c r="K616" t="s">
        <v>74</v>
      </c>
      <c r="L616" t="s">
        <v>74</v>
      </c>
      <c r="M616" t="s">
        <v>78</v>
      </c>
      <c r="N616" t="s">
        <v>79</v>
      </c>
      <c r="O616" t="s">
        <v>74</v>
      </c>
      <c r="P616" t="s">
        <v>74</v>
      </c>
      <c r="Q616" t="s">
        <v>74</v>
      </c>
      <c r="R616" t="s">
        <v>74</v>
      </c>
      <c r="S616" t="s">
        <v>74</v>
      </c>
      <c r="T616" t="s">
        <v>74</v>
      </c>
      <c r="U616" t="s">
        <v>11807</v>
      </c>
      <c r="V616" t="s">
        <v>11808</v>
      </c>
      <c r="W616" t="s">
        <v>11809</v>
      </c>
      <c r="X616" t="s">
        <v>11810</v>
      </c>
      <c r="Y616" t="s">
        <v>11811</v>
      </c>
      <c r="Z616" t="s">
        <v>11812</v>
      </c>
      <c r="AA616" t="s">
        <v>11813</v>
      </c>
      <c r="AB616" t="s">
        <v>11814</v>
      </c>
      <c r="AC616" t="s">
        <v>11815</v>
      </c>
      <c r="AD616" t="s">
        <v>11816</v>
      </c>
      <c r="AE616" t="s">
        <v>11817</v>
      </c>
      <c r="AF616" t="s">
        <v>74</v>
      </c>
      <c r="AG616">
        <v>75</v>
      </c>
      <c r="AH616">
        <v>17</v>
      </c>
      <c r="AI616">
        <v>17</v>
      </c>
      <c r="AJ616">
        <v>1</v>
      </c>
      <c r="AK616">
        <v>22</v>
      </c>
      <c r="AL616" t="s">
        <v>222</v>
      </c>
      <c r="AM616" t="s">
        <v>223</v>
      </c>
      <c r="AN616" t="s">
        <v>224</v>
      </c>
      <c r="AO616" t="s">
        <v>3734</v>
      </c>
      <c r="AP616" t="s">
        <v>3735</v>
      </c>
      <c r="AQ616" t="s">
        <v>74</v>
      </c>
      <c r="AR616" t="s">
        <v>3736</v>
      </c>
      <c r="AS616" t="s">
        <v>3737</v>
      </c>
      <c r="AT616" t="s">
        <v>11751</v>
      </c>
      <c r="AU616">
        <v>2017</v>
      </c>
      <c r="AV616">
        <v>122</v>
      </c>
      <c r="AW616">
        <v>5</v>
      </c>
      <c r="AX616" t="s">
        <v>74</v>
      </c>
      <c r="AY616" t="s">
        <v>74</v>
      </c>
      <c r="AZ616" t="s">
        <v>74</v>
      </c>
      <c r="BA616" t="s">
        <v>74</v>
      </c>
      <c r="BB616">
        <v>2812</v>
      </c>
      <c r="BC616">
        <v>2830</v>
      </c>
      <c r="BD616" t="s">
        <v>74</v>
      </c>
      <c r="BE616" t="s">
        <v>11818</v>
      </c>
      <c r="BF616" t="str">
        <f>HYPERLINK("http://dx.doi.org/10.1002/2016JD026178","http://dx.doi.org/10.1002/2016JD026178")</f>
        <v>http://dx.doi.org/10.1002/2016JD026178</v>
      </c>
      <c r="BG616" t="s">
        <v>74</v>
      </c>
      <c r="BH616" t="s">
        <v>74</v>
      </c>
      <c r="BI616">
        <v>19</v>
      </c>
      <c r="BJ616" t="s">
        <v>1261</v>
      </c>
      <c r="BK616" t="s">
        <v>103</v>
      </c>
      <c r="BL616" t="s">
        <v>1261</v>
      </c>
      <c r="BM616" t="s">
        <v>11819</v>
      </c>
      <c r="BN616" t="s">
        <v>74</v>
      </c>
      <c r="BO616" t="s">
        <v>74</v>
      </c>
      <c r="BP616" t="s">
        <v>74</v>
      </c>
      <c r="BQ616" t="s">
        <v>74</v>
      </c>
      <c r="BR616" t="s">
        <v>106</v>
      </c>
      <c r="BS616" t="s">
        <v>11820</v>
      </c>
      <c r="BT616" t="str">
        <f>HYPERLINK("https%3A%2F%2Fwww.webofscience.com%2Fwos%2Fwoscc%2Ffull-record%2FWOS:000398064200018","View Full Record in Web of Science")</f>
        <v>View Full Record in Web of Science</v>
      </c>
    </row>
    <row r="617" spans="1:72" x14ac:dyDescent="0.15">
      <c r="A617" t="s">
        <v>72</v>
      </c>
      <c r="B617" t="s">
        <v>11821</v>
      </c>
      <c r="C617" t="s">
        <v>74</v>
      </c>
      <c r="D617" t="s">
        <v>74</v>
      </c>
      <c r="E617" t="s">
        <v>74</v>
      </c>
      <c r="F617" t="s">
        <v>11822</v>
      </c>
      <c r="G617" t="s">
        <v>74</v>
      </c>
      <c r="H617" t="s">
        <v>74</v>
      </c>
      <c r="I617" t="s">
        <v>11823</v>
      </c>
      <c r="J617" t="s">
        <v>3723</v>
      </c>
      <c r="K617" t="s">
        <v>74</v>
      </c>
      <c r="L617" t="s">
        <v>74</v>
      </c>
      <c r="M617" t="s">
        <v>78</v>
      </c>
      <c r="N617" t="s">
        <v>79</v>
      </c>
      <c r="O617" t="s">
        <v>74</v>
      </c>
      <c r="P617" t="s">
        <v>74</v>
      </c>
      <c r="Q617" t="s">
        <v>74</v>
      </c>
      <c r="R617" t="s">
        <v>74</v>
      </c>
      <c r="S617" t="s">
        <v>74</v>
      </c>
      <c r="T617" t="s">
        <v>74</v>
      </c>
      <c r="U617" t="s">
        <v>11824</v>
      </c>
      <c r="V617" t="s">
        <v>11825</v>
      </c>
      <c r="W617" t="s">
        <v>11826</v>
      </c>
      <c r="X617" t="s">
        <v>11827</v>
      </c>
      <c r="Y617" t="s">
        <v>11828</v>
      </c>
      <c r="Z617" t="s">
        <v>11829</v>
      </c>
      <c r="AA617" t="s">
        <v>74</v>
      </c>
      <c r="AB617" t="s">
        <v>11830</v>
      </c>
      <c r="AC617" t="s">
        <v>11831</v>
      </c>
      <c r="AD617" t="s">
        <v>11832</v>
      </c>
      <c r="AE617" t="s">
        <v>11833</v>
      </c>
      <c r="AF617" t="s">
        <v>74</v>
      </c>
      <c r="AG617">
        <v>22</v>
      </c>
      <c r="AH617">
        <v>24</v>
      </c>
      <c r="AI617">
        <v>26</v>
      </c>
      <c r="AJ617">
        <v>1</v>
      </c>
      <c r="AK617">
        <v>19</v>
      </c>
      <c r="AL617" t="s">
        <v>222</v>
      </c>
      <c r="AM617" t="s">
        <v>223</v>
      </c>
      <c r="AN617" t="s">
        <v>224</v>
      </c>
      <c r="AO617" t="s">
        <v>3734</v>
      </c>
      <c r="AP617" t="s">
        <v>3735</v>
      </c>
      <c r="AQ617" t="s">
        <v>74</v>
      </c>
      <c r="AR617" t="s">
        <v>3736</v>
      </c>
      <c r="AS617" t="s">
        <v>3737</v>
      </c>
      <c r="AT617" t="s">
        <v>11751</v>
      </c>
      <c r="AU617">
        <v>2017</v>
      </c>
      <c r="AV617">
        <v>122</v>
      </c>
      <c r="AW617">
        <v>5</v>
      </c>
      <c r="AX617" t="s">
        <v>74</v>
      </c>
      <c r="AY617" t="s">
        <v>74</v>
      </c>
      <c r="AZ617" t="s">
        <v>74</v>
      </c>
      <c r="BA617" t="s">
        <v>74</v>
      </c>
      <c r="BB617">
        <v>3098</v>
      </c>
      <c r="BC617">
        <v>3103</v>
      </c>
      <c r="BD617" t="s">
        <v>74</v>
      </c>
      <c r="BE617" t="s">
        <v>11834</v>
      </c>
      <c r="BF617" t="str">
        <f>HYPERLINK("http://dx.doi.org/10.1002/2016JD026363","http://dx.doi.org/10.1002/2016JD026363")</f>
        <v>http://dx.doi.org/10.1002/2016JD026363</v>
      </c>
      <c r="BG617" t="s">
        <v>74</v>
      </c>
      <c r="BH617" t="s">
        <v>74</v>
      </c>
      <c r="BI617">
        <v>6</v>
      </c>
      <c r="BJ617" t="s">
        <v>1261</v>
      </c>
      <c r="BK617" t="s">
        <v>103</v>
      </c>
      <c r="BL617" t="s">
        <v>1261</v>
      </c>
      <c r="BM617" t="s">
        <v>11819</v>
      </c>
      <c r="BN617" t="s">
        <v>74</v>
      </c>
      <c r="BO617" t="s">
        <v>231</v>
      </c>
      <c r="BP617" t="s">
        <v>74</v>
      </c>
      <c r="BQ617" t="s">
        <v>74</v>
      </c>
      <c r="BR617" t="s">
        <v>106</v>
      </c>
      <c r="BS617" t="s">
        <v>11835</v>
      </c>
      <c r="BT617" t="str">
        <f>HYPERLINK("https%3A%2F%2Fwww.webofscience.com%2Fwos%2Fwoscc%2Ffull-record%2FWOS:000398064200032","View Full Record in Web of Science")</f>
        <v>View Full Record in Web of Science</v>
      </c>
    </row>
    <row r="618" spans="1:72" x14ac:dyDescent="0.15">
      <c r="A618" t="s">
        <v>72</v>
      </c>
      <c r="B618" t="s">
        <v>11836</v>
      </c>
      <c r="C618" t="s">
        <v>74</v>
      </c>
      <c r="D618" t="s">
        <v>74</v>
      </c>
      <c r="E618" t="s">
        <v>74</v>
      </c>
      <c r="F618" t="s">
        <v>11837</v>
      </c>
      <c r="G618" t="s">
        <v>74</v>
      </c>
      <c r="H618" t="s">
        <v>74</v>
      </c>
      <c r="I618" t="s">
        <v>11838</v>
      </c>
      <c r="J618" t="s">
        <v>3849</v>
      </c>
      <c r="K618" t="s">
        <v>74</v>
      </c>
      <c r="L618" t="s">
        <v>74</v>
      </c>
      <c r="M618" t="s">
        <v>78</v>
      </c>
      <c r="N618" t="s">
        <v>79</v>
      </c>
      <c r="O618" t="s">
        <v>74</v>
      </c>
      <c r="P618" t="s">
        <v>74</v>
      </c>
      <c r="Q618" t="s">
        <v>74</v>
      </c>
      <c r="R618" t="s">
        <v>74</v>
      </c>
      <c r="S618" t="s">
        <v>74</v>
      </c>
      <c r="T618" t="s">
        <v>74</v>
      </c>
      <c r="U618" t="s">
        <v>11839</v>
      </c>
      <c r="V618" t="s">
        <v>74</v>
      </c>
      <c r="W618" t="s">
        <v>11840</v>
      </c>
      <c r="X618" t="s">
        <v>11841</v>
      </c>
      <c r="Y618" t="s">
        <v>11842</v>
      </c>
      <c r="Z618" t="s">
        <v>11544</v>
      </c>
      <c r="AA618" t="s">
        <v>11545</v>
      </c>
      <c r="AB618" t="s">
        <v>11843</v>
      </c>
      <c r="AC618" t="s">
        <v>11844</v>
      </c>
      <c r="AD618" t="s">
        <v>11844</v>
      </c>
      <c r="AE618" t="s">
        <v>11845</v>
      </c>
      <c r="AF618" t="s">
        <v>74</v>
      </c>
      <c r="AG618">
        <v>49</v>
      </c>
      <c r="AH618">
        <v>12</v>
      </c>
      <c r="AI618">
        <v>13</v>
      </c>
      <c r="AJ618">
        <v>1</v>
      </c>
      <c r="AK618">
        <v>14</v>
      </c>
      <c r="AL618" t="s">
        <v>3861</v>
      </c>
      <c r="AM618" t="s">
        <v>3862</v>
      </c>
      <c r="AN618" t="s">
        <v>3863</v>
      </c>
      <c r="AO618" t="s">
        <v>3864</v>
      </c>
      <c r="AP618" t="s">
        <v>74</v>
      </c>
      <c r="AQ618" t="s">
        <v>74</v>
      </c>
      <c r="AR618" t="s">
        <v>3849</v>
      </c>
      <c r="AS618" t="s">
        <v>3865</v>
      </c>
      <c r="AT618" t="s">
        <v>11751</v>
      </c>
      <c r="AU618">
        <v>2017</v>
      </c>
      <c r="AV618">
        <v>12</v>
      </c>
      <c r="AW618">
        <v>3</v>
      </c>
      <c r="AX618" t="s">
        <v>74</v>
      </c>
      <c r="AY618" t="s">
        <v>74</v>
      </c>
      <c r="AZ618" t="s">
        <v>74</v>
      </c>
      <c r="BA618" t="s">
        <v>74</v>
      </c>
      <c r="BB618" t="s">
        <v>74</v>
      </c>
      <c r="BC618" t="s">
        <v>74</v>
      </c>
      <c r="BD618" t="s">
        <v>11846</v>
      </c>
      <c r="BE618" t="s">
        <v>11847</v>
      </c>
      <c r="BF618" t="str">
        <f>HYPERLINK("http://dx.doi.org/10.1371/journal.pone.0173427","http://dx.doi.org/10.1371/journal.pone.0173427")</f>
        <v>http://dx.doi.org/10.1371/journal.pone.0173427</v>
      </c>
      <c r="BG618" t="s">
        <v>74</v>
      </c>
      <c r="BH618" t="s">
        <v>74</v>
      </c>
      <c r="BI618">
        <v>11</v>
      </c>
      <c r="BJ618" t="s">
        <v>1617</v>
      </c>
      <c r="BK618" t="s">
        <v>103</v>
      </c>
      <c r="BL618" t="s">
        <v>1618</v>
      </c>
      <c r="BM618" t="s">
        <v>11848</v>
      </c>
      <c r="BN618">
        <v>28301546</v>
      </c>
      <c r="BO618" t="s">
        <v>4503</v>
      </c>
      <c r="BP618" t="s">
        <v>74</v>
      </c>
      <c r="BQ618" t="s">
        <v>74</v>
      </c>
      <c r="BR618" t="s">
        <v>106</v>
      </c>
      <c r="BS618" t="s">
        <v>11849</v>
      </c>
      <c r="BT618" t="str">
        <f>HYPERLINK("https%3A%2F%2Fwww.webofscience.com%2Fwos%2Fwoscc%2Ffull-record%2FWOS:000396318300036","View Full Record in Web of Science")</f>
        <v>View Full Record in Web of Science</v>
      </c>
    </row>
    <row r="619" spans="1:72" x14ac:dyDescent="0.15">
      <c r="A619" t="s">
        <v>72</v>
      </c>
      <c r="B619" t="s">
        <v>11850</v>
      </c>
      <c r="C619" t="s">
        <v>74</v>
      </c>
      <c r="D619" t="s">
        <v>74</v>
      </c>
      <c r="E619" t="s">
        <v>74</v>
      </c>
      <c r="F619" t="s">
        <v>11851</v>
      </c>
      <c r="G619" t="s">
        <v>74</v>
      </c>
      <c r="H619" t="s">
        <v>74</v>
      </c>
      <c r="I619" t="s">
        <v>11852</v>
      </c>
      <c r="J619" t="s">
        <v>4545</v>
      </c>
      <c r="K619" t="s">
        <v>74</v>
      </c>
      <c r="L619" t="s">
        <v>74</v>
      </c>
      <c r="M619" t="s">
        <v>78</v>
      </c>
      <c r="N619" t="s">
        <v>518</v>
      </c>
      <c r="O619" t="s">
        <v>74</v>
      </c>
      <c r="P619" t="s">
        <v>74</v>
      </c>
      <c r="Q619" t="s">
        <v>74</v>
      </c>
      <c r="R619" t="s">
        <v>74</v>
      </c>
      <c r="S619" t="s">
        <v>74</v>
      </c>
      <c r="T619" t="s">
        <v>74</v>
      </c>
      <c r="U619" t="s">
        <v>11853</v>
      </c>
      <c r="V619" t="s">
        <v>11854</v>
      </c>
      <c r="W619" t="s">
        <v>11855</v>
      </c>
      <c r="X619" t="s">
        <v>11856</v>
      </c>
      <c r="Y619" t="s">
        <v>11857</v>
      </c>
      <c r="Z619" t="s">
        <v>11858</v>
      </c>
      <c r="AA619" t="s">
        <v>11859</v>
      </c>
      <c r="AB619" t="s">
        <v>11860</v>
      </c>
      <c r="AC619" t="s">
        <v>11861</v>
      </c>
      <c r="AD619" t="s">
        <v>11862</v>
      </c>
      <c r="AE619" t="s">
        <v>11863</v>
      </c>
      <c r="AF619" t="s">
        <v>74</v>
      </c>
      <c r="AG619">
        <v>66</v>
      </c>
      <c r="AH619">
        <v>74</v>
      </c>
      <c r="AI619">
        <v>79</v>
      </c>
      <c r="AJ619">
        <v>3</v>
      </c>
      <c r="AK619">
        <v>64</v>
      </c>
      <c r="AL619" t="s">
        <v>3534</v>
      </c>
      <c r="AM619" t="s">
        <v>3535</v>
      </c>
      <c r="AN619" t="s">
        <v>3536</v>
      </c>
      <c r="AO619" t="s">
        <v>4557</v>
      </c>
      <c r="AP619" t="s">
        <v>4558</v>
      </c>
      <c r="AQ619" t="s">
        <v>74</v>
      </c>
      <c r="AR619" t="s">
        <v>4559</v>
      </c>
      <c r="AS619" t="s">
        <v>4560</v>
      </c>
      <c r="AT619" t="s">
        <v>11751</v>
      </c>
      <c r="AU619">
        <v>2017</v>
      </c>
      <c r="AV619">
        <v>9</v>
      </c>
      <c r="AW619">
        <v>1</v>
      </c>
      <c r="AX619" t="s">
        <v>74</v>
      </c>
      <c r="AY619" t="s">
        <v>74</v>
      </c>
      <c r="AZ619" t="s">
        <v>74</v>
      </c>
      <c r="BA619" t="s">
        <v>74</v>
      </c>
      <c r="BB619">
        <v>193</v>
      </c>
      <c r="BC619">
        <v>210</v>
      </c>
      <c r="BD619" t="s">
        <v>74</v>
      </c>
      <c r="BE619" t="s">
        <v>11864</v>
      </c>
      <c r="BF619" t="str">
        <f>HYPERLINK("http://dx.doi.org/10.5194/essd-9-193-2017","http://dx.doi.org/10.5194/essd-9-193-2017")</f>
        <v>http://dx.doi.org/10.5194/essd-9-193-2017</v>
      </c>
      <c r="BG619" t="s">
        <v>74</v>
      </c>
      <c r="BH619" t="s">
        <v>74</v>
      </c>
      <c r="BI619">
        <v>18</v>
      </c>
      <c r="BJ619" t="s">
        <v>3820</v>
      </c>
      <c r="BK619" t="s">
        <v>103</v>
      </c>
      <c r="BL619" t="s">
        <v>3821</v>
      </c>
      <c r="BM619" t="s">
        <v>11865</v>
      </c>
      <c r="BN619" t="s">
        <v>74</v>
      </c>
      <c r="BO619" t="s">
        <v>3679</v>
      </c>
      <c r="BP619" t="s">
        <v>74</v>
      </c>
      <c r="BQ619" t="s">
        <v>74</v>
      </c>
      <c r="BR619" t="s">
        <v>106</v>
      </c>
      <c r="BS619" t="s">
        <v>11866</v>
      </c>
      <c r="BT619" t="str">
        <f>HYPERLINK("https%3A%2F%2Fwww.webofscience.com%2Fwos%2Fwoscc%2Ffull-record%2FWOS:000397887400001","View Full Record in Web of Science")</f>
        <v>View Full Record in Web of Science</v>
      </c>
    </row>
    <row r="620" spans="1:72" x14ac:dyDescent="0.15">
      <c r="A620" t="s">
        <v>72</v>
      </c>
      <c r="B620" t="s">
        <v>11867</v>
      </c>
      <c r="C620" t="s">
        <v>74</v>
      </c>
      <c r="D620" t="s">
        <v>74</v>
      </c>
      <c r="E620" t="s">
        <v>74</v>
      </c>
      <c r="F620" t="s">
        <v>11868</v>
      </c>
      <c r="G620" t="s">
        <v>74</v>
      </c>
      <c r="H620" t="s">
        <v>74</v>
      </c>
      <c r="I620" t="s">
        <v>11869</v>
      </c>
      <c r="J620" t="s">
        <v>3684</v>
      </c>
      <c r="K620" t="s">
        <v>74</v>
      </c>
      <c r="L620" t="s">
        <v>74</v>
      </c>
      <c r="M620" t="s">
        <v>78</v>
      </c>
      <c r="N620" t="s">
        <v>79</v>
      </c>
      <c r="O620" t="s">
        <v>74</v>
      </c>
      <c r="P620" t="s">
        <v>74</v>
      </c>
      <c r="Q620" t="s">
        <v>74</v>
      </c>
      <c r="R620" t="s">
        <v>74</v>
      </c>
      <c r="S620" t="s">
        <v>74</v>
      </c>
      <c r="T620" t="s">
        <v>74</v>
      </c>
      <c r="U620" t="s">
        <v>11870</v>
      </c>
      <c r="V620" t="s">
        <v>11871</v>
      </c>
      <c r="W620" t="s">
        <v>11872</v>
      </c>
      <c r="X620" t="s">
        <v>11873</v>
      </c>
      <c r="Y620" t="s">
        <v>11874</v>
      </c>
      <c r="Z620" t="s">
        <v>11875</v>
      </c>
      <c r="AA620" t="s">
        <v>11876</v>
      </c>
      <c r="AB620" t="s">
        <v>11877</v>
      </c>
      <c r="AC620" t="s">
        <v>11878</v>
      </c>
      <c r="AD620" t="s">
        <v>11879</v>
      </c>
      <c r="AE620" t="s">
        <v>11880</v>
      </c>
      <c r="AF620" t="s">
        <v>74</v>
      </c>
      <c r="AG620">
        <v>37</v>
      </c>
      <c r="AH620">
        <v>53</v>
      </c>
      <c r="AI620">
        <v>59</v>
      </c>
      <c r="AJ620">
        <v>0</v>
      </c>
      <c r="AK620">
        <v>42</v>
      </c>
      <c r="AL620" t="s">
        <v>222</v>
      </c>
      <c r="AM620" t="s">
        <v>223</v>
      </c>
      <c r="AN620" t="s">
        <v>224</v>
      </c>
      <c r="AO620" t="s">
        <v>3696</v>
      </c>
      <c r="AP620" t="s">
        <v>3697</v>
      </c>
      <c r="AQ620" t="s">
        <v>74</v>
      </c>
      <c r="AR620" t="s">
        <v>3698</v>
      </c>
      <c r="AS620" t="s">
        <v>3699</v>
      </c>
      <c r="AT620" t="s">
        <v>11751</v>
      </c>
      <c r="AU620">
        <v>2017</v>
      </c>
      <c r="AV620">
        <v>44</v>
      </c>
      <c r="AW620">
        <v>5</v>
      </c>
      <c r="AX620" t="s">
        <v>74</v>
      </c>
      <c r="AY620" t="s">
        <v>74</v>
      </c>
      <c r="AZ620" t="s">
        <v>74</v>
      </c>
      <c r="BA620" t="s">
        <v>74</v>
      </c>
      <c r="BB620">
        <v>2343</v>
      </c>
      <c r="BC620">
        <v>2351</v>
      </c>
      <c r="BD620" t="s">
        <v>74</v>
      </c>
      <c r="BE620" t="s">
        <v>11881</v>
      </c>
      <c r="BF620" t="str">
        <f>HYPERLINK("http://dx.doi.org/10.1002/2016GL072422","http://dx.doi.org/10.1002/2016GL072422")</f>
        <v>http://dx.doi.org/10.1002/2016GL072422</v>
      </c>
      <c r="BG620" t="s">
        <v>74</v>
      </c>
      <c r="BH620" t="s">
        <v>74</v>
      </c>
      <c r="BI620">
        <v>9</v>
      </c>
      <c r="BJ620" t="s">
        <v>437</v>
      </c>
      <c r="BK620" t="s">
        <v>103</v>
      </c>
      <c r="BL620" t="s">
        <v>438</v>
      </c>
      <c r="BM620" t="s">
        <v>11753</v>
      </c>
      <c r="BN620" t="s">
        <v>74</v>
      </c>
      <c r="BO620" t="s">
        <v>74</v>
      </c>
      <c r="BP620" t="s">
        <v>74</v>
      </c>
      <c r="BQ620" t="s">
        <v>74</v>
      </c>
      <c r="BR620" t="s">
        <v>106</v>
      </c>
      <c r="BS620" t="s">
        <v>11882</v>
      </c>
      <c r="BT620" t="str">
        <f>HYPERLINK("https%3A%2F%2Fwww.webofscience.com%2Fwos%2Fwoscc%2Ffull-record%2FWOS:000398183700034","View Full Record in Web of Science")</f>
        <v>View Full Record in Web of Science</v>
      </c>
    </row>
    <row r="621" spans="1:72" x14ac:dyDescent="0.15">
      <c r="A621" t="s">
        <v>72</v>
      </c>
      <c r="B621" t="s">
        <v>11883</v>
      </c>
      <c r="C621" t="s">
        <v>74</v>
      </c>
      <c r="D621" t="s">
        <v>74</v>
      </c>
      <c r="E621" t="s">
        <v>74</v>
      </c>
      <c r="F621" t="s">
        <v>11884</v>
      </c>
      <c r="G621" t="s">
        <v>74</v>
      </c>
      <c r="H621" t="s">
        <v>74</v>
      </c>
      <c r="I621" t="s">
        <v>11885</v>
      </c>
      <c r="J621" t="s">
        <v>3684</v>
      </c>
      <c r="K621" t="s">
        <v>74</v>
      </c>
      <c r="L621" t="s">
        <v>74</v>
      </c>
      <c r="M621" t="s">
        <v>78</v>
      </c>
      <c r="N621" t="s">
        <v>79</v>
      </c>
      <c r="O621" t="s">
        <v>74</v>
      </c>
      <c r="P621" t="s">
        <v>74</v>
      </c>
      <c r="Q621" t="s">
        <v>74</v>
      </c>
      <c r="R621" t="s">
        <v>74</v>
      </c>
      <c r="S621" t="s">
        <v>74</v>
      </c>
      <c r="T621" t="s">
        <v>74</v>
      </c>
      <c r="U621" t="s">
        <v>11886</v>
      </c>
      <c r="V621" t="s">
        <v>11887</v>
      </c>
      <c r="W621" t="s">
        <v>11888</v>
      </c>
      <c r="X621" t="s">
        <v>2399</v>
      </c>
      <c r="Y621" t="s">
        <v>11889</v>
      </c>
      <c r="Z621" t="s">
        <v>11890</v>
      </c>
      <c r="AA621" t="s">
        <v>74</v>
      </c>
      <c r="AB621" t="s">
        <v>74</v>
      </c>
      <c r="AC621" t="s">
        <v>11891</v>
      </c>
      <c r="AD621" t="s">
        <v>11892</v>
      </c>
      <c r="AE621" t="s">
        <v>11893</v>
      </c>
      <c r="AF621" t="s">
        <v>74</v>
      </c>
      <c r="AG621">
        <v>51</v>
      </c>
      <c r="AH621">
        <v>44</v>
      </c>
      <c r="AI621">
        <v>47</v>
      </c>
      <c r="AJ621">
        <v>1</v>
      </c>
      <c r="AK621">
        <v>30</v>
      </c>
      <c r="AL621" t="s">
        <v>222</v>
      </c>
      <c r="AM621" t="s">
        <v>223</v>
      </c>
      <c r="AN621" t="s">
        <v>224</v>
      </c>
      <c r="AO621" t="s">
        <v>3696</v>
      </c>
      <c r="AP621" t="s">
        <v>3697</v>
      </c>
      <c r="AQ621" t="s">
        <v>74</v>
      </c>
      <c r="AR621" t="s">
        <v>3698</v>
      </c>
      <c r="AS621" t="s">
        <v>3699</v>
      </c>
      <c r="AT621" t="s">
        <v>11751</v>
      </c>
      <c r="AU621">
        <v>2017</v>
      </c>
      <c r="AV621">
        <v>44</v>
      </c>
      <c r="AW621">
        <v>5</v>
      </c>
      <c r="AX621" t="s">
        <v>74</v>
      </c>
      <c r="AY621" t="s">
        <v>74</v>
      </c>
      <c r="AZ621" t="s">
        <v>74</v>
      </c>
      <c r="BA621" t="s">
        <v>74</v>
      </c>
      <c r="BB621">
        <v>2352</v>
      </c>
      <c r="BC621">
        <v>2359</v>
      </c>
      <c r="BD621" t="s">
        <v>74</v>
      </c>
      <c r="BE621" t="s">
        <v>11894</v>
      </c>
      <c r="BF621" t="str">
        <f>HYPERLINK("http://dx.doi.org/10.1002/2017GL072514","http://dx.doi.org/10.1002/2017GL072514")</f>
        <v>http://dx.doi.org/10.1002/2017GL072514</v>
      </c>
      <c r="BG621" t="s">
        <v>74</v>
      </c>
      <c r="BH621" t="s">
        <v>74</v>
      </c>
      <c r="BI621">
        <v>8</v>
      </c>
      <c r="BJ621" t="s">
        <v>437</v>
      </c>
      <c r="BK621" t="s">
        <v>103</v>
      </c>
      <c r="BL621" t="s">
        <v>438</v>
      </c>
      <c r="BM621" t="s">
        <v>11753</v>
      </c>
      <c r="BN621" t="s">
        <v>74</v>
      </c>
      <c r="BO621" t="s">
        <v>4773</v>
      </c>
      <c r="BP621" t="s">
        <v>74</v>
      </c>
      <c r="BQ621" t="s">
        <v>74</v>
      </c>
      <c r="BR621" t="s">
        <v>106</v>
      </c>
      <c r="BS621" t="s">
        <v>11895</v>
      </c>
      <c r="BT621" t="str">
        <f>HYPERLINK("https%3A%2F%2Fwww.webofscience.com%2Fwos%2Fwoscc%2Ffull-record%2FWOS:000398183700035","View Full Record in Web of Science")</f>
        <v>View Full Record in Web of Science</v>
      </c>
    </row>
    <row r="622" spans="1:72" x14ac:dyDescent="0.15">
      <c r="A622" t="s">
        <v>72</v>
      </c>
      <c r="B622" t="s">
        <v>11896</v>
      </c>
      <c r="C622" t="s">
        <v>74</v>
      </c>
      <c r="D622" t="s">
        <v>74</v>
      </c>
      <c r="E622" t="s">
        <v>74</v>
      </c>
      <c r="F622" t="s">
        <v>11897</v>
      </c>
      <c r="G622" t="s">
        <v>74</v>
      </c>
      <c r="H622" t="s">
        <v>74</v>
      </c>
      <c r="I622" t="s">
        <v>11898</v>
      </c>
      <c r="J622" t="s">
        <v>1322</v>
      </c>
      <c r="K622" t="s">
        <v>74</v>
      </c>
      <c r="L622" t="s">
        <v>74</v>
      </c>
      <c r="M622" t="s">
        <v>78</v>
      </c>
      <c r="N622" t="s">
        <v>79</v>
      </c>
      <c r="O622" t="s">
        <v>74</v>
      </c>
      <c r="P622" t="s">
        <v>74</v>
      </c>
      <c r="Q622" t="s">
        <v>74</v>
      </c>
      <c r="R622" t="s">
        <v>74</v>
      </c>
      <c r="S622" t="s">
        <v>74</v>
      </c>
      <c r="T622" t="s">
        <v>11899</v>
      </c>
      <c r="U622" t="s">
        <v>11900</v>
      </c>
      <c r="V622" t="s">
        <v>11901</v>
      </c>
      <c r="W622" t="s">
        <v>11902</v>
      </c>
      <c r="X622" t="s">
        <v>11903</v>
      </c>
      <c r="Y622" t="s">
        <v>11904</v>
      </c>
      <c r="Z622" t="s">
        <v>11905</v>
      </c>
      <c r="AA622" t="s">
        <v>11906</v>
      </c>
      <c r="AB622" t="s">
        <v>11907</v>
      </c>
      <c r="AC622" t="s">
        <v>11908</v>
      </c>
      <c r="AD622" t="s">
        <v>11909</v>
      </c>
      <c r="AE622" t="s">
        <v>11910</v>
      </c>
      <c r="AF622" t="s">
        <v>74</v>
      </c>
      <c r="AG622">
        <v>120</v>
      </c>
      <c r="AH622">
        <v>22</v>
      </c>
      <c r="AI622">
        <v>28</v>
      </c>
      <c r="AJ622">
        <v>1</v>
      </c>
      <c r="AK622">
        <v>58</v>
      </c>
      <c r="AL622" t="s">
        <v>656</v>
      </c>
      <c r="AM622" t="s">
        <v>93</v>
      </c>
      <c r="AN622" t="s">
        <v>657</v>
      </c>
      <c r="AO622" t="s">
        <v>1334</v>
      </c>
      <c r="AP622" t="s">
        <v>4140</v>
      </c>
      <c r="AQ622" t="s">
        <v>74</v>
      </c>
      <c r="AR622" t="s">
        <v>1335</v>
      </c>
      <c r="AS622" t="s">
        <v>1336</v>
      </c>
      <c r="AT622" t="s">
        <v>11911</v>
      </c>
      <c r="AU622">
        <v>2017</v>
      </c>
      <c r="AV622">
        <v>160</v>
      </c>
      <c r="AW622" t="s">
        <v>74</v>
      </c>
      <c r="AX622" t="s">
        <v>74</v>
      </c>
      <c r="AY622" t="s">
        <v>74</v>
      </c>
      <c r="AZ622" t="s">
        <v>74</v>
      </c>
      <c r="BA622" t="s">
        <v>74</v>
      </c>
      <c r="BB622">
        <v>1</v>
      </c>
      <c r="BC622">
        <v>12</v>
      </c>
      <c r="BD622" t="s">
        <v>74</v>
      </c>
      <c r="BE622" t="s">
        <v>11912</v>
      </c>
      <c r="BF622" t="str">
        <f>HYPERLINK("http://dx.doi.org/10.1016/j.quascirev.2017.02.003","http://dx.doi.org/10.1016/j.quascirev.2017.02.003")</f>
        <v>http://dx.doi.org/10.1016/j.quascirev.2017.02.003</v>
      </c>
      <c r="BG622" t="s">
        <v>74</v>
      </c>
      <c r="BH622" t="s">
        <v>74</v>
      </c>
      <c r="BI622">
        <v>12</v>
      </c>
      <c r="BJ622" t="s">
        <v>1338</v>
      </c>
      <c r="BK622" t="s">
        <v>103</v>
      </c>
      <c r="BL622" t="s">
        <v>1339</v>
      </c>
      <c r="BM622" t="s">
        <v>11913</v>
      </c>
      <c r="BN622" t="s">
        <v>74</v>
      </c>
      <c r="BO622" t="s">
        <v>74</v>
      </c>
      <c r="BP622" t="s">
        <v>74</v>
      </c>
      <c r="BQ622" t="s">
        <v>74</v>
      </c>
      <c r="BR622" t="s">
        <v>106</v>
      </c>
      <c r="BS622" t="s">
        <v>11914</v>
      </c>
      <c r="BT622" t="str">
        <f>HYPERLINK("https%3A%2F%2Fwww.webofscience.com%2Fwos%2Fwoscc%2Ffull-record%2FWOS:000397374200001","View Full Record in Web of Science")</f>
        <v>View Full Record in Web of Science</v>
      </c>
    </row>
    <row r="623" spans="1:72" x14ac:dyDescent="0.15">
      <c r="A623" t="s">
        <v>72</v>
      </c>
      <c r="B623" t="s">
        <v>11915</v>
      </c>
      <c r="C623" t="s">
        <v>74</v>
      </c>
      <c r="D623" t="s">
        <v>74</v>
      </c>
      <c r="E623" t="s">
        <v>74</v>
      </c>
      <c r="F623" t="s">
        <v>11916</v>
      </c>
      <c r="G623" t="s">
        <v>74</v>
      </c>
      <c r="H623" t="s">
        <v>74</v>
      </c>
      <c r="I623" t="s">
        <v>11917</v>
      </c>
      <c r="J623" t="s">
        <v>1322</v>
      </c>
      <c r="K623" t="s">
        <v>74</v>
      </c>
      <c r="L623" t="s">
        <v>74</v>
      </c>
      <c r="M623" t="s">
        <v>78</v>
      </c>
      <c r="N623" t="s">
        <v>79</v>
      </c>
      <c r="O623" t="s">
        <v>74</v>
      </c>
      <c r="P623" t="s">
        <v>74</v>
      </c>
      <c r="Q623" t="s">
        <v>74</v>
      </c>
      <c r="R623" t="s">
        <v>74</v>
      </c>
      <c r="S623" t="s">
        <v>74</v>
      </c>
      <c r="T623" t="s">
        <v>11918</v>
      </c>
      <c r="U623" t="s">
        <v>11919</v>
      </c>
      <c r="V623" t="s">
        <v>11920</v>
      </c>
      <c r="W623" t="s">
        <v>11921</v>
      </c>
      <c r="X623" t="s">
        <v>1525</v>
      </c>
      <c r="Y623" t="s">
        <v>11922</v>
      </c>
      <c r="Z623" t="s">
        <v>11923</v>
      </c>
      <c r="AA623" t="s">
        <v>74</v>
      </c>
      <c r="AB623" t="s">
        <v>11924</v>
      </c>
      <c r="AC623" t="s">
        <v>11925</v>
      </c>
      <c r="AD623" t="s">
        <v>11925</v>
      </c>
      <c r="AE623" t="s">
        <v>11926</v>
      </c>
      <c r="AF623" t="s">
        <v>74</v>
      </c>
      <c r="AG623">
        <v>58</v>
      </c>
      <c r="AH623">
        <v>32</v>
      </c>
      <c r="AI623">
        <v>34</v>
      </c>
      <c r="AJ623">
        <v>0</v>
      </c>
      <c r="AK623">
        <v>9</v>
      </c>
      <c r="AL623" t="s">
        <v>656</v>
      </c>
      <c r="AM623" t="s">
        <v>93</v>
      </c>
      <c r="AN623" t="s">
        <v>657</v>
      </c>
      <c r="AO623" t="s">
        <v>1334</v>
      </c>
      <c r="AP623" t="s">
        <v>4140</v>
      </c>
      <c r="AQ623" t="s">
        <v>74</v>
      </c>
      <c r="AR623" t="s">
        <v>1335</v>
      </c>
      <c r="AS623" t="s">
        <v>1336</v>
      </c>
      <c r="AT623" t="s">
        <v>11911</v>
      </c>
      <c r="AU623">
        <v>2017</v>
      </c>
      <c r="AV623">
        <v>160</v>
      </c>
      <c r="AW623" t="s">
        <v>74</v>
      </c>
      <c r="AX623" t="s">
        <v>74</v>
      </c>
      <c r="AY623" t="s">
        <v>74</v>
      </c>
      <c r="AZ623" t="s">
        <v>74</v>
      </c>
      <c r="BA623" t="s">
        <v>74</v>
      </c>
      <c r="BB623">
        <v>45</v>
      </c>
      <c r="BC623">
        <v>56</v>
      </c>
      <c r="BD623" t="s">
        <v>74</v>
      </c>
      <c r="BE623" t="s">
        <v>11927</v>
      </c>
      <c r="BF623" t="str">
        <f>HYPERLINK("http://dx.doi.org/10.1016/j.quascirev.2017.01.018","http://dx.doi.org/10.1016/j.quascirev.2017.01.018")</f>
        <v>http://dx.doi.org/10.1016/j.quascirev.2017.01.018</v>
      </c>
      <c r="BG623" t="s">
        <v>74</v>
      </c>
      <c r="BH623" t="s">
        <v>74</v>
      </c>
      <c r="BI623">
        <v>12</v>
      </c>
      <c r="BJ623" t="s">
        <v>1338</v>
      </c>
      <c r="BK623" t="s">
        <v>103</v>
      </c>
      <c r="BL623" t="s">
        <v>1339</v>
      </c>
      <c r="BM623" t="s">
        <v>11913</v>
      </c>
      <c r="BN623" t="s">
        <v>74</v>
      </c>
      <c r="BO623" t="s">
        <v>74</v>
      </c>
      <c r="BP623" t="s">
        <v>74</v>
      </c>
      <c r="BQ623" t="s">
        <v>74</v>
      </c>
      <c r="BR623" t="s">
        <v>106</v>
      </c>
      <c r="BS623" t="s">
        <v>11928</v>
      </c>
      <c r="BT623" t="str">
        <f>HYPERLINK("https%3A%2F%2Fwww.webofscience.com%2Fwos%2Fwoscc%2Ffull-record%2FWOS:000397374200004","View Full Record in Web of Science")</f>
        <v>View Full Record in Web of Science</v>
      </c>
    </row>
    <row r="624" spans="1:72" x14ac:dyDescent="0.15">
      <c r="A624" t="s">
        <v>72</v>
      </c>
      <c r="B624" t="s">
        <v>11929</v>
      </c>
      <c r="C624" t="s">
        <v>74</v>
      </c>
      <c r="D624" t="s">
        <v>74</v>
      </c>
      <c r="E624" t="s">
        <v>74</v>
      </c>
      <c r="F624" t="s">
        <v>11930</v>
      </c>
      <c r="G624" t="s">
        <v>74</v>
      </c>
      <c r="H624" t="s">
        <v>74</v>
      </c>
      <c r="I624" t="s">
        <v>11931</v>
      </c>
      <c r="J624" t="s">
        <v>1322</v>
      </c>
      <c r="K624" t="s">
        <v>74</v>
      </c>
      <c r="L624" t="s">
        <v>74</v>
      </c>
      <c r="M624" t="s">
        <v>78</v>
      </c>
      <c r="N624" t="s">
        <v>79</v>
      </c>
      <c r="O624" t="s">
        <v>74</v>
      </c>
      <c r="P624" t="s">
        <v>74</v>
      </c>
      <c r="Q624" t="s">
        <v>74</v>
      </c>
      <c r="R624" t="s">
        <v>74</v>
      </c>
      <c r="S624" t="s">
        <v>74</v>
      </c>
      <c r="T624" t="s">
        <v>11932</v>
      </c>
      <c r="U624" t="s">
        <v>11933</v>
      </c>
      <c r="V624" t="s">
        <v>11934</v>
      </c>
      <c r="W624" t="s">
        <v>11935</v>
      </c>
      <c r="X624" t="s">
        <v>11936</v>
      </c>
      <c r="Y624" t="s">
        <v>11937</v>
      </c>
      <c r="Z624" t="s">
        <v>11938</v>
      </c>
      <c r="AA624" t="s">
        <v>11939</v>
      </c>
      <c r="AB624" t="s">
        <v>11940</v>
      </c>
      <c r="AC624" t="s">
        <v>11941</v>
      </c>
      <c r="AD624" t="s">
        <v>11942</v>
      </c>
      <c r="AE624" t="s">
        <v>11943</v>
      </c>
      <c r="AF624" t="s">
        <v>74</v>
      </c>
      <c r="AG624">
        <v>73</v>
      </c>
      <c r="AH624">
        <v>12</v>
      </c>
      <c r="AI624">
        <v>12</v>
      </c>
      <c r="AJ624">
        <v>2</v>
      </c>
      <c r="AK624">
        <v>12</v>
      </c>
      <c r="AL624" t="s">
        <v>656</v>
      </c>
      <c r="AM624" t="s">
        <v>93</v>
      </c>
      <c r="AN624" t="s">
        <v>657</v>
      </c>
      <c r="AO624" t="s">
        <v>1334</v>
      </c>
      <c r="AP624" t="s">
        <v>4140</v>
      </c>
      <c r="AQ624" t="s">
        <v>74</v>
      </c>
      <c r="AR624" t="s">
        <v>1335</v>
      </c>
      <c r="AS624" t="s">
        <v>1336</v>
      </c>
      <c r="AT624" t="s">
        <v>11911</v>
      </c>
      <c r="AU624">
        <v>2017</v>
      </c>
      <c r="AV624">
        <v>160</v>
      </c>
      <c r="AW624" t="s">
        <v>74</v>
      </c>
      <c r="AX624" t="s">
        <v>74</v>
      </c>
      <c r="AY624" t="s">
        <v>74</v>
      </c>
      <c r="AZ624" t="s">
        <v>74</v>
      </c>
      <c r="BA624" t="s">
        <v>74</v>
      </c>
      <c r="BB624">
        <v>57</v>
      </c>
      <c r="BC624">
        <v>66</v>
      </c>
      <c r="BD624" t="s">
        <v>74</v>
      </c>
      <c r="BE624" t="s">
        <v>11944</v>
      </c>
      <c r="BF624" t="str">
        <f>HYPERLINK("http://dx.doi.org/10.1016/j.quascirev.2017.02.009","http://dx.doi.org/10.1016/j.quascirev.2017.02.009")</f>
        <v>http://dx.doi.org/10.1016/j.quascirev.2017.02.009</v>
      </c>
      <c r="BG624" t="s">
        <v>74</v>
      </c>
      <c r="BH624" t="s">
        <v>74</v>
      </c>
      <c r="BI624">
        <v>10</v>
      </c>
      <c r="BJ624" t="s">
        <v>1338</v>
      </c>
      <c r="BK624" t="s">
        <v>103</v>
      </c>
      <c r="BL624" t="s">
        <v>1339</v>
      </c>
      <c r="BM624" t="s">
        <v>11913</v>
      </c>
      <c r="BN624" t="s">
        <v>74</v>
      </c>
      <c r="BO624" t="s">
        <v>3209</v>
      </c>
      <c r="BP624" t="s">
        <v>74</v>
      </c>
      <c r="BQ624" t="s">
        <v>74</v>
      </c>
      <c r="BR624" t="s">
        <v>106</v>
      </c>
      <c r="BS624" t="s">
        <v>11945</v>
      </c>
      <c r="BT624" t="str">
        <f>HYPERLINK("https%3A%2F%2Fwww.webofscience.com%2Fwos%2Fwoscc%2Ffull-record%2FWOS:000397374200005","View Full Record in Web of Science")</f>
        <v>View Full Record in Web of Science</v>
      </c>
    </row>
    <row r="625" spans="1:72" x14ac:dyDescent="0.15">
      <c r="A625" t="s">
        <v>72</v>
      </c>
      <c r="B625" t="s">
        <v>11946</v>
      </c>
      <c r="C625" t="s">
        <v>74</v>
      </c>
      <c r="D625" t="s">
        <v>74</v>
      </c>
      <c r="E625" t="s">
        <v>74</v>
      </c>
      <c r="F625" t="s">
        <v>11947</v>
      </c>
      <c r="G625" t="s">
        <v>74</v>
      </c>
      <c r="H625" t="s">
        <v>74</v>
      </c>
      <c r="I625" t="s">
        <v>11948</v>
      </c>
      <c r="J625" t="s">
        <v>3803</v>
      </c>
      <c r="K625" t="s">
        <v>74</v>
      </c>
      <c r="L625" t="s">
        <v>74</v>
      </c>
      <c r="M625" t="s">
        <v>78</v>
      </c>
      <c r="N625" t="s">
        <v>79</v>
      </c>
      <c r="O625" t="s">
        <v>74</v>
      </c>
      <c r="P625" t="s">
        <v>74</v>
      </c>
      <c r="Q625" t="s">
        <v>74</v>
      </c>
      <c r="R625" t="s">
        <v>74</v>
      </c>
      <c r="S625" t="s">
        <v>74</v>
      </c>
      <c r="T625" t="s">
        <v>74</v>
      </c>
      <c r="U625" t="s">
        <v>11949</v>
      </c>
      <c r="V625" t="s">
        <v>11950</v>
      </c>
      <c r="W625" t="s">
        <v>11951</v>
      </c>
      <c r="X625" t="s">
        <v>11952</v>
      </c>
      <c r="Y625" t="s">
        <v>11953</v>
      </c>
      <c r="Z625" t="s">
        <v>11954</v>
      </c>
      <c r="AA625" t="s">
        <v>11955</v>
      </c>
      <c r="AB625" t="s">
        <v>11956</v>
      </c>
      <c r="AC625" t="s">
        <v>11957</v>
      </c>
      <c r="AD625" t="s">
        <v>11958</v>
      </c>
      <c r="AE625" t="s">
        <v>11959</v>
      </c>
      <c r="AF625" t="s">
        <v>74</v>
      </c>
      <c r="AG625">
        <v>90</v>
      </c>
      <c r="AH625">
        <v>24</v>
      </c>
      <c r="AI625">
        <v>24</v>
      </c>
      <c r="AJ625">
        <v>0</v>
      </c>
      <c r="AK625">
        <v>18</v>
      </c>
      <c r="AL625" t="s">
        <v>3534</v>
      </c>
      <c r="AM625" t="s">
        <v>3535</v>
      </c>
      <c r="AN625" t="s">
        <v>3536</v>
      </c>
      <c r="AO625" t="s">
        <v>3814</v>
      </c>
      <c r="AP625" t="s">
        <v>3815</v>
      </c>
      <c r="AQ625" t="s">
        <v>74</v>
      </c>
      <c r="AR625" t="s">
        <v>3816</v>
      </c>
      <c r="AS625" t="s">
        <v>3817</v>
      </c>
      <c r="AT625" t="s">
        <v>11911</v>
      </c>
      <c r="AU625">
        <v>2017</v>
      </c>
      <c r="AV625">
        <v>13</v>
      </c>
      <c r="AW625">
        <v>3</v>
      </c>
      <c r="AX625" t="s">
        <v>74</v>
      </c>
      <c r="AY625" t="s">
        <v>74</v>
      </c>
      <c r="AZ625" t="s">
        <v>74</v>
      </c>
      <c r="BA625" t="s">
        <v>74</v>
      </c>
      <c r="BB625">
        <v>231</v>
      </c>
      <c r="BC625">
        <v>248</v>
      </c>
      <c r="BD625" t="s">
        <v>74</v>
      </c>
      <c r="BE625" t="s">
        <v>11960</v>
      </c>
      <c r="BF625" t="str">
        <f>HYPERLINK("http://dx.doi.org/10.5194/cp-13-231-2017","http://dx.doi.org/10.5194/cp-13-231-2017")</f>
        <v>http://dx.doi.org/10.5194/cp-13-231-2017</v>
      </c>
      <c r="BG625" t="s">
        <v>74</v>
      </c>
      <c r="BH625" t="s">
        <v>74</v>
      </c>
      <c r="BI625">
        <v>18</v>
      </c>
      <c r="BJ625" t="s">
        <v>3820</v>
      </c>
      <c r="BK625" t="s">
        <v>103</v>
      </c>
      <c r="BL625" t="s">
        <v>3821</v>
      </c>
      <c r="BM625" t="s">
        <v>11961</v>
      </c>
      <c r="BN625" t="s">
        <v>74</v>
      </c>
      <c r="BO625" t="s">
        <v>11962</v>
      </c>
      <c r="BP625" t="s">
        <v>74</v>
      </c>
      <c r="BQ625" t="s">
        <v>74</v>
      </c>
      <c r="BR625" t="s">
        <v>106</v>
      </c>
      <c r="BS625" t="s">
        <v>11963</v>
      </c>
      <c r="BT625" t="str">
        <f>HYPERLINK("https%3A%2F%2Fwww.webofscience.com%2Fwos%2Fwoscc%2Ffull-record%2FWOS:000396734600001","View Full Record in Web of Science")</f>
        <v>View Full Record in Web of Science</v>
      </c>
    </row>
    <row r="626" spans="1:72" x14ac:dyDescent="0.15">
      <c r="A626" t="s">
        <v>72</v>
      </c>
      <c r="B626" t="s">
        <v>11964</v>
      </c>
      <c r="C626" t="s">
        <v>74</v>
      </c>
      <c r="D626" t="s">
        <v>74</v>
      </c>
      <c r="E626" t="s">
        <v>74</v>
      </c>
      <c r="F626" t="s">
        <v>11965</v>
      </c>
      <c r="G626" t="s">
        <v>74</v>
      </c>
      <c r="H626" t="s">
        <v>74</v>
      </c>
      <c r="I626" t="s">
        <v>11966</v>
      </c>
      <c r="J626" t="s">
        <v>1299</v>
      </c>
      <c r="K626" t="s">
        <v>74</v>
      </c>
      <c r="L626" t="s">
        <v>74</v>
      </c>
      <c r="M626" t="s">
        <v>78</v>
      </c>
      <c r="N626" t="s">
        <v>79</v>
      </c>
      <c r="O626" t="s">
        <v>74</v>
      </c>
      <c r="P626" t="s">
        <v>74</v>
      </c>
      <c r="Q626" t="s">
        <v>74</v>
      </c>
      <c r="R626" t="s">
        <v>74</v>
      </c>
      <c r="S626" t="s">
        <v>74</v>
      </c>
      <c r="T626" t="s">
        <v>11967</v>
      </c>
      <c r="U626" t="s">
        <v>11968</v>
      </c>
      <c r="V626" t="s">
        <v>11969</v>
      </c>
      <c r="W626" t="s">
        <v>11970</v>
      </c>
      <c r="X626" t="s">
        <v>11971</v>
      </c>
      <c r="Y626" t="s">
        <v>11972</v>
      </c>
      <c r="Z626" t="s">
        <v>11973</v>
      </c>
      <c r="AA626" t="s">
        <v>11974</v>
      </c>
      <c r="AB626" t="s">
        <v>11975</v>
      </c>
      <c r="AC626" t="s">
        <v>11976</v>
      </c>
      <c r="AD626" t="s">
        <v>11977</v>
      </c>
      <c r="AE626" t="s">
        <v>11978</v>
      </c>
      <c r="AF626" t="s">
        <v>74</v>
      </c>
      <c r="AG626">
        <v>90</v>
      </c>
      <c r="AH626">
        <v>39</v>
      </c>
      <c r="AI626">
        <v>43</v>
      </c>
      <c r="AJ626">
        <v>0</v>
      </c>
      <c r="AK626">
        <v>19</v>
      </c>
      <c r="AL626" t="s">
        <v>656</v>
      </c>
      <c r="AM626" t="s">
        <v>93</v>
      </c>
      <c r="AN626" t="s">
        <v>657</v>
      </c>
      <c r="AO626" t="s">
        <v>1312</v>
      </c>
      <c r="AP626" t="s">
        <v>1313</v>
      </c>
      <c r="AQ626" t="s">
        <v>74</v>
      </c>
      <c r="AR626" t="s">
        <v>1314</v>
      </c>
      <c r="AS626" t="s">
        <v>1315</v>
      </c>
      <c r="AT626" t="s">
        <v>11911</v>
      </c>
      <c r="AU626">
        <v>2017</v>
      </c>
      <c r="AV626">
        <v>201</v>
      </c>
      <c r="AW626" t="s">
        <v>74</v>
      </c>
      <c r="AX626" t="s">
        <v>74</v>
      </c>
      <c r="AY626" t="s">
        <v>74</v>
      </c>
      <c r="AZ626" t="s">
        <v>100</v>
      </c>
      <c r="BA626" t="s">
        <v>74</v>
      </c>
      <c r="BB626">
        <v>155</v>
      </c>
      <c r="BC626">
        <v>184</v>
      </c>
      <c r="BD626" t="s">
        <v>74</v>
      </c>
      <c r="BE626" t="s">
        <v>11979</v>
      </c>
      <c r="BF626" t="str">
        <f>HYPERLINK("http://dx.doi.org/10.1016/j.gca.2016.09.031","http://dx.doi.org/10.1016/j.gca.2016.09.031")</f>
        <v>http://dx.doi.org/10.1016/j.gca.2016.09.031</v>
      </c>
      <c r="BG626" t="s">
        <v>74</v>
      </c>
      <c r="BH626" t="s">
        <v>74</v>
      </c>
      <c r="BI626">
        <v>30</v>
      </c>
      <c r="BJ626" t="s">
        <v>176</v>
      </c>
      <c r="BK626" t="s">
        <v>103</v>
      </c>
      <c r="BL626" t="s">
        <v>176</v>
      </c>
      <c r="BM626" t="s">
        <v>11980</v>
      </c>
      <c r="BN626" t="s">
        <v>74</v>
      </c>
      <c r="BO626" t="s">
        <v>74</v>
      </c>
      <c r="BP626" t="s">
        <v>74</v>
      </c>
      <c r="BQ626" t="s">
        <v>74</v>
      </c>
      <c r="BR626" t="s">
        <v>106</v>
      </c>
      <c r="BS626" t="s">
        <v>11981</v>
      </c>
      <c r="BT626" t="str">
        <f>HYPERLINK("https%3A%2F%2Fwww.webofscience.com%2Fwos%2Fwoscc%2Ffull-record%2FWOS:000396793300010","View Full Record in Web of Science")</f>
        <v>View Full Record in Web of Science</v>
      </c>
    </row>
    <row r="627" spans="1:72" x14ac:dyDescent="0.15">
      <c r="A627" t="s">
        <v>72</v>
      </c>
      <c r="B627" t="s">
        <v>11982</v>
      </c>
      <c r="C627" t="s">
        <v>74</v>
      </c>
      <c r="D627" t="s">
        <v>74</v>
      </c>
      <c r="E627" t="s">
        <v>74</v>
      </c>
      <c r="F627" t="s">
        <v>11983</v>
      </c>
      <c r="G627" t="s">
        <v>74</v>
      </c>
      <c r="H627" t="s">
        <v>74</v>
      </c>
      <c r="I627" t="s">
        <v>11984</v>
      </c>
      <c r="J627" t="s">
        <v>7870</v>
      </c>
      <c r="K627" t="s">
        <v>74</v>
      </c>
      <c r="L627" t="s">
        <v>74</v>
      </c>
      <c r="M627" t="s">
        <v>78</v>
      </c>
      <c r="N627" t="s">
        <v>79</v>
      </c>
      <c r="O627" t="s">
        <v>74</v>
      </c>
      <c r="P627" t="s">
        <v>74</v>
      </c>
      <c r="Q627" t="s">
        <v>74</v>
      </c>
      <c r="R627" t="s">
        <v>74</v>
      </c>
      <c r="S627" t="s">
        <v>74</v>
      </c>
      <c r="T627" t="s">
        <v>11985</v>
      </c>
      <c r="U627" t="s">
        <v>11986</v>
      </c>
      <c r="V627" t="s">
        <v>11987</v>
      </c>
      <c r="W627" t="s">
        <v>11988</v>
      </c>
      <c r="X627" t="s">
        <v>11989</v>
      </c>
      <c r="Y627" t="s">
        <v>11990</v>
      </c>
      <c r="Z627" t="s">
        <v>11991</v>
      </c>
      <c r="AA627" t="s">
        <v>11992</v>
      </c>
      <c r="AB627" t="s">
        <v>11993</v>
      </c>
      <c r="AC627" t="s">
        <v>11994</v>
      </c>
      <c r="AD627" t="s">
        <v>2131</v>
      </c>
      <c r="AE627" t="s">
        <v>11995</v>
      </c>
      <c r="AF627" t="s">
        <v>74</v>
      </c>
      <c r="AG627">
        <v>81</v>
      </c>
      <c r="AH627">
        <v>10</v>
      </c>
      <c r="AI627">
        <v>14</v>
      </c>
      <c r="AJ627">
        <v>1</v>
      </c>
      <c r="AK627">
        <v>33</v>
      </c>
      <c r="AL627" t="s">
        <v>1141</v>
      </c>
      <c r="AM627" t="s">
        <v>318</v>
      </c>
      <c r="AN627" t="s">
        <v>1142</v>
      </c>
      <c r="AO627" t="s">
        <v>7882</v>
      </c>
      <c r="AP627" t="s">
        <v>7883</v>
      </c>
      <c r="AQ627" t="s">
        <v>74</v>
      </c>
      <c r="AR627" t="s">
        <v>7870</v>
      </c>
      <c r="AS627" t="s">
        <v>7884</v>
      </c>
      <c r="AT627" t="s">
        <v>11911</v>
      </c>
      <c r="AU627">
        <v>2017</v>
      </c>
      <c r="AV627">
        <v>281</v>
      </c>
      <c r="AW627" t="s">
        <v>74</v>
      </c>
      <c r="AX627" t="s">
        <v>74</v>
      </c>
      <c r="AY627" t="s">
        <v>74</v>
      </c>
      <c r="AZ627" t="s">
        <v>74</v>
      </c>
      <c r="BA627" t="s">
        <v>74</v>
      </c>
      <c r="BB627">
        <v>13</v>
      </c>
      <c r="BC627">
        <v>30</v>
      </c>
      <c r="BD627" t="s">
        <v>74</v>
      </c>
      <c r="BE627" t="s">
        <v>11996</v>
      </c>
      <c r="BF627" t="str">
        <f>HYPERLINK("http://dx.doi.org/10.1016/j.geomorph.2016.12.016","http://dx.doi.org/10.1016/j.geomorph.2016.12.016")</f>
        <v>http://dx.doi.org/10.1016/j.geomorph.2016.12.016</v>
      </c>
      <c r="BG627" t="s">
        <v>74</v>
      </c>
      <c r="BH627" t="s">
        <v>74</v>
      </c>
      <c r="BI627">
        <v>18</v>
      </c>
      <c r="BJ627" t="s">
        <v>1338</v>
      </c>
      <c r="BK627" t="s">
        <v>103</v>
      </c>
      <c r="BL627" t="s">
        <v>1339</v>
      </c>
      <c r="BM627" t="s">
        <v>11997</v>
      </c>
      <c r="BN627" t="s">
        <v>74</v>
      </c>
      <c r="BO627" t="s">
        <v>384</v>
      </c>
      <c r="BP627" t="s">
        <v>74</v>
      </c>
      <c r="BQ627" t="s">
        <v>74</v>
      </c>
      <c r="BR627" t="s">
        <v>106</v>
      </c>
      <c r="BS627" t="s">
        <v>11998</v>
      </c>
      <c r="BT627" t="str">
        <f>HYPERLINK("https%3A%2F%2Fwww.webofscience.com%2Fwos%2Fwoscc%2Ffull-record%2FWOS:000394556800002","View Full Record in Web of Science")</f>
        <v>View Full Record in Web of Science</v>
      </c>
    </row>
    <row r="628" spans="1:72" x14ac:dyDescent="0.15">
      <c r="A628" t="s">
        <v>72</v>
      </c>
      <c r="B628" t="s">
        <v>11964</v>
      </c>
      <c r="C628" t="s">
        <v>74</v>
      </c>
      <c r="D628" t="s">
        <v>74</v>
      </c>
      <c r="E628" t="s">
        <v>74</v>
      </c>
      <c r="F628" t="s">
        <v>11965</v>
      </c>
      <c r="G628" t="s">
        <v>74</v>
      </c>
      <c r="H628" t="s">
        <v>74</v>
      </c>
      <c r="I628" t="s">
        <v>11999</v>
      </c>
      <c r="J628" t="s">
        <v>1299</v>
      </c>
      <c r="K628" t="s">
        <v>74</v>
      </c>
      <c r="L628" t="s">
        <v>74</v>
      </c>
      <c r="M628" t="s">
        <v>78</v>
      </c>
      <c r="N628" t="s">
        <v>79</v>
      </c>
      <c r="O628" t="s">
        <v>74</v>
      </c>
      <c r="P628" t="s">
        <v>74</v>
      </c>
      <c r="Q628" t="s">
        <v>74</v>
      </c>
      <c r="R628" t="s">
        <v>74</v>
      </c>
      <c r="S628" t="s">
        <v>74</v>
      </c>
      <c r="T628" t="s">
        <v>12000</v>
      </c>
      <c r="U628" t="s">
        <v>12001</v>
      </c>
      <c r="V628" t="s">
        <v>12002</v>
      </c>
      <c r="W628" t="s">
        <v>12003</v>
      </c>
      <c r="X628" t="s">
        <v>12004</v>
      </c>
      <c r="Y628" t="s">
        <v>12005</v>
      </c>
      <c r="Z628" t="s">
        <v>11973</v>
      </c>
      <c r="AA628" t="s">
        <v>11974</v>
      </c>
      <c r="AB628" t="s">
        <v>11975</v>
      </c>
      <c r="AC628" t="s">
        <v>12006</v>
      </c>
      <c r="AD628" t="s">
        <v>12007</v>
      </c>
      <c r="AE628" t="s">
        <v>12008</v>
      </c>
      <c r="AF628" t="s">
        <v>74</v>
      </c>
      <c r="AG628">
        <v>115</v>
      </c>
      <c r="AH628">
        <v>43</v>
      </c>
      <c r="AI628">
        <v>44</v>
      </c>
      <c r="AJ628">
        <v>0</v>
      </c>
      <c r="AK628">
        <v>15</v>
      </c>
      <c r="AL628" t="s">
        <v>656</v>
      </c>
      <c r="AM628" t="s">
        <v>93</v>
      </c>
      <c r="AN628" t="s">
        <v>657</v>
      </c>
      <c r="AO628" t="s">
        <v>1312</v>
      </c>
      <c r="AP628" t="s">
        <v>1313</v>
      </c>
      <c r="AQ628" t="s">
        <v>74</v>
      </c>
      <c r="AR628" t="s">
        <v>1314</v>
      </c>
      <c r="AS628" t="s">
        <v>1315</v>
      </c>
      <c r="AT628" t="s">
        <v>11911</v>
      </c>
      <c r="AU628">
        <v>2017</v>
      </c>
      <c r="AV628">
        <v>201</v>
      </c>
      <c r="AW628" t="s">
        <v>74</v>
      </c>
      <c r="AX628" t="s">
        <v>74</v>
      </c>
      <c r="AY628" t="s">
        <v>74</v>
      </c>
      <c r="AZ628" t="s">
        <v>100</v>
      </c>
      <c r="BA628" t="s">
        <v>74</v>
      </c>
      <c r="BB628">
        <v>185</v>
      </c>
      <c r="BC628">
        <v>223</v>
      </c>
      <c r="BD628" t="s">
        <v>74</v>
      </c>
      <c r="BE628" t="s">
        <v>12009</v>
      </c>
      <c r="BF628" t="str">
        <f>HYPERLINK("http://dx.doi.org/10.1016/j.gca.2016.09.001","http://dx.doi.org/10.1016/j.gca.2016.09.001")</f>
        <v>http://dx.doi.org/10.1016/j.gca.2016.09.001</v>
      </c>
      <c r="BG628" t="s">
        <v>74</v>
      </c>
      <c r="BH628" t="s">
        <v>74</v>
      </c>
      <c r="BI628">
        <v>39</v>
      </c>
      <c r="BJ628" t="s">
        <v>176</v>
      </c>
      <c r="BK628" t="s">
        <v>103</v>
      </c>
      <c r="BL628" t="s">
        <v>176</v>
      </c>
      <c r="BM628" t="s">
        <v>11980</v>
      </c>
      <c r="BN628" t="s">
        <v>74</v>
      </c>
      <c r="BO628" t="s">
        <v>74</v>
      </c>
      <c r="BP628" t="s">
        <v>74</v>
      </c>
      <c r="BQ628" t="s">
        <v>74</v>
      </c>
      <c r="BR628" t="s">
        <v>106</v>
      </c>
      <c r="BS628" t="s">
        <v>12010</v>
      </c>
      <c r="BT628" t="str">
        <f>HYPERLINK("https%3A%2F%2Fwww.webofscience.com%2Fwos%2Fwoscc%2Ffull-record%2FWOS:000396793300011","View Full Record in Web of Science")</f>
        <v>View Full Record in Web of Science</v>
      </c>
    </row>
    <row r="629" spans="1:72" x14ac:dyDescent="0.15">
      <c r="A629" t="s">
        <v>72</v>
      </c>
      <c r="B629" t="s">
        <v>12011</v>
      </c>
      <c r="C629" t="s">
        <v>74</v>
      </c>
      <c r="D629" t="s">
        <v>74</v>
      </c>
      <c r="E629" t="s">
        <v>74</v>
      </c>
      <c r="F629" t="s">
        <v>12012</v>
      </c>
      <c r="G629" t="s">
        <v>74</v>
      </c>
      <c r="H629" t="s">
        <v>74</v>
      </c>
      <c r="I629" t="s">
        <v>12013</v>
      </c>
      <c r="J629" t="s">
        <v>1299</v>
      </c>
      <c r="K629" t="s">
        <v>74</v>
      </c>
      <c r="L629" t="s">
        <v>74</v>
      </c>
      <c r="M629" t="s">
        <v>78</v>
      </c>
      <c r="N629" t="s">
        <v>79</v>
      </c>
      <c r="O629" t="s">
        <v>74</v>
      </c>
      <c r="P629" t="s">
        <v>74</v>
      </c>
      <c r="Q629" t="s">
        <v>74</v>
      </c>
      <c r="R629" t="s">
        <v>74</v>
      </c>
      <c r="S629" t="s">
        <v>74</v>
      </c>
      <c r="T629" t="s">
        <v>12014</v>
      </c>
      <c r="U629" t="s">
        <v>12015</v>
      </c>
      <c r="V629" t="s">
        <v>12016</v>
      </c>
      <c r="W629" t="s">
        <v>12017</v>
      </c>
      <c r="X629" t="s">
        <v>12018</v>
      </c>
      <c r="Y629" t="s">
        <v>4176</v>
      </c>
      <c r="Z629" t="s">
        <v>4177</v>
      </c>
      <c r="AA629" t="s">
        <v>12019</v>
      </c>
      <c r="AB629" t="s">
        <v>12020</v>
      </c>
      <c r="AC629" t="s">
        <v>12021</v>
      </c>
      <c r="AD629" t="s">
        <v>12022</v>
      </c>
      <c r="AE629" t="s">
        <v>12023</v>
      </c>
      <c r="AF629" t="s">
        <v>74</v>
      </c>
      <c r="AG629">
        <v>115</v>
      </c>
      <c r="AH629">
        <v>103</v>
      </c>
      <c r="AI629">
        <v>106</v>
      </c>
      <c r="AJ629">
        <v>0</v>
      </c>
      <c r="AK629">
        <v>25</v>
      </c>
      <c r="AL629" t="s">
        <v>656</v>
      </c>
      <c r="AM629" t="s">
        <v>93</v>
      </c>
      <c r="AN629" t="s">
        <v>657</v>
      </c>
      <c r="AO629" t="s">
        <v>1312</v>
      </c>
      <c r="AP629" t="s">
        <v>1313</v>
      </c>
      <c r="AQ629" t="s">
        <v>74</v>
      </c>
      <c r="AR629" t="s">
        <v>1314</v>
      </c>
      <c r="AS629" t="s">
        <v>1315</v>
      </c>
      <c r="AT629" t="s">
        <v>11911</v>
      </c>
      <c r="AU629">
        <v>2017</v>
      </c>
      <c r="AV629">
        <v>201</v>
      </c>
      <c r="AW629" t="s">
        <v>74</v>
      </c>
      <c r="AX629" t="s">
        <v>74</v>
      </c>
      <c r="AY629" t="s">
        <v>74</v>
      </c>
      <c r="AZ629" t="s">
        <v>100</v>
      </c>
      <c r="BA629" t="s">
        <v>74</v>
      </c>
      <c r="BB629">
        <v>275</v>
      </c>
      <c r="BC629">
        <v>302</v>
      </c>
      <c r="BD629" t="s">
        <v>74</v>
      </c>
      <c r="BE629" t="s">
        <v>12024</v>
      </c>
      <c r="BF629" t="str">
        <f>HYPERLINK("http://dx.doi.org/10.1016/j.gca.2016.06.023","http://dx.doi.org/10.1016/j.gca.2016.06.023")</f>
        <v>http://dx.doi.org/10.1016/j.gca.2016.06.023</v>
      </c>
      <c r="BG629" t="s">
        <v>74</v>
      </c>
      <c r="BH629" t="s">
        <v>74</v>
      </c>
      <c r="BI629">
        <v>28</v>
      </c>
      <c r="BJ629" t="s">
        <v>176</v>
      </c>
      <c r="BK629" t="s">
        <v>103</v>
      </c>
      <c r="BL629" t="s">
        <v>176</v>
      </c>
      <c r="BM629" t="s">
        <v>11980</v>
      </c>
      <c r="BN629" t="s">
        <v>74</v>
      </c>
      <c r="BO629" t="s">
        <v>384</v>
      </c>
      <c r="BP629" t="s">
        <v>74</v>
      </c>
      <c r="BQ629" t="s">
        <v>74</v>
      </c>
      <c r="BR629" t="s">
        <v>106</v>
      </c>
      <c r="BS629" t="s">
        <v>12025</v>
      </c>
      <c r="BT629" t="str">
        <f>HYPERLINK("https%3A%2F%2Fwww.webofscience.com%2Fwos%2Fwoscc%2Ffull-record%2FWOS:000396793300015","View Full Record in Web of Science")</f>
        <v>View Full Record in Web of Science</v>
      </c>
    </row>
    <row r="630" spans="1:72" x14ac:dyDescent="0.15">
      <c r="A630" t="s">
        <v>72</v>
      </c>
      <c r="B630" t="s">
        <v>12026</v>
      </c>
      <c r="C630" t="s">
        <v>74</v>
      </c>
      <c r="D630" t="s">
        <v>74</v>
      </c>
      <c r="E630" t="s">
        <v>74</v>
      </c>
      <c r="F630" t="s">
        <v>12027</v>
      </c>
      <c r="G630" t="s">
        <v>74</v>
      </c>
      <c r="H630" t="s">
        <v>74</v>
      </c>
      <c r="I630" t="s">
        <v>12028</v>
      </c>
      <c r="J630" t="s">
        <v>12029</v>
      </c>
      <c r="K630" t="s">
        <v>74</v>
      </c>
      <c r="L630" t="s">
        <v>74</v>
      </c>
      <c r="M630" t="s">
        <v>78</v>
      </c>
      <c r="N630" t="s">
        <v>79</v>
      </c>
      <c r="O630" t="s">
        <v>74</v>
      </c>
      <c r="P630" t="s">
        <v>74</v>
      </c>
      <c r="Q630" t="s">
        <v>74</v>
      </c>
      <c r="R630" t="s">
        <v>74</v>
      </c>
      <c r="S630" t="s">
        <v>74</v>
      </c>
      <c r="T630" t="s">
        <v>12030</v>
      </c>
      <c r="U630" t="s">
        <v>12031</v>
      </c>
      <c r="V630" t="s">
        <v>12032</v>
      </c>
      <c r="W630" t="s">
        <v>12033</v>
      </c>
      <c r="X630" t="s">
        <v>12034</v>
      </c>
      <c r="Y630" t="s">
        <v>12035</v>
      </c>
      <c r="Z630" t="s">
        <v>12036</v>
      </c>
      <c r="AA630" t="s">
        <v>12037</v>
      </c>
      <c r="AB630" t="s">
        <v>12038</v>
      </c>
      <c r="AC630" t="s">
        <v>12039</v>
      </c>
      <c r="AD630" t="s">
        <v>12040</v>
      </c>
      <c r="AE630" t="s">
        <v>12041</v>
      </c>
      <c r="AF630" t="s">
        <v>74</v>
      </c>
      <c r="AG630">
        <v>28</v>
      </c>
      <c r="AH630">
        <v>13</v>
      </c>
      <c r="AI630">
        <v>16</v>
      </c>
      <c r="AJ630">
        <v>1</v>
      </c>
      <c r="AK630">
        <v>34</v>
      </c>
      <c r="AL630" t="s">
        <v>681</v>
      </c>
      <c r="AM630" t="s">
        <v>682</v>
      </c>
      <c r="AN630" t="s">
        <v>683</v>
      </c>
      <c r="AO630" t="s">
        <v>12042</v>
      </c>
      <c r="AP630" t="s">
        <v>12043</v>
      </c>
      <c r="AQ630" t="s">
        <v>74</v>
      </c>
      <c r="AR630" t="s">
        <v>12044</v>
      </c>
      <c r="AS630" t="s">
        <v>12045</v>
      </c>
      <c r="AT630" t="s">
        <v>11911</v>
      </c>
      <c r="AU630">
        <v>2017</v>
      </c>
      <c r="AV630">
        <v>97</v>
      </c>
      <c r="AW630">
        <v>4</v>
      </c>
      <c r="AX630" t="s">
        <v>74</v>
      </c>
      <c r="AY630" t="s">
        <v>74</v>
      </c>
      <c r="AZ630" t="s">
        <v>74</v>
      </c>
      <c r="BA630" t="s">
        <v>74</v>
      </c>
      <c r="BB630">
        <v>1143</v>
      </c>
      <c r="BC630">
        <v>1148</v>
      </c>
      <c r="BD630" t="s">
        <v>74</v>
      </c>
      <c r="BE630" t="s">
        <v>12046</v>
      </c>
      <c r="BF630" t="str">
        <f>HYPERLINK("http://dx.doi.org/10.1002/jsfa.7840","http://dx.doi.org/10.1002/jsfa.7840")</f>
        <v>http://dx.doi.org/10.1002/jsfa.7840</v>
      </c>
      <c r="BG630" t="s">
        <v>74</v>
      </c>
      <c r="BH630" t="s">
        <v>74</v>
      </c>
      <c r="BI630">
        <v>6</v>
      </c>
      <c r="BJ630" t="s">
        <v>12047</v>
      </c>
      <c r="BK630" t="s">
        <v>103</v>
      </c>
      <c r="BL630" t="s">
        <v>12048</v>
      </c>
      <c r="BM630" t="s">
        <v>12049</v>
      </c>
      <c r="BN630">
        <v>27292941</v>
      </c>
      <c r="BO630" t="s">
        <v>74</v>
      </c>
      <c r="BP630" t="s">
        <v>74</v>
      </c>
      <c r="BQ630" t="s">
        <v>74</v>
      </c>
      <c r="BR630" t="s">
        <v>106</v>
      </c>
      <c r="BS630" t="s">
        <v>12050</v>
      </c>
      <c r="BT630" t="str">
        <f>HYPERLINK("https%3A%2F%2Fwww.webofscience.com%2Fwos%2Fwoscc%2Ffull-record%2FWOS:000397409300011","View Full Record in Web of Science")</f>
        <v>View Full Record in Web of Science</v>
      </c>
    </row>
    <row r="631" spans="1:72" x14ac:dyDescent="0.15">
      <c r="A631" t="s">
        <v>72</v>
      </c>
      <c r="B631" t="s">
        <v>12051</v>
      </c>
      <c r="C631" t="s">
        <v>74</v>
      </c>
      <c r="D631" t="s">
        <v>74</v>
      </c>
      <c r="E631" t="s">
        <v>74</v>
      </c>
      <c r="F631" t="s">
        <v>12052</v>
      </c>
      <c r="G631" t="s">
        <v>74</v>
      </c>
      <c r="H631" t="s">
        <v>74</v>
      </c>
      <c r="I631" t="s">
        <v>12053</v>
      </c>
      <c r="J631" t="s">
        <v>12054</v>
      </c>
      <c r="K631" t="s">
        <v>74</v>
      </c>
      <c r="L631" t="s">
        <v>74</v>
      </c>
      <c r="M631" t="s">
        <v>78</v>
      </c>
      <c r="N631" t="s">
        <v>79</v>
      </c>
      <c r="O631" t="s">
        <v>74</v>
      </c>
      <c r="P631" t="s">
        <v>74</v>
      </c>
      <c r="Q631" t="s">
        <v>74</v>
      </c>
      <c r="R631" t="s">
        <v>74</v>
      </c>
      <c r="S631" t="s">
        <v>74</v>
      </c>
      <c r="T631" t="s">
        <v>12055</v>
      </c>
      <c r="U631" t="s">
        <v>12056</v>
      </c>
      <c r="V631" t="s">
        <v>12057</v>
      </c>
      <c r="W631" t="s">
        <v>12058</v>
      </c>
      <c r="X631" t="s">
        <v>309</v>
      </c>
      <c r="Y631" t="s">
        <v>12059</v>
      </c>
      <c r="Z631" t="s">
        <v>12060</v>
      </c>
      <c r="AA631" t="s">
        <v>74</v>
      </c>
      <c r="AB631" t="s">
        <v>74</v>
      </c>
      <c r="AC631" t="s">
        <v>12061</v>
      </c>
      <c r="AD631" t="s">
        <v>12062</v>
      </c>
      <c r="AE631" t="s">
        <v>12063</v>
      </c>
      <c r="AF631" t="s">
        <v>74</v>
      </c>
      <c r="AG631">
        <v>23</v>
      </c>
      <c r="AH631">
        <v>16</v>
      </c>
      <c r="AI631">
        <v>16</v>
      </c>
      <c r="AJ631">
        <v>1</v>
      </c>
      <c r="AK631">
        <v>30</v>
      </c>
      <c r="AL631" t="s">
        <v>5879</v>
      </c>
      <c r="AM631" t="s">
        <v>430</v>
      </c>
      <c r="AN631" t="s">
        <v>5880</v>
      </c>
      <c r="AO631" t="s">
        <v>12064</v>
      </c>
      <c r="AP631" t="s">
        <v>12065</v>
      </c>
      <c r="AQ631" t="s">
        <v>74</v>
      </c>
      <c r="AR631" t="s">
        <v>12066</v>
      </c>
      <c r="AS631" t="s">
        <v>12067</v>
      </c>
      <c r="AT631" t="s">
        <v>11911</v>
      </c>
      <c r="AU631">
        <v>2017</v>
      </c>
      <c r="AV631">
        <v>191</v>
      </c>
      <c r="AW631" t="s">
        <v>74</v>
      </c>
      <c r="AX631" t="s">
        <v>74</v>
      </c>
      <c r="AY631" t="s">
        <v>74</v>
      </c>
      <c r="AZ631" t="s">
        <v>74</v>
      </c>
      <c r="BA631" t="s">
        <v>74</v>
      </c>
      <c r="BB631">
        <v>30</v>
      </c>
      <c r="BC631">
        <v>37</v>
      </c>
      <c r="BD631" t="s">
        <v>74</v>
      </c>
      <c r="BE631" t="s">
        <v>12068</v>
      </c>
      <c r="BF631" t="str">
        <f>HYPERLINK("http://dx.doi.org/10.1016/j.rse.2017.01.003","http://dx.doi.org/10.1016/j.rse.2017.01.003")</f>
        <v>http://dx.doi.org/10.1016/j.rse.2017.01.003</v>
      </c>
      <c r="BG631" t="s">
        <v>74</v>
      </c>
      <c r="BH631" t="s">
        <v>74</v>
      </c>
      <c r="BI631">
        <v>8</v>
      </c>
      <c r="BJ631" t="s">
        <v>3490</v>
      </c>
      <c r="BK631" t="s">
        <v>103</v>
      </c>
      <c r="BL631" t="s">
        <v>3491</v>
      </c>
      <c r="BM631" t="s">
        <v>12069</v>
      </c>
      <c r="BN631" t="s">
        <v>74</v>
      </c>
      <c r="BO631" t="s">
        <v>74</v>
      </c>
      <c r="BP631" t="s">
        <v>74</v>
      </c>
      <c r="BQ631" t="s">
        <v>74</v>
      </c>
      <c r="BR631" t="s">
        <v>106</v>
      </c>
      <c r="BS631" t="s">
        <v>12070</v>
      </c>
      <c r="BT631" t="str">
        <f>HYPERLINK("https%3A%2F%2Fwww.webofscience.com%2Fwos%2Fwoscc%2Ffull-record%2FWOS:000397360500003","View Full Record in Web of Science")</f>
        <v>View Full Record in Web of Science</v>
      </c>
    </row>
    <row r="632" spans="1:72" x14ac:dyDescent="0.15">
      <c r="A632" t="s">
        <v>72</v>
      </c>
      <c r="B632" t="s">
        <v>12071</v>
      </c>
      <c r="C632" t="s">
        <v>74</v>
      </c>
      <c r="D632" t="s">
        <v>74</v>
      </c>
      <c r="E632" t="s">
        <v>74</v>
      </c>
      <c r="F632" t="s">
        <v>12072</v>
      </c>
      <c r="G632" t="s">
        <v>74</v>
      </c>
      <c r="H632" t="s">
        <v>74</v>
      </c>
      <c r="I632" t="s">
        <v>12073</v>
      </c>
      <c r="J632" t="s">
        <v>3661</v>
      </c>
      <c r="K632" t="s">
        <v>74</v>
      </c>
      <c r="L632" t="s">
        <v>74</v>
      </c>
      <c r="M632" t="s">
        <v>78</v>
      </c>
      <c r="N632" t="s">
        <v>79</v>
      </c>
      <c r="O632" t="s">
        <v>74</v>
      </c>
      <c r="P632" t="s">
        <v>74</v>
      </c>
      <c r="Q632" t="s">
        <v>74</v>
      </c>
      <c r="R632" t="s">
        <v>74</v>
      </c>
      <c r="S632" t="s">
        <v>74</v>
      </c>
      <c r="T632" t="s">
        <v>74</v>
      </c>
      <c r="U632" t="s">
        <v>12074</v>
      </c>
      <c r="V632" t="s">
        <v>12075</v>
      </c>
      <c r="W632" t="s">
        <v>12076</v>
      </c>
      <c r="X632" t="s">
        <v>3266</v>
      </c>
      <c r="Y632" t="s">
        <v>956</v>
      </c>
      <c r="Z632" t="s">
        <v>957</v>
      </c>
      <c r="AA632" t="s">
        <v>12077</v>
      </c>
      <c r="AB632" t="s">
        <v>12078</v>
      </c>
      <c r="AC632" t="s">
        <v>12079</v>
      </c>
      <c r="AD632" t="s">
        <v>12080</v>
      </c>
      <c r="AE632" t="s">
        <v>12081</v>
      </c>
      <c r="AF632" t="s">
        <v>74</v>
      </c>
      <c r="AG632">
        <v>102</v>
      </c>
      <c r="AH632">
        <v>9</v>
      </c>
      <c r="AI632">
        <v>9</v>
      </c>
      <c r="AJ632">
        <v>0</v>
      </c>
      <c r="AK632">
        <v>26</v>
      </c>
      <c r="AL632" t="s">
        <v>3671</v>
      </c>
      <c r="AM632" t="s">
        <v>3672</v>
      </c>
      <c r="AN632" t="s">
        <v>3673</v>
      </c>
      <c r="AO632" t="s">
        <v>3674</v>
      </c>
      <c r="AP632" t="s">
        <v>74</v>
      </c>
      <c r="AQ632" t="s">
        <v>74</v>
      </c>
      <c r="AR632" t="s">
        <v>3675</v>
      </c>
      <c r="AS632" t="s">
        <v>3676</v>
      </c>
      <c r="AT632" t="s">
        <v>12082</v>
      </c>
      <c r="AU632">
        <v>2017</v>
      </c>
      <c r="AV632">
        <v>7</v>
      </c>
      <c r="AW632" t="s">
        <v>74</v>
      </c>
      <c r="AX632" t="s">
        <v>74</v>
      </c>
      <c r="AY632" t="s">
        <v>74</v>
      </c>
      <c r="AZ632" t="s">
        <v>74</v>
      </c>
      <c r="BA632" t="s">
        <v>74</v>
      </c>
      <c r="BB632" t="s">
        <v>74</v>
      </c>
      <c r="BC632" t="s">
        <v>74</v>
      </c>
      <c r="BD632">
        <v>44480</v>
      </c>
      <c r="BE632" t="s">
        <v>12083</v>
      </c>
      <c r="BF632" t="str">
        <f>HYPERLINK("http://dx.doi.org/10.1038/srep44480","http://dx.doi.org/10.1038/srep44480")</f>
        <v>http://dx.doi.org/10.1038/srep44480</v>
      </c>
      <c r="BG632" t="s">
        <v>74</v>
      </c>
      <c r="BH632" t="s">
        <v>74</v>
      </c>
      <c r="BI632">
        <v>16</v>
      </c>
      <c r="BJ632" t="s">
        <v>1617</v>
      </c>
      <c r="BK632" t="s">
        <v>103</v>
      </c>
      <c r="BL632" t="s">
        <v>1618</v>
      </c>
      <c r="BM632" t="s">
        <v>12084</v>
      </c>
      <c r="BN632">
        <v>28290555</v>
      </c>
      <c r="BO632" t="s">
        <v>2009</v>
      </c>
      <c r="BP632" t="s">
        <v>74</v>
      </c>
      <c r="BQ632" t="s">
        <v>74</v>
      </c>
      <c r="BR632" t="s">
        <v>106</v>
      </c>
      <c r="BS632" t="s">
        <v>12085</v>
      </c>
      <c r="BT632" t="str">
        <f>HYPERLINK("https%3A%2F%2Fwww.webofscience.com%2Fwos%2Fwoscc%2Ffull-record%2FWOS:000396122000001","View Full Record in Web of Science")</f>
        <v>View Full Record in Web of Science</v>
      </c>
    </row>
    <row r="633" spans="1:72" x14ac:dyDescent="0.15">
      <c r="A633" t="s">
        <v>72</v>
      </c>
      <c r="B633" t="s">
        <v>12086</v>
      </c>
      <c r="C633" t="s">
        <v>74</v>
      </c>
      <c r="D633" t="s">
        <v>74</v>
      </c>
      <c r="E633" t="s">
        <v>74</v>
      </c>
      <c r="F633" t="s">
        <v>12087</v>
      </c>
      <c r="G633" t="s">
        <v>74</v>
      </c>
      <c r="H633" t="s">
        <v>74</v>
      </c>
      <c r="I633" t="s">
        <v>12088</v>
      </c>
      <c r="J633" t="s">
        <v>3441</v>
      </c>
      <c r="K633" t="s">
        <v>74</v>
      </c>
      <c r="L633" t="s">
        <v>74</v>
      </c>
      <c r="M633" t="s">
        <v>78</v>
      </c>
      <c r="N633" t="s">
        <v>79</v>
      </c>
      <c r="O633" t="s">
        <v>74</v>
      </c>
      <c r="P633" t="s">
        <v>74</v>
      </c>
      <c r="Q633" t="s">
        <v>74</v>
      </c>
      <c r="R633" t="s">
        <v>74</v>
      </c>
      <c r="S633" t="s">
        <v>74</v>
      </c>
      <c r="T633" t="s">
        <v>12089</v>
      </c>
      <c r="U633" t="s">
        <v>12090</v>
      </c>
      <c r="V633" t="s">
        <v>12091</v>
      </c>
      <c r="W633" t="s">
        <v>12092</v>
      </c>
      <c r="X633" t="s">
        <v>12093</v>
      </c>
      <c r="Y633" t="s">
        <v>12094</v>
      </c>
      <c r="Z633" t="s">
        <v>12095</v>
      </c>
      <c r="AA633" t="s">
        <v>12096</v>
      </c>
      <c r="AB633" t="s">
        <v>12097</v>
      </c>
      <c r="AC633" t="s">
        <v>12098</v>
      </c>
      <c r="AD633" t="s">
        <v>12099</v>
      </c>
      <c r="AE633" t="s">
        <v>12100</v>
      </c>
      <c r="AF633" t="s">
        <v>74</v>
      </c>
      <c r="AG633">
        <v>81</v>
      </c>
      <c r="AH633">
        <v>12</v>
      </c>
      <c r="AI633">
        <v>14</v>
      </c>
      <c r="AJ633">
        <v>0</v>
      </c>
      <c r="AK633">
        <v>27</v>
      </c>
      <c r="AL633" t="s">
        <v>3454</v>
      </c>
      <c r="AM633" t="s">
        <v>3455</v>
      </c>
      <c r="AN633" t="s">
        <v>3456</v>
      </c>
      <c r="AO633" t="s">
        <v>3457</v>
      </c>
      <c r="AP633" t="s">
        <v>3458</v>
      </c>
      <c r="AQ633" t="s">
        <v>74</v>
      </c>
      <c r="AR633" t="s">
        <v>3459</v>
      </c>
      <c r="AS633" t="s">
        <v>3460</v>
      </c>
      <c r="AT633" t="s">
        <v>12101</v>
      </c>
      <c r="AU633">
        <v>2017</v>
      </c>
      <c r="AV633">
        <v>567</v>
      </c>
      <c r="AW633" t="s">
        <v>74</v>
      </c>
      <c r="AX633" t="s">
        <v>74</v>
      </c>
      <c r="AY633" t="s">
        <v>74</v>
      </c>
      <c r="AZ633" t="s">
        <v>74</v>
      </c>
      <c r="BA633" t="s">
        <v>74</v>
      </c>
      <c r="BB633">
        <v>235</v>
      </c>
      <c r="BC633">
        <v>247</v>
      </c>
      <c r="BD633" t="s">
        <v>74</v>
      </c>
      <c r="BE633" t="s">
        <v>12102</v>
      </c>
      <c r="BF633" t="str">
        <f>HYPERLINK("http://dx.doi.org/10.3354/meps12041","http://dx.doi.org/10.3354/meps12041")</f>
        <v>http://dx.doi.org/10.3354/meps12041</v>
      </c>
      <c r="BG633" t="s">
        <v>74</v>
      </c>
      <c r="BH633" t="s">
        <v>74</v>
      </c>
      <c r="BI633">
        <v>13</v>
      </c>
      <c r="BJ633" t="s">
        <v>3463</v>
      </c>
      <c r="BK633" t="s">
        <v>103</v>
      </c>
      <c r="BL633" t="s">
        <v>3464</v>
      </c>
      <c r="BM633" t="s">
        <v>12103</v>
      </c>
      <c r="BN633" t="s">
        <v>74</v>
      </c>
      <c r="BO633" t="s">
        <v>74</v>
      </c>
      <c r="BP633" t="s">
        <v>74</v>
      </c>
      <c r="BQ633" t="s">
        <v>74</v>
      </c>
      <c r="BR633" t="s">
        <v>106</v>
      </c>
      <c r="BS633" t="s">
        <v>12104</v>
      </c>
      <c r="BT633" t="str">
        <f>HYPERLINK("https%3A%2F%2Fwww.webofscience.com%2Fwos%2Fwoscc%2Ffull-record%2FWOS:000397823100016","View Full Record in Web of Science")</f>
        <v>View Full Record in Web of Science</v>
      </c>
    </row>
    <row r="634" spans="1:72" x14ac:dyDescent="0.15">
      <c r="A634" t="s">
        <v>72</v>
      </c>
      <c r="B634" t="s">
        <v>12105</v>
      </c>
      <c r="C634" t="s">
        <v>74</v>
      </c>
      <c r="D634" t="s">
        <v>74</v>
      </c>
      <c r="E634" t="s">
        <v>74</v>
      </c>
      <c r="F634" t="s">
        <v>12106</v>
      </c>
      <c r="G634" t="s">
        <v>74</v>
      </c>
      <c r="H634" t="s">
        <v>74</v>
      </c>
      <c r="I634" t="s">
        <v>12107</v>
      </c>
      <c r="J634" t="s">
        <v>3661</v>
      </c>
      <c r="K634" t="s">
        <v>74</v>
      </c>
      <c r="L634" t="s">
        <v>74</v>
      </c>
      <c r="M634" t="s">
        <v>78</v>
      </c>
      <c r="N634" t="s">
        <v>79</v>
      </c>
      <c r="O634" t="s">
        <v>74</v>
      </c>
      <c r="P634" t="s">
        <v>74</v>
      </c>
      <c r="Q634" t="s">
        <v>74</v>
      </c>
      <c r="R634" t="s">
        <v>74</v>
      </c>
      <c r="S634" t="s">
        <v>74</v>
      </c>
      <c r="T634" t="s">
        <v>74</v>
      </c>
      <c r="U634" t="s">
        <v>12108</v>
      </c>
      <c r="V634" t="s">
        <v>12109</v>
      </c>
      <c r="W634" t="s">
        <v>12110</v>
      </c>
      <c r="X634" t="s">
        <v>12111</v>
      </c>
      <c r="Y634" t="s">
        <v>12112</v>
      </c>
      <c r="Z634" t="s">
        <v>12113</v>
      </c>
      <c r="AA634" t="s">
        <v>12114</v>
      </c>
      <c r="AB634" t="s">
        <v>74</v>
      </c>
      <c r="AC634" t="s">
        <v>12115</v>
      </c>
      <c r="AD634" t="s">
        <v>12116</v>
      </c>
      <c r="AE634" t="s">
        <v>12117</v>
      </c>
      <c r="AF634" t="s">
        <v>74</v>
      </c>
      <c r="AG634">
        <v>50</v>
      </c>
      <c r="AH634">
        <v>23</v>
      </c>
      <c r="AI634">
        <v>24</v>
      </c>
      <c r="AJ634">
        <v>0</v>
      </c>
      <c r="AK634">
        <v>14</v>
      </c>
      <c r="AL634" t="s">
        <v>3671</v>
      </c>
      <c r="AM634" t="s">
        <v>3672</v>
      </c>
      <c r="AN634" t="s">
        <v>3673</v>
      </c>
      <c r="AO634" t="s">
        <v>3674</v>
      </c>
      <c r="AP634" t="s">
        <v>74</v>
      </c>
      <c r="AQ634" t="s">
        <v>74</v>
      </c>
      <c r="AR634" t="s">
        <v>3675</v>
      </c>
      <c r="AS634" t="s">
        <v>3676</v>
      </c>
      <c r="AT634" t="s">
        <v>12101</v>
      </c>
      <c r="AU634">
        <v>2017</v>
      </c>
      <c r="AV634">
        <v>7</v>
      </c>
      <c r="AW634" t="s">
        <v>74</v>
      </c>
      <c r="AX634" t="s">
        <v>74</v>
      </c>
      <c r="AY634" t="s">
        <v>74</v>
      </c>
      <c r="AZ634" t="s">
        <v>74</v>
      </c>
      <c r="BA634" t="s">
        <v>74</v>
      </c>
      <c r="BB634" t="s">
        <v>74</v>
      </c>
      <c r="BC634" t="s">
        <v>74</v>
      </c>
      <c r="BD634">
        <v>44228</v>
      </c>
      <c r="BE634" t="s">
        <v>12118</v>
      </c>
      <c r="BF634" t="str">
        <f>HYPERLINK("http://dx.doi.org/10.1038/srep44228","http://dx.doi.org/10.1038/srep44228")</f>
        <v>http://dx.doi.org/10.1038/srep44228</v>
      </c>
      <c r="BG634" t="s">
        <v>74</v>
      </c>
      <c r="BH634" t="s">
        <v>74</v>
      </c>
      <c r="BI634">
        <v>9</v>
      </c>
      <c r="BJ634" t="s">
        <v>1617</v>
      </c>
      <c r="BK634" t="s">
        <v>103</v>
      </c>
      <c r="BL634" t="s">
        <v>1618</v>
      </c>
      <c r="BM634" t="s">
        <v>12119</v>
      </c>
      <c r="BN634">
        <v>28287128</v>
      </c>
      <c r="BO634" t="s">
        <v>3118</v>
      </c>
      <c r="BP634" t="s">
        <v>74</v>
      </c>
      <c r="BQ634" t="s">
        <v>74</v>
      </c>
      <c r="BR634" t="s">
        <v>106</v>
      </c>
      <c r="BS634" t="s">
        <v>12120</v>
      </c>
      <c r="BT634" t="str">
        <f>HYPERLINK("https%3A%2F%2Fwww.webofscience.com%2Fwos%2Fwoscc%2Ffull-record%2FWOS:000396050400001","View Full Record in Web of Science")</f>
        <v>View Full Record in Web of Science</v>
      </c>
    </row>
    <row r="635" spans="1:72" x14ac:dyDescent="0.15">
      <c r="A635" t="s">
        <v>72</v>
      </c>
      <c r="B635" t="s">
        <v>12121</v>
      </c>
      <c r="C635" t="s">
        <v>74</v>
      </c>
      <c r="D635" t="s">
        <v>74</v>
      </c>
      <c r="E635" t="s">
        <v>74</v>
      </c>
      <c r="F635" t="s">
        <v>12122</v>
      </c>
      <c r="G635" t="s">
        <v>74</v>
      </c>
      <c r="H635" t="s">
        <v>74</v>
      </c>
      <c r="I635" t="s">
        <v>12123</v>
      </c>
      <c r="J635" t="s">
        <v>12124</v>
      </c>
      <c r="K635" t="s">
        <v>74</v>
      </c>
      <c r="L635" t="s">
        <v>74</v>
      </c>
      <c r="M635" t="s">
        <v>78</v>
      </c>
      <c r="N635" t="s">
        <v>79</v>
      </c>
      <c r="O635" t="s">
        <v>74</v>
      </c>
      <c r="P635" t="s">
        <v>74</v>
      </c>
      <c r="Q635" t="s">
        <v>74</v>
      </c>
      <c r="R635" t="s">
        <v>74</v>
      </c>
      <c r="S635" t="s">
        <v>74</v>
      </c>
      <c r="T635" t="s">
        <v>12125</v>
      </c>
      <c r="U635" t="s">
        <v>12126</v>
      </c>
      <c r="V635" t="s">
        <v>12127</v>
      </c>
      <c r="W635" t="s">
        <v>12128</v>
      </c>
      <c r="X635" t="s">
        <v>12129</v>
      </c>
      <c r="Y635" t="s">
        <v>12130</v>
      </c>
      <c r="Z635" t="s">
        <v>12131</v>
      </c>
      <c r="AA635" t="s">
        <v>74</v>
      </c>
      <c r="AB635" t="s">
        <v>74</v>
      </c>
      <c r="AC635" t="s">
        <v>12132</v>
      </c>
      <c r="AD635" t="s">
        <v>12133</v>
      </c>
      <c r="AE635" t="s">
        <v>12134</v>
      </c>
      <c r="AF635" t="s">
        <v>74</v>
      </c>
      <c r="AG635">
        <v>56</v>
      </c>
      <c r="AH635">
        <v>3</v>
      </c>
      <c r="AI635">
        <v>7</v>
      </c>
      <c r="AJ635">
        <v>0</v>
      </c>
      <c r="AK635">
        <v>8</v>
      </c>
      <c r="AL635" t="s">
        <v>4052</v>
      </c>
      <c r="AM635" t="s">
        <v>4053</v>
      </c>
      <c r="AN635" t="s">
        <v>8215</v>
      </c>
      <c r="AO635" t="s">
        <v>12135</v>
      </c>
      <c r="AP635" t="s">
        <v>12136</v>
      </c>
      <c r="AQ635" t="s">
        <v>74</v>
      </c>
      <c r="AR635" t="s">
        <v>12124</v>
      </c>
      <c r="AS635" t="s">
        <v>12137</v>
      </c>
      <c r="AT635" t="s">
        <v>12101</v>
      </c>
      <c r="AU635">
        <v>2017</v>
      </c>
      <c r="AV635">
        <v>4242</v>
      </c>
      <c r="AW635">
        <v>3</v>
      </c>
      <c r="AX635" t="s">
        <v>74</v>
      </c>
      <c r="AY635" t="s">
        <v>74</v>
      </c>
      <c r="AZ635" t="s">
        <v>74</v>
      </c>
      <c r="BA635" t="s">
        <v>74</v>
      </c>
      <c r="BB635">
        <v>529</v>
      </c>
      <c r="BC635">
        <v>547</v>
      </c>
      <c r="BD635" t="s">
        <v>74</v>
      </c>
      <c r="BE635" t="s">
        <v>12138</v>
      </c>
      <c r="BF635" t="str">
        <f>HYPERLINK("http://dx.doi.org/10.11646/zootaxa.4242.3.6","http://dx.doi.org/10.11646/zootaxa.4242.3.6")</f>
        <v>http://dx.doi.org/10.11646/zootaxa.4242.3.6</v>
      </c>
      <c r="BG635" t="s">
        <v>74</v>
      </c>
      <c r="BH635" t="s">
        <v>74</v>
      </c>
      <c r="BI635">
        <v>19</v>
      </c>
      <c r="BJ635" t="s">
        <v>555</v>
      </c>
      <c r="BK635" t="s">
        <v>103</v>
      </c>
      <c r="BL635" t="s">
        <v>555</v>
      </c>
      <c r="BM635" t="s">
        <v>12139</v>
      </c>
      <c r="BN635">
        <v>28610164</v>
      </c>
      <c r="BO635" t="s">
        <v>74</v>
      </c>
      <c r="BP635" t="s">
        <v>74</v>
      </c>
      <c r="BQ635" t="s">
        <v>74</v>
      </c>
      <c r="BR635" t="s">
        <v>106</v>
      </c>
      <c r="BS635" t="s">
        <v>12140</v>
      </c>
      <c r="BT635" t="str">
        <f>HYPERLINK("https%3A%2F%2Fwww.webofscience.com%2Fwos%2Fwoscc%2Ffull-record%2FWOS:000395914200006","View Full Record in Web of Science")</f>
        <v>View Full Record in Web of Science</v>
      </c>
    </row>
    <row r="636" spans="1:72" x14ac:dyDescent="0.15">
      <c r="A636" t="s">
        <v>72</v>
      </c>
      <c r="B636" t="s">
        <v>12141</v>
      </c>
      <c r="C636" t="s">
        <v>74</v>
      </c>
      <c r="D636" t="s">
        <v>74</v>
      </c>
      <c r="E636" t="s">
        <v>74</v>
      </c>
      <c r="F636" t="s">
        <v>12142</v>
      </c>
      <c r="G636" t="s">
        <v>74</v>
      </c>
      <c r="H636" t="s">
        <v>74</v>
      </c>
      <c r="I636" t="s">
        <v>12143</v>
      </c>
      <c r="J636" t="s">
        <v>3441</v>
      </c>
      <c r="K636" t="s">
        <v>74</v>
      </c>
      <c r="L636" t="s">
        <v>74</v>
      </c>
      <c r="M636" t="s">
        <v>78</v>
      </c>
      <c r="N636" t="s">
        <v>79</v>
      </c>
      <c r="O636" t="s">
        <v>74</v>
      </c>
      <c r="P636" t="s">
        <v>74</v>
      </c>
      <c r="Q636" t="s">
        <v>74</v>
      </c>
      <c r="R636" t="s">
        <v>74</v>
      </c>
      <c r="S636" t="s">
        <v>74</v>
      </c>
      <c r="T636" t="s">
        <v>12144</v>
      </c>
      <c r="U636" t="s">
        <v>12145</v>
      </c>
      <c r="V636" t="s">
        <v>12146</v>
      </c>
      <c r="W636" t="s">
        <v>12147</v>
      </c>
      <c r="X636" t="s">
        <v>12148</v>
      </c>
      <c r="Y636" t="s">
        <v>12149</v>
      </c>
      <c r="Z636" t="s">
        <v>12150</v>
      </c>
      <c r="AA636" t="s">
        <v>12151</v>
      </c>
      <c r="AB636" t="s">
        <v>12152</v>
      </c>
      <c r="AC636" t="s">
        <v>12153</v>
      </c>
      <c r="AD636" t="s">
        <v>12154</v>
      </c>
      <c r="AE636" t="s">
        <v>12155</v>
      </c>
      <c r="AF636" t="s">
        <v>74</v>
      </c>
      <c r="AG636">
        <v>29</v>
      </c>
      <c r="AH636">
        <v>11</v>
      </c>
      <c r="AI636">
        <v>11</v>
      </c>
      <c r="AJ636">
        <v>0</v>
      </c>
      <c r="AK636">
        <v>39</v>
      </c>
      <c r="AL636" t="s">
        <v>3454</v>
      </c>
      <c r="AM636" t="s">
        <v>3455</v>
      </c>
      <c r="AN636" t="s">
        <v>3456</v>
      </c>
      <c r="AO636" t="s">
        <v>3457</v>
      </c>
      <c r="AP636" t="s">
        <v>3458</v>
      </c>
      <c r="AQ636" t="s">
        <v>74</v>
      </c>
      <c r="AR636" t="s">
        <v>3459</v>
      </c>
      <c r="AS636" t="s">
        <v>3460</v>
      </c>
      <c r="AT636" t="s">
        <v>12101</v>
      </c>
      <c r="AU636">
        <v>2017</v>
      </c>
      <c r="AV636">
        <v>567</v>
      </c>
      <c r="AW636" t="s">
        <v>74</v>
      </c>
      <c r="AX636" t="s">
        <v>74</v>
      </c>
      <c r="AY636" t="s">
        <v>74</v>
      </c>
      <c r="AZ636" t="s">
        <v>74</v>
      </c>
      <c r="BA636" t="s">
        <v>74</v>
      </c>
      <c r="BB636">
        <v>257</v>
      </c>
      <c r="BC636">
        <v>262</v>
      </c>
      <c r="BD636" t="s">
        <v>74</v>
      </c>
      <c r="BE636" t="s">
        <v>12156</v>
      </c>
      <c r="BF636" t="str">
        <f>HYPERLINK("http://dx.doi.org/10.3354/meps12020","http://dx.doi.org/10.3354/meps12020")</f>
        <v>http://dx.doi.org/10.3354/meps12020</v>
      </c>
      <c r="BG636" t="s">
        <v>74</v>
      </c>
      <c r="BH636" t="s">
        <v>74</v>
      </c>
      <c r="BI636">
        <v>6</v>
      </c>
      <c r="BJ636" t="s">
        <v>3463</v>
      </c>
      <c r="BK636" t="s">
        <v>103</v>
      </c>
      <c r="BL636" t="s">
        <v>3464</v>
      </c>
      <c r="BM636" t="s">
        <v>12103</v>
      </c>
      <c r="BN636" t="s">
        <v>74</v>
      </c>
      <c r="BO636" t="s">
        <v>1100</v>
      </c>
      <c r="BP636" t="s">
        <v>74</v>
      </c>
      <c r="BQ636" t="s">
        <v>74</v>
      </c>
      <c r="BR636" t="s">
        <v>106</v>
      </c>
      <c r="BS636" t="s">
        <v>12157</v>
      </c>
      <c r="BT636" t="str">
        <f>HYPERLINK("https%3A%2F%2Fwww.webofscience.com%2Fwos%2Fwoscc%2Ffull-record%2FWOS:000397823100018","View Full Record in Web of Science")</f>
        <v>View Full Record in Web of Science</v>
      </c>
    </row>
    <row r="637" spans="1:72" x14ac:dyDescent="0.15">
      <c r="A637" t="s">
        <v>72</v>
      </c>
      <c r="B637" t="s">
        <v>12158</v>
      </c>
      <c r="C637" t="s">
        <v>74</v>
      </c>
      <c r="D637" t="s">
        <v>74</v>
      </c>
      <c r="E637" t="s">
        <v>74</v>
      </c>
      <c r="F637" t="s">
        <v>12159</v>
      </c>
      <c r="G637" t="s">
        <v>74</v>
      </c>
      <c r="H637" t="s">
        <v>74</v>
      </c>
      <c r="I637" t="s">
        <v>12160</v>
      </c>
      <c r="J637" t="s">
        <v>1599</v>
      </c>
      <c r="K637" t="s">
        <v>74</v>
      </c>
      <c r="L637" t="s">
        <v>74</v>
      </c>
      <c r="M637" t="s">
        <v>78</v>
      </c>
      <c r="N637" t="s">
        <v>79</v>
      </c>
      <c r="O637" t="s">
        <v>74</v>
      </c>
      <c r="P637" t="s">
        <v>74</v>
      </c>
      <c r="Q637" t="s">
        <v>74</v>
      </c>
      <c r="R637" t="s">
        <v>74</v>
      </c>
      <c r="S637" t="s">
        <v>74</v>
      </c>
      <c r="T637" t="s">
        <v>74</v>
      </c>
      <c r="U637" t="s">
        <v>12161</v>
      </c>
      <c r="V637" t="s">
        <v>12162</v>
      </c>
      <c r="W637" t="s">
        <v>12163</v>
      </c>
      <c r="X637" t="s">
        <v>12164</v>
      </c>
      <c r="Y637" t="s">
        <v>12165</v>
      </c>
      <c r="Z637" t="s">
        <v>12166</v>
      </c>
      <c r="AA637" t="s">
        <v>12167</v>
      </c>
      <c r="AB637" t="s">
        <v>12168</v>
      </c>
      <c r="AC637" t="s">
        <v>12169</v>
      </c>
      <c r="AD637" t="s">
        <v>12170</v>
      </c>
      <c r="AE637" t="s">
        <v>12171</v>
      </c>
      <c r="AF637" t="s">
        <v>74</v>
      </c>
      <c r="AG637">
        <v>74</v>
      </c>
      <c r="AH637">
        <v>4</v>
      </c>
      <c r="AI637">
        <v>4</v>
      </c>
      <c r="AJ637">
        <v>1</v>
      </c>
      <c r="AK637">
        <v>20</v>
      </c>
      <c r="AL637" t="s">
        <v>3671</v>
      </c>
      <c r="AM637" t="s">
        <v>3672</v>
      </c>
      <c r="AN637" t="s">
        <v>3673</v>
      </c>
      <c r="AO637" t="s">
        <v>74</v>
      </c>
      <c r="AP637" t="s">
        <v>1613</v>
      </c>
      <c r="AQ637" t="s">
        <v>74</v>
      </c>
      <c r="AR637" t="s">
        <v>1614</v>
      </c>
      <c r="AS637" t="s">
        <v>1615</v>
      </c>
      <c r="AT637" t="s">
        <v>12101</v>
      </c>
      <c r="AU637">
        <v>2017</v>
      </c>
      <c r="AV637">
        <v>8</v>
      </c>
      <c r="AW637" t="s">
        <v>74</v>
      </c>
      <c r="AX637" t="s">
        <v>74</v>
      </c>
      <c r="AY637" t="s">
        <v>74</v>
      </c>
      <c r="AZ637" t="s">
        <v>74</v>
      </c>
      <c r="BA637" t="s">
        <v>74</v>
      </c>
      <c r="BB637" t="s">
        <v>74</v>
      </c>
      <c r="BC637" t="s">
        <v>74</v>
      </c>
      <c r="BD637">
        <v>14645</v>
      </c>
      <c r="BE637" t="s">
        <v>12172</v>
      </c>
      <c r="BF637" t="str">
        <f>HYPERLINK("http://dx.doi.org/10.1038/ncomms14645","http://dx.doi.org/10.1038/ncomms14645")</f>
        <v>http://dx.doi.org/10.1038/ncomms14645</v>
      </c>
      <c r="BG637" t="s">
        <v>74</v>
      </c>
      <c r="BH637" t="s">
        <v>74</v>
      </c>
      <c r="BI637">
        <v>8</v>
      </c>
      <c r="BJ637" t="s">
        <v>1617</v>
      </c>
      <c r="BK637" t="s">
        <v>103</v>
      </c>
      <c r="BL637" t="s">
        <v>1618</v>
      </c>
      <c r="BM637" t="s">
        <v>12173</v>
      </c>
      <c r="BN637">
        <v>28287084</v>
      </c>
      <c r="BO637" t="s">
        <v>11220</v>
      </c>
      <c r="BP637" t="s">
        <v>74</v>
      </c>
      <c r="BQ637" t="s">
        <v>74</v>
      </c>
      <c r="BR637" t="s">
        <v>106</v>
      </c>
      <c r="BS637" t="s">
        <v>12174</v>
      </c>
      <c r="BT637" t="str">
        <f>HYPERLINK("https%3A%2F%2Fwww.webofscience.com%2Fwos%2Fwoscc%2Ffull-record%2FWOS:000396214000001","View Full Record in Web of Science")</f>
        <v>View Full Record in Web of Science</v>
      </c>
    </row>
    <row r="638" spans="1:72" x14ac:dyDescent="0.15">
      <c r="A638" t="s">
        <v>72</v>
      </c>
      <c r="B638" t="s">
        <v>12175</v>
      </c>
      <c r="C638" t="s">
        <v>74</v>
      </c>
      <c r="D638" t="s">
        <v>74</v>
      </c>
      <c r="E638" t="s">
        <v>74</v>
      </c>
      <c r="F638" t="s">
        <v>12176</v>
      </c>
      <c r="G638" t="s">
        <v>74</v>
      </c>
      <c r="H638" t="s">
        <v>74</v>
      </c>
      <c r="I638" t="s">
        <v>12177</v>
      </c>
      <c r="J638" t="s">
        <v>3803</v>
      </c>
      <c r="K638" t="s">
        <v>74</v>
      </c>
      <c r="L638" t="s">
        <v>74</v>
      </c>
      <c r="M638" t="s">
        <v>78</v>
      </c>
      <c r="N638" t="s">
        <v>79</v>
      </c>
      <c r="O638" t="s">
        <v>74</v>
      </c>
      <c r="P638" t="s">
        <v>74</v>
      </c>
      <c r="Q638" t="s">
        <v>74</v>
      </c>
      <c r="R638" t="s">
        <v>74</v>
      </c>
      <c r="S638" t="s">
        <v>74</v>
      </c>
      <c r="T638" t="s">
        <v>74</v>
      </c>
      <c r="U638" t="s">
        <v>12178</v>
      </c>
      <c r="V638" t="s">
        <v>12179</v>
      </c>
      <c r="W638" t="s">
        <v>12180</v>
      </c>
      <c r="X638" t="s">
        <v>12181</v>
      </c>
      <c r="Y638" t="s">
        <v>12182</v>
      </c>
      <c r="Z638" t="s">
        <v>12183</v>
      </c>
      <c r="AA638" t="s">
        <v>12184</v>
      </c>
      <c r="AB638" t="s">
        <v>12185</v>
      </c>
      <c r="AC638" t="s">
        <v>12186</v>
      </c>
      <c r="AD638" t="s">
        <v>12187</v>
      </c>
      <c r="AE638" t="s">
        <v>12188</v>
      </c>
      <c r="AF638" t="s">
        <v>74</v>
      </c>
      <c r="AG638">
        <v>56</v>
      </c>
      <c r="AH638">
        <v>28</v>
      </c>
      <c r="AI638">
        <v>28</v>
      </c>
      <c r="AJ638">
        <v>2</v>
      </c>
      <c r="AK638">
        <v>26</v>
      </c>
      <c r="AL638" t="s">
        <v>3534</v>
      </c>
      <c r="AM638" t="s">
        <v>3535</v>
      </c>
      <c r="AN638" t="s">
        <v>3536</v>
      </c>
      <c r="AO638" t="s">
        <v>3814</v>
      </c>
      <c r="AP638" t="s">
        <v>3815</v>
      </c>
      <c r="AQ638" t="s">
        <v>74</v>
      </c>
      <c r="AR638" t="s">
        <v>3816</v>
      </c>
      <c r="AS638" t="s">
        <v>3817</v>
      </c>
      <c r="AT638" t="s">
        <v>12189</v>
      </c>
      <c r="AU638">
        <v>2017</v>
      </c>
      <c r="AV638">
        <v>13</v>
      </c>
      <c r="AW638">
        <v>3</v>
      </c>
      <c r="AX638" t="s">
        <v>74</v>
      </c>
      <c r="AY638" t="s">
        <v>74</v>
      </c>
      <c r="AZ638" t="s">
        <v>74</v>
      </c>
      <c r="BA638" t="s">
        <v>74</v>
      </c>
      <c r="BB638">
        <v>217</v>
      </c>
      <c r="BC638">
        <v>229</v>
      </c>
      <c r="BD638" t="s">
        <v>74</v>
      </c>
      <c r="BE638" t="s">
        <v>12190</v>
      </c>
      <c r="BF638" t="str">
        <f>HYPERLINK("http://dx.doi.org/10.5194/cp-13-217-2017","http://dx.doi.org/10.5194/cp-13-217-2017")</f>
        <v>http://dx.doi.org/10.5194/cp-13-217-2017</v>
      </c>
      <c r="BG638" t="s">
        <v>74</v>
      </c>
      <c r="BH638" t="s">
        <v>74</v>
      </c>
      <c r="BI638">
        <v>13</v>
      </c>
      <c r="BJ638" t="s">
        <v>3820</v>
      </c>
      <c r="BK638" t="s">
        <v>103</v>
      </c>
      <c r="BL638" t="s">
        <v>3821</v>
      </c>
      <c r="BM638" t="s">
        <v>12191</v>
      </c>
      <c r="BN638" t="s">
        <v>74</v>
      </c>
      <c r="BO638" t="s">
        <v>7340</v>
      </c>
      <c r="BP638" t="s">
        <v>74</v>
      </c>
      <c r="BQ638" t="s">
        <v>74</v>
      </c>
      <c r="BR638" t="s">
        <v>106</v>
      </c>
      <c r="BS638" t="s">
        <v>12192</v>
      </c>
      <c r="BT638" t="str">
        <f>HYPERLINK("https%3A%2F%2Fwww.webofscience.com%2Fwos%2Fwoscc%2Ffull-record%2FWOS:000396733900001","View Full Record in Web of Science")</f>
        <v>View Full Record in Web of Science</v>
      </c>
    </row>
    <row r="639" spans="1:72" x14ac:dyDescent="0.15">
      <c r="A639" t="s">
        <v>72</v>
      </c>
      <c r="B639" t="s">
        <v>12193</v>
      </c>
      <c r="C639" t="s">
        <v>74</v>
      </c>
      <c r="D639" t="s">
        <v>74</v>
      </c>
      <c r="E639" t="s">
        <v>74</v>
      </c>
      <c r="F639" t="s">
        <v>12194</v>
      </c>
      <c r="G639" t="s">
        <v>74</v>
      </c>
      <c r="H639" t="s">
        <v>74</v>
      </c>
      <c r="I639" t="s">
        <v>12195</v>
      </c>
      <c r="J639" t="s">
        <v>3849</v>
      </c>
      <c r="K639" t="s">
        <v>74</v>
      </c>
      <c r="L639" t="s">
        <v>74</v>
      </c>
      <c r="M639" t="s">
        <v>78</v>
      </c>
      <c r="N639" t="s">
        <v>1041</v>
      </c>
      <c r="O639" t="s">
        <v>74</v>
      </c>
      <c r="P639" t="s">
        <v>74</v>
      </c>
      <c r="Q639" t="s">
        <v>74</v>
      </c>
      <c r="R639" t="s">
        <v>74</v>
      </c>
      <c r="S639" t="s">
        <v>74</v>
      </c>
      <c r="T639" t="s">
        <v>74</v>
      </c>
      <c r="U639" t="s">
        <v>74</v>
      </c>
      <c r="V639" t="s">
        <v>74</v>
      </c>
      <c r="W639" t="s">
        <v>74</v>
      </c>
      <c r="X639" t="s">
        <v>74</v>
      </c>
      <c r="Y639" t="s">
        <v>74</v>
      </c>
      <c r="Z639" t="s">
        <v>74</v>
      </c>
      <c r="AA639" t="s">
        <v>12196</v>
      </c>
      <c r="AB639" t="s">
        <v>12197</v>
      </c>
      <c r="AC639" t="s">
        <v>74</v>
      </c>
      <c r="AD639" t="s">
        <v>74</v>
      </c>
      <c r="AE639" t="s">
        <v>74</v>
      </c>
      <c r="AF639" t="s">
        <v>74</v>
      </c>
      <c r="AG639">
        <v>1</v>
      </c>
      <c r="AH639">
        <v>1</v>
      </c>
      <c r="AI639">
        <v>1</v>
      </c>
      <c r="AJ639">
        <v>0</v>
      </c>
      <c r="AK639">
        <v>7</v>
      </c>
      <c r="AL639" t="s">
        <v>3861</v>
      </c>
      <c r="AM639" t="s">
        <v>3862</v>
      </c>
      <c r="AN639" t="s">
        <v>3863</v>
      </c>
      <c r="AO639" t="s">
        <v>3864</v>
      </c>
      <c r="AP639" t="s">
        <v>74</v>
      </c>
      <c r="AQ639" t="s">
        <v>74</v>
      </c>
      <c r="AR639" t="s">
        <v>3849</v>
      </c>
      <c r="AS639" t="s">
        <v>3865</v>
      </c>
      <c r="AT639" t="s">
        <v>12198</v>
      </c>
      <c r="AU639">
        <v>2017</v>
      </c>
      <c r="AV639">
        <v>12</v>
      </c>
      <c r="AW639">
        <v>3</v>
      </c>
      <c r="AX639" t="s">
        <v>74</v>
      </c>
      <c r="AY639" t="s">
        <v>74</v>
      </c>
      <c r="AZ639" t="s">
        <v>74</v>
      </c>
      <c r="BA639" t="s">
        <v>74</v>
      </c>
      <c r="BB639" t="s">
        <v>74</v>
      </c>
      <c r="BC639" t="s">
        <v>74</v>
      </c>
      <c r="BD639" t="s">
        <v>12199</v>
      </c>
      <c r="BE639" t="s">
        <v>12200</v>
      </c>
      <c r="BF639" t="str">
        <f>HYPERLINK("http://dx.doi.org/10.1371/journal.pone.0173939","http://dx.doi.org/10.1371/journal.pone.0173939")</f>
        <v>http://dx.doi.org/10.1371/journal.pone.0173939</v>
      </c>
      <c r="BG639" t="s">
        <v>74</v>
      </c>
      <c r="BH639" t="s">
        <v>74</v>
      </c>
      <c r="BI639">
        <v>2</v>
      </c>
      <c r="BJ639" t="s">
        <v>1617</v>
      </c>
      <c r="BK639" t="s">
        <v>103</v>
      </c>
      <c r="BL639" t="s">
        <v>1618</v>
      </c>
      <c r="BM639" t="s">
        <v>12201</v>
      </c>
      <c r="BN639" t="s">
        <v>74</v>
      </c>
      <c r="BO639" t="s">
        <v>4540</v>
      </c>
      <c r="BP639" t="s">
        <v>74</v>
      </c>
      <c r="BQ639" t="s">
        <v>74</v>
      </c>
      <c r="BR639" t="s">
        <v>106</v>
      </c>
      <c r="BS639" t="s">
        <v>12202</v>
      </c>
      <c r="BT639" t="str">
        <f>HYPERLINK("https%3A%2F%2Fwww.webofscience.com%2Fwos%2Fwoscc%2Ffull-record%2FWOS:000396087900040","View Full Record in Web of Science")</f>
        <v>View Full Record in Web of Science</v>
      </c>
    </row>
    <row r="640" spans="1:72" x14ac:dyDescent="0.15">
      <c r="A640" t="s">
        <v>72</v>
      </c>
      <c r="B640" t="s">
        <v>12203</v>
      </c>
      <c r="C640" t="s">
        <v>74</v>
      </c>
      <c r="D640" t="s">
        <v>74</v>
      </c>
      <c r="E640" t="s">
        <v>74</v>
      </c>
      <c r="F640" t="s">
        <v>12204</v>
      </c>
      <c r="G640" t="s">
        <v>74</v>
      </c>
      <c r="H640" t="s">
        <v>74</v>
      </c>
      <c r="I640" t="s">
        <v>12205</v>
      </c>
      <c r="J640" t="s">
        <v>3661</v>
      </c>
      <c r="K640" t="s">
        <v>74</v>
      </c>
      <c r="L640" t="s">
        <v>74</v>
      </c>
      <c r="M640" t="s">
        <v>78</v>
      </c>
      <c r="N640" t="s">
        <v>79</v>
      </c>
      <c r="O640" t="s">
        <v>74</v>
      </c>
      <c r="P640" t="s">
        <v>74</v>
      </c>
      <c r="Q640" t="s">
        <v>74</v>
      </c>
      <c r="R640" t="s">
        <v>74</v>
      </c>
      <c r="S640" t="s">
        <v>74</v>
      </c>
      <c r="T640" t="s">
        <v>74</v>
      </c>
      <c r="U640" t="s">
        <v>12206</v>
      </c>
      <c r="V640" t="s">
        <v>12207</v>
      </c>
      <c r="W640" t="s">
        <v>12208</v>
      </c>
      <c r="X640" t="s">
        <v>12209</v>
      </c>
      <c r="Y640" t="s">
        <v>12210</v>
      </c>
      <c r="Z640" t="s">
        <v>12211</v>
      </c>
      <c r="AA640" t="s">
        <v>12212</v>
      </c>
      <c r="AB640" t="s">
        <v>12213</v>
      </c>
      <c r="AC640" t="s">
        <v>12214</v>
      </c>
      <c r="AD640" t="s">
        <v>12215</v>
      </c>
      <c r="AE640" t="s">
        <v>12216</v>
      </c>
      <c r="AF640" t="s">
        <v>74</v>
      </c>
      <c r="AG640">
        <v>54</v>
      </c>
      <c r="AH640">
        <v>25</v>
      </c>
      <c r="AI640">
        <v>29</v>
      </c>
      <c r="AJ640">
        <v>1</v>
      </c>
      <c r="AK640">
        <v>137</v>
      </c>
      <c r="AL640" t="s">
        <v>3671</v>
      </c>
      <c r="AM640" t="s">
        <v>3672</v>
      </c>
      <c r="AN640" t="s">
        <v>3673</v>
      </c>
      <c r="AO640" t="s">
        <v>3674</v>
      </c>
      <c r="AP640" t="s">
        <v>74</v>
      </c>
      <c r="AQ640" t="s">
        <v>74</v>
      </c>
      <c r="AR640" t="s">
        <v>3675</v>
      </c>
      <c r="AS640" t="s">
        <v>3676</v>
      </c>
      <c r="AT640" t="s">
        <v>12217</v>
      </c>
      <c r="AU640">
        <v>2017</v>
      </c>
      <c r="AV640">
        <v>7</v>
      </c>
      <c r="AW640" t="s">
        <v>74</v>
      </c>
      <c r="AX640" t="s">
        <v>74</v>
      </c>
      <c r="AY640" t="s">
        <v>74</v>
      </c>
      <c r="AZ640" t="s">
        <v>74</v>
      </c>
      <c r="BA640" t="s">
        <v>74</v>
      </c>
      <c r="BB640" t="s">
        <v>74</v>
      </c>
      <c r="BC640" t="s">
        <v>74</v>
      </c>
      <c r="BD640">
        <v>112</v>
      </c>
      <c r="BE640" t="s">
        <v>12218</v>
      </c>
      <c r="BF640" t="str">
        <f>HYPERLINK("http://dx.doi.org/10.1038/s41598-017-00165-0","http://dx.doi.org/10.1038/s41598-017-00165-0")</f>
        <v>http://dx.doi.org/10.1038/s41598-017-00165-0</v>
      </c>
      <c r="BG640" t="s">
        <v>74</v>
      </c>
      <c r="BH640" t="s">
        <v>74</v>
      </c>
      <c r="BI640">
        <v>10</v>
      </c>
      <c r="BJ640" t="s">
        <v>1617</v>
      </c>
      <c r="BK640" t="s">
        <v>103</v>
      </c>
      <c r="BL640" t="s">
        <v>1618</v>
      </c>
      <c r="BM640" t="s">
        <v>12219</v>
      </c>
      <c r="BN640">
        <v>28273915</v>
      </c>
      <c r="BO640" t="s">
        <v>11220</v>
      </c>
      <c r="BP640" t="s">
        <v>74</v>
      </c>
      <c r="BQ640" t="s">
        <v>74</v>
      </c>
      <c r="BR640" t="s">
        <v>106</v>
      </c>
      <c r="BS640" t="s">
        <v>12220</v>
      </c>
      <c r="BT640" t="str">
        <f>HYPERLINK("https%3A%2F%2Fwww.webofscience.com%2Fwos%2Fwoscc%2Ffull-record%2FWOS:000405292700001","View Full Record in Web of Science")</f>
        <v>View Full Record in Web of Science</v>
      </c>
    </row>
    <row r="641" spans="1:72" x14ac:dyDescent="0.15">
      <c r="A641" t="s">
        <v>72</v>
      </c>
      <c r="B641" t="s">
        <v>12221</v>
      </c>
      <c r="C641" t="s">
        <v>74</v>
      </c>
      <c r="D641" t="s">
        <v>74</v>
      </c>
      <c r="E641" t="s">
        <v>74</v>
      </c>
      <c r="F641" t="s">
        <v>12222</v>
      </c>
      <c r="G641" t="s">
        <v>74</v>
      </c>
      <c r="H641" t="s">
        <v>74</v>
      </c>
      <c r="I641" t="s">
        <v>12223</v>
      </c>
      <c r="J641" t="s">
        <v>4430</v>
      </c>
      <c r="K641" t="s">
        <v>74</v>
      </c>
      <c r="L641" t="s">
        <v>74</v>
      </c>
      <c r="M641" t="s">
        <v>78</v>
      </c>
      <c r="N641" t="s">
        <v>79</v>
      </c>
      <c r="O641" t="s">
        <v>74</v>
      </c>
      <c r="P641" t="s">
        <v>74</v>
      </c>
      <c r="Q641" t="s">
        <v>74</v>
      </c>
      <c r="R641" t="s">
        <v>74</v>
      </c>
      <c r="S641" t="s">
        <v>74</v>
      </c>
      <c r="T641" t="s">
        <v>74</v>
      </c>
      <c r="U641" t="s">
        <v>12224</v>
      </c>
      <c r="V641" t="s">
        <v>12225</v>
      </c>
      <c r="W641" t="s">
        <v>12226</v>
      </c>
      <c r="X641" t="s">
        <v>12227</v>
      </c>
      <c r="Y641" t="s">
        <v>12228</v>
      </c>
      <c r="Z641" t="s">
        <v>12229</v>
      </c>
      <c r="AA641" t="s">
        <v>12230</v>
      </c>
      <c r="AB641" t="s">
        <v>12231</v>
      </c>
      <c r="AC641" t="s">
        <v>12232</v>
      </c>
      <c r="AD641" t="s">
        <v>12233</v>
      </c>
      <c r="AE641" t="s">
        <v>12234</v>
      </c>
      <c r="AF641" t="s">
        <v>74</v>
      </c>
      <c r="AG641">
        <v>61</v>
      </c>
      <c r="AH641">
        <v>13</v>
      </c>
      <c r="AI641">
        <v>13</v>
      </c>
      <c r="AJ641">
        <v>0</v>
      </c>
      <c r="AK641">
        <v>10</v>
      </c>
      <c r="AL641" t="s">
        <v>3534</v>
      </c>
      <c r="AM641" t="s">
        <v>3535</v>
      </c>
      <c r="AN641" t="s">
        <v>3536</v>
      </c>
      <c r="AO641" t="s">
        <v>4442</v>
      </c>
      <c r="AP641" t="s">
        <v>4443</v>
      </c>
      <c r="AQ641" t="s">
        <v>74</v>
      </c>
      <c r="AR641" t="s">
        <v>4444</v>
      </c>
      <c r="AS641" t="s">
        <v>4445</v>
      </c>
      <c r="AT641" t="s">
        <v>12217</v>
      </c>
      <c r="AU641">
        <v>2017</v>
      </c>
      <c r="AV641">
        <v>10</v>
      </c>
      <c r="AW641">
        <v>3</v>
      </c>
      <c r="AX641" t="s">
        <v>74</v>
      </c>
      <c r="AY641" t="s">
        <v>74</v>
      </c>
      <c r="AZ641" t="s">
        <v>74</v>
      </c>
      <c r="BA641" t="s">
        <v>74</v>
      </c>
      <c r="BB641">
        <v>825</v>
      </c>
      <c r="BC641">
        <v>837</v>
      </c>
      <c r="BD641" t="s">
        <v>74</v>
      </c>
      <c r="BE641" t="s">
        <v>12235</v>
      </c>
      <c r="BF641" t="str">
        <f>HYPERLINK("http://dx.doi.org/10.5194/amt-10-825-2017","http://dx.doi.org/10.5194/amt-10-825-2017")</f>
        <v>http://dx.doi.org/10.5194/amt-10-825-2017</v>
      </c>
      <c r="BG641" t="s">
        <v>74</v>
      </c>
      <c r="BH641" t="s">
        <v>74</v>
      </c>
      <c r="BI641">
        <v>13</v>
      </c>
      <c r="BJ641" t="s">
        <v>1261</v>
      </c>
      <c r="BK641" t="s">
        <v>103</v>
      </c>
      <c r="BL641" t="s">
        <v>1261</v>
      </c>
      <c r="BM641" t="s">
        <v>12236</v>
      </c>
      <c r="BN641" t="s">
        <v>74</v>
      </c>
      <c r="BO641" t="s">
        <v>3617</v>
      </c>
      <c r="BP641" t="s">
        <v>74</v>
      </c>
      <c r="BQ641" t="s">
        <v>74</v>
      </c>
      <c r="BR641" t="s">
        <v>106</v>
      </c>
      <c r="BS641" t="s">
        <v>12237</v>
      </c>
      <c r="BT641" t="str">
        <f>HYPERLINK("https%3A%2F%2Fwww.webofscience.com%2Fwos%2Fwoscc%2Ffull-record%2FWOS:000396203600003","View Full Record in Web of Science")</f>
        <v>View Full Record in Web of Science</v>
      </c>
    </row>
    <row r="642" spans="1:72" x14ac:dyDescent="0.15">
      <c r="A642" t="s">
        <v>72</v>
      </c>
      <c r="B642" t="s">
        <v>12238</v>
      </c>
      <c r="C642" t="s">
        <v>74</v>
      </c>
      <c r="D642" t="s">
        <v>74</v>
      </c>
      <c r="E642" t="s">
        <v>74</v>
      </c>
      <c r="F642" t="s">
        <v>12239</v>
      </c>
      <c r="G642" t="s">
        <v>74</v>
      </c>
      <c r="H642" t="s">
        <v>74</v>
      </c>
      <c r="I642" t="s">
        <v>12240</v>
      </c>
      <c r="J642" t="s">
        <v>7647</v>
      </c>
      <c r="K642" t="s">
        <v>74</v>
      </c>
      <c r="L642" t="s">
        <v>74</v>
      </c>
      <c r="M642" t="s">
        <v>78</v>
      </c>
      <c r="N642" t="s">
        <v>79</v>
      </c>
      <c r="O642" t="s">
        <v>74</v>
      </c>
      <c r="P642" t="s">
        <v>74</v>
      </c>
      <c r="Q642" t="s">
        <v>74</v>
      </c>
      <c r="R642" t="s">
        <v>74</v>
      </c>
      <c r="S642" t="s">
        <v>74</v>
      </c>
      <c r="T642" t="s">
        <v>12241</v>
      </c>
      <c r="U642" t="s">
        <v>12242</v>
      </c>
      <c r="V642" t="s">
        <v>12243</v>
      </c>
      <c r="W642" t="s">
        <v>12244</v>
      </c>
      <c r="X642" t="s">
        <v>12245</v>
      </c>
      <c r="Y642" t="s">
        <v>12246</v>
      </c>
      <c r="Z642" t="s">
        <v>12247</v>
      </c>
      <c r="AA642" t="s">
        <v>12248</v>
      </c>
      <c r="AB642" t="s">
        <v>12249</v>
      </c>
      <c r="AC642" t="s">
        <v>12250</v>
      </c>
      <c r="AD642" t="s">
        <v>12251</v>
      </c>
      <c r="AE642" t="s">
        <v>12252</v>
      </c>
      <c r="AF642" t="s">
        <v>74</v>
      </c>
      <c r="AG642">
        <v>60</v>
      </c>
      <c r="AH642">
        <v>2</v>
      </c>
      <c r="AI642">
        <v>2</v>
      </c>
      <c r="AJ642">
        <v>0</v>
      </c>
      <c r="AK642">
        <v>2</v>
      </c>
      <c r="AL642" t="s">
        <v>3534</v>
      </c>
      <c r="AM642" t="s">
        <v>3535</v>
      </c>
      <c r="AN642" t="s">
        <v>3536</v>
      </c>
      <c r="AO642" t="s">
        <v>7660</v>
      </c>
      <c r="AP642" t="s">
        <v>7661</v>
      </c>
      <c r="AQ642" t="s">
        <v>74</v>
      </c>
      <c r="AR642" t="s">
        <v>7662</v>
      </c>
      <c r="AS642" t="s">
        <v>7663</v>
      </c>
      <c r="AT642" t="s">
        <v>12217</v>
      </c>
      <c r="AU642">
        <v>2017</v>
      </c>
      <c r="AV642">
        <v>35</v>
      </c>
      <c r="AW642">
        <v>3</v>
      </c>
      <c r="AX642" t="s">
        <v>74</v>
      </c>
      <c r="AY642" t="s">
        <v>74</v>
      </c>
      <c r="AZ642" t="s">
        <v>74</v>
      </c>
      <c r="BA642" t="s">
        <v>74</v>
      </c>
      <c r="BB642">
        <v>365</v>
      </c>
      <c r="BC642">
        <v>376</v>
      </c>
      <c r="BD642" t="s">
        <v>74</v>
      </c>
      <c r="BE642" t="s">
        <v>12253</v>
      </c>
      <c r="BF642" t="str">
        <f>HYPERLINK("http://dx.doi.org/10.5194/angeo-35-365-2017","http://dx.doi.org/10.5194/angeo-35-365-2017")</f>
        <v>http://dx.doi.org/10.5194/angeo-35-365-2017</v>
      </c>
      <c r="BG642" t="s">
        <v>74</v>
      </c>
      <c r="BH642" t="s">
        <v>74</v>
      </c>
      <c r="BI642">
        <v>12</v>
      </c>
      <c r="BJ642" t="s">
        <v>7665</v>
      </c>
      <c r="BK642" t="s">
        <v>103</v>
      </c>
      <c r="BL642" t="s">
        <v>7666</v>
      </c>
      <c r="BM642" t="s">
        <v>12254</v>
      </c>
      <c r="BN642" t="s">
        <v>74</v>
      </c>
      <c r="BO642" t="s">
        <v>3844</v>
      </c>
      <c r="BP642" t="s">
        <v>74</v>
      </c>
      <c r="BQ642" t="s">
        <v>74</v>
      </c>
      <c r="BR642" t="s">
        <v>106</v>
      </c>
      <c r="BS642" t="s">
        <v>12255</v>
      </c>
      <c r="BT642" t="str">
        <f>HYPERLINK("https%3A%2F%2Fwww.webofscience.com%2Fwos%2Fwoscc%2Ffull-record%2FWOS:000396204100001","View Full Record in Web of Science")</f>
        <v>View Full Record in Web of Science</v>
      </c>
    </row>
    <row r="643" spans="1:72" x14ac:dyDescent="0.15">
      <c r="A643" t="s">
        <v>72</v>
      </c>
      <c r="B643" t="s">
        <v>12256</v>
      </c>
      <c r="C643" t="s">
        <v>74</v>
      </c>
      <c r="D643" t="s">
        <v>74</v>
      </c>
      <c r="E643" t="s">
        <v>74</v>
      </c>
      <c r="F643" t="s">
        <v>12257</v>
      </c>
      <c r="G643" t="s">
        <v>74</v>
      </c>
      <c r="H643" t="s">
        <v>74</v>
      </c>
      <c r="I643" t="s">
        <v>12258</v>
      </c>
      <c r="J643" t="s">
        <v>3661</v>
      </c>
      <c r="K643" t="s">
        <v>74</v>
      </c>
      <c r="L643" t="s">
        <v>74</v>
      </c>
      <c r="M643" t="s">
        <v>78</v>
      </c>
      <c r="N643" t="s">
        <v>79</v>
      </c>
      <c r="O643" t="s">
        <v>74</v>
      </c>
      <c r="P643" t="s">
        <v>74</v>
      </c>
      <c r="Q643" t="s">
        <v>74</v>
      </c>
      <c r="R643" t="s">
        <v>74</v>
      </c>
      <c r="S643" t="s">
        <v>74</v>
      </c>
      <c r="T643" t="s">
        <v>74</v>
      </c>
      <c r="U643" t="s">
        <v>12259</v>
      </c>
      <c r="V643" t="s">
        <v>12260</v>
      </c>
      <c r="W643" t="s">
        <v>12261</v>
      </c>
      <c r="X643" t="s">
        <v>12262</v>
      </c>
      <c r="Y643" t="s">
        <v>12263</v>
      </c>
      <c r="Z643" t="s">
        <v>12264</v>
      </c>
      <c r="AA643" t="s">
        <v>12265</v>
      </c>
      <c r="AB643" t="s">
        <v>12266</v>
      </c>
      <c r="AC643" t="s">
        <v>12267</v>
      </c>
      <c r="AD643" t="s">
        <v>12268</v>
      </c>
      <c r="AE643" t="s">
        <v>12269</v>
      </c>
      <c r="AF643" t="s">
        <v>74</v>
      </c>
      <c r="AG643">
        <v>33</v>
      </c>
      <c r="AH643">
        <v>11</v>
      </c>
      <c r="AI643">
        <v>11</v>
      </c>
      <c r="AJ643">
        <v>0</v>
      </c>
      <c r="AK643">
        <v>26</v>
      </c>
      <c r="AL643" t="s">
        <v>3671</v>
      </c>
      <c r="AM643" t="s">
        <v>3672</v>
      </c>
      <c r="AN643" t="s">
        <v>3673</v>
      </c>
      <c r="AO643" t="s">
        <v>3674</v>
      </c>
      <c r="AP643" t="s">
        <v>74</v>
      </c>
      <c r="AQ643" t="s">
        <v>74</v>
      </c>
      <c r="AR643" t="s">
        <v>3675</v>
      </c>
      <c r="AS643" t="s">
        <v>3676</v>
      </c>
      <c r="AT643" t="s">
        <v>12217</v>
      </c>
      <c r="AU643">
        <v>2017</v>
      </c>
      <c r="AV643">
        <v>7</v>
      </c>
      <c r="AW643" t="s">
        <v>74</v>
      </c>
      <c r="AX643" t="s">
        <v>74</v>
      </c>
      <c r="AY643" t="s">
        <v>74</v>
      </c>
      <c r="AZ643" t="s">
        <v>74</v>
      </c>
      <c r="BA643" t="s">
        <v>74</v>
      </c>
      <c r="BB643" t="s">
        <v>74</v>
      </c>
      <c r="BC643" t="s">
        <v>74</v>
      </c>
      <c r="BD643">
        <v>44054</v>
      </c>
      <c r="BE643" t="s">
        <v>12270</v>
      </c>
      <c r="BF643" t="str">
        <f>HYPERLINK("http://dx.doi.org/10.1038/srep44054","http://dx.doi.org/10.1038/srep44054")</f>
        <v>http://dx.doi.org/10.1038/srep44054</v>
      </c>
      <c r="BG643" t="s">
        <v>74</v>
      </c>
      <c r="BH643" t="s">
        <v>74</v>
      </c>
      <c r="BI643">
        <v>7</v>
      </c>
      <c r="BJ643" t="s">
        <v>1617</v>
      </c>
      <c r="BK643" t="s">
        <v>103</v>
      </c>
      <c r="BL643" t="s">
        <v>1618</v>
      </c>
      <c r="BM643" t="s">
        <v>12271</v>
      </c>
      <c r="BN643">
        <v>31004127</v>
      </c>
      <c r="BO643" t="s">
        <v>12272</v>
      </c>
      <c r="BP643" t="s">
        <v>74</v>
      </c>
      <c r="BQ643" t="s">
        <v>74</v>
      </c>
      <c r="BR643" t="s">
        <v>106</v>
      </c>
      <c r="BS643" t="s">
        <v>12273</v>
      </c>
      <c r="BT643" t="str">
        <f>HYPERLINK("https%3A%2F%2Fwww.webofscience.com%2Fwos%2Fwoscc%2Ffull-record%2FWOS:000395768200001","View Full Record in Web of Science")</f>
        <v>View Full Record in Web of Science</v>
      </c>
    </row>
    <row r="644" spans="1:72" x14ac:dyDescent="0.15">
      <c r="A644" t="s">
        <v>72</v>
      </c>
      <c r="B644" t="s">
        <v>12274</v>
      </c>
      <c r="C644" t="s">
        <v>74</v>
      </c>
      <c r="D644" t="s">
        <v>74</v>
      </c>
      <c r="E644" t="s">
        <v>74</v>
      </c>
      <c r="F644" t="s">
        <v>12275</v>
      </c>
      <c r="G644" t="s">
        <v>74</v>
      </c>
      <c r="H644" t="s">
        <v>74</v>
      </c>
      <c r="I644" t="s">
        <v>12276</v>
      </c>
      <c r="J644" t="s">
        <v>12277</v>
      </c>
      <c r="K644" t="s">
        <v>74</v>
      </c>
      <c r="L644" t="s">
        <v>74</v>
      </c>
      <c r="M644" t="s">
        <v>78</v>
      </c>
      <c r="N644" t="s">
        <v>518</v>
      </c>
      <c r="O644" t="s">
        <v>74</v>
      </c>
      <c r="P644" t="s">
        <v>74</v>
      </c>
      <c r="Q644" t="s">
        <v>74</v>
      </c>
      <c r="R644" t="s">
        <v>74</v>
      </c>
      <c r="S644" t="s">
        <v>74</v>
      </c>
      <c r="T644" t="s">
        <v>74</v>
      </c>
      <c r="U644" t="s">
        <v>12278</v>
      </c>
      <c r="V644" t="s">
        <v>12279</v>
      </c>
      <c r="W644" t="s">
        <v>12280</v>
      </c>
      <c r="X644" t="s">
        <v>12281</v>
      </c>
      <c r="Y644" t="s">
        <v>12282</v>
      </c>
      <c r="Z644" t="s">
        <v>12283</v>
      </c>
      <c r="AA644" t="s">
        <v>12284</v>
      </c>
      <c r="AB644" t="s">
        <v>12285</v>
      </c>
      <c r="AC644" t="s">
        <v>74</v>
      </c>
      <c r="AD644" t="s">
        <v>74</v>
      </c>
      <c r="AE644" t="s">
        <v>74</v>
      </c>
      <c r="AF644" t="s">
        <v>74</v>
      </c>
      <c r="AG644">
        <v>92</v>
      </c>
      <c r="AH644">
        <v>254</v>
      </c>
      <c r="AI644">
        <v>280</v>
      </c>
      <c r="AJ644">
        <v>17</v>
      </c>
      <c r="AK644">
        <v>353</v>
      </c>
      <c r="AL644" t="s">
        <v>6693</v>
      </c>
      <c r="AM644" t="s">
        <v>1984</v>
      </c>
      <c r="AN644" t="s">
        <v>6694</v>
      </c>
      <c r="AO644" t="s">
        <v>12286</v>
      </c>
      <c r="AP644" t="s">
        <v>12287</v>
      </c>
      <c r="AQ644" t="s">
        <v>74</v>
      </c>
      <c r="AR644" t="s">
        <v>12288</v>
      </c>
      <c r="AS644" t="s">
        <v>12289</v>
      </c>
      <c r="AT644" t="s">
        <v>12290</v>
      </c>
      <c r="AU644">
        <v>2017</v>
      </c>
      <c r="AV644">
        <v>9</v>
      </c>
      <c r="AW644">
        <v>9</v>
      </c>
      <c r="AX644" t="s">
        <v>74</v>
      </c>
      <c r="AY644" t="s">
        <v>74</v>
      </c>
      <c r="AZ644" t="s">
        <v>74</v>
      </c>
      <c r="BA644" t="s">
        <v>74</v>
      </c>
      <c r="BB644">
        <v>1369</v>
      </c>
      <c r="BC644">
        <v>1383</v>
      </c>
      <c r="BD644" t="s">
        <v>74</v>
      </c>
      <c r="BE644" t="s">
        <v>12291</v>
      </c>
      <c r="BF644" t="str">
        <f>HYPERLINK("http://dx.doi.org/10.1039/c6ay02707e","http://dx.doi.org/10.1039/c6ay02707e")</f>
        <v>http://dx.doi.org/10.1039/c6ay02707e</v>
      </c>
      <c r="BG644" t="s">
        <v>74</v>
      </c>
      <c r="BH644" t="s">
        <v>74</v>
      </c>
      <c r="BI644">
        <v>15</v>
      </c>
      <c r="BJ644" t="s">
        <v>12292</v>
      </c>
      <c r="BK644" t="s">
        <v>103</v>
      </c>
      <c r="BL644" t="s">
        <v>12293</v>
      </c>
      <c r="BM644" t="s">
        <v>12294</v>
      </c>
      <c r="BN644" t="s">
        <v>74</v>
      </c>
      <c r="BO644" t="s">
        <v>74</v>
      </c>
      <c r="BP644" t="s">
        <v>2243</v>
      </c>
      <c r="BQ644" t="s">
        <v>2244</v>
      </c>
      <c r="BR644" t="s">
        <v>106</v>
      </c>
      <c r="BS644" t="s">
        <v>12295</v>
      </c>
      <c r="BT644" t="str">
        <f>HYPERLINK("https%3A%2F%2Fwww.webofscience.com%2Fwos%2Fwoscc%2Ffull-record%2FWOS:000395999600007","View Full Record in Web of Science")</f>
        <v>View Full Record in Web of Science</v>
      </c>
    </row>
    <row r="645" spans="1:72" x14ac:dyDescent="0.15">
      <c r="A645" t="s">
        <v>72</v>
      </c>
      <c r="B645" t="s">
        <v>12296</v>
      </c>
      <c r="C645" t="s">
        <v>74</v>
      </c>
      <c r="D645" t="s">
        <v>74</v>
      </c>
      <c r="E645" t="s">
        <v>74</v>
      </c>
      <c r="F645" t="s">
        <v>12297</v>
      </c>
      <c r="G645" t="s">
        <v>74</v>
      </c>
      <c r="H645" t="s">
        <v>74</v>
      </c>
      <c r="I645" t="s">
        <v>12298</v>
      </c>
      <c r="J645" t="s">
        <v>12277</v>
      </c>
      <c r="K645" t="s">
        <v>74</v>
      </c>
      <c r="L645" t="s">
        <v>74</v>
      </c>
      <c r="M645" t="s">
        <v>78</v>
      </c>
      <c r="N645" t="s">
        <v>79</v>
      </c>
      <c r="O645" t="s">
        <v>74</v>
      </c>
      <c r="P645" t="s">
        <v>74</v>
      </c>
      <c r="Q645" t="s">
        <v>74</v>
      </c>
      <c r="R645" t="s">
        <v>74</v>
      </c>
      <c r="S645" t="s">
        <v>74</v>
      </c>
      <c r="T645" t="s">
        <v>74</v>
      </c>
      <c r="U645" t="s">
        <v>12299</v>
      </c>
      <c r="V645" t="s">
        <v>12300</v>
      </c>
      <c r="W645" t="s">
        <v>12301</v>
      </c>
      <c r="X645" t="s">
        <v>12302</v>
      </c>
      <c r="Y645" t="s">
        <v>12303</v>
      </c>
      <c r="Z645" t="s">
        <v>12304</v>
      </c>
      <c r="AA645" t="s">
        <v>12305</v>
      </c>
      <c r="AB645" t="s">
        <v>12306</v>
      </c>
      <c r="AC645" t="s">
        <v>12307</v>
      </c>
      <c r="AD645" t="s">
        <v>12308</v>
      </c>
      <c r="AE645" t="s">
        <v>12309</v>
      </c>
      <c r="AF645" t="s">
        <v>74</v>
      </c>
      <c r="AG645">
        <v>130</v>
      </c>
      <c r="AH645">
        <v>287</v>
      </c>
      <c r="AI645">
        <v>310</v>
      </c>
      <c r="AJ645">
        <v>9</v>
      </c>
      <c r="AK645">
        <v>145</v>
      </c>
      <c r="AL645" t="s">
        <v>6693</v>
      </c>
      <c r="AM645" t="s">
        <v>1984</v>
      </c>
      <c r="AN645" t="s">
        <v>6694</v>
      </c>
      <c r="AO645" t="s">
        <v>12286</v>
      </c>
      <c r="AP645" t="s">
        <v>12287</v>
      </c>
      <c r="AQ645" t="s">
        <v>74</v>
      </c>
      <c r="AR645" t="s">
        <v>12288</v>
      </c>
      <c r="AS645" t="s">
        <v>12289</v>
      </c>
      <c r="AT645" t="s">
        <v>12290</v>
      </c>
      <c r="AU645">
        <v>2017</v>
      </c>
      <c r="AV645">
        <v>9</v>
      </c>
      <c r="AW645">
        <v>9</v>
      </c>
      <c r="AX645" t="s">
        <v>74</v>
      </c>
      <c r="AY645" t="s">
        <v>74</v>
      </c>
      <c r="AZ645" t="s">
        <v>74</v>
      </c>
      <c r="BA645" t="s">
        <v>74</v>
      </c>
      <c r="BB645">
        <v>1454</v>
      </c>
      <c r="BC645">
        <v>1469</v>
      </c>
      <c r="BD645" t="s">
        <v>74</v>
      </c>
      <c r="BE645" t="s">
        <v>12310</v>
      </c>
      <c r="BF645" t="str">
        <f>HYPERLINK("http://dx.doi.org/10.1039/c6ay02419j","http://dx.doi.org/10.1039/c6ay02419j")</f>
        <v>http://dx.doi.org/10.1039/c6ay02419j</v>
      </c>
      <c r="BG645" t="s">
        <v>74</v>
      </c>
      <c r="BH645" t="s">
        <v>74</v>
      </c>
      <c r="BI645">
        <v>16</v>
      </c>
      <c r="BJ645" t="s">
        <v>12292</v>
      </c>
      <c r="BK645" t="s">
        <v>103</v>
      </c>
      <c r="BL645" t="s">
        <v>12293</v>
      </c>
      <c r="BM645" t="s">
        <v>12294</v>
      </c>
      <c r="BN645" t="s">
        <v>74</v>
      </c>
      <c r="BO645" t="s">
        <v>12311</v>
      </c>
      <c r="BP645" t="s">
        <v>2243</v>
      </c>
      <c r="BQ645" t="s">
        <v>2244</v>
      </c>
      <c r="BR645" t="s">
        <v>106</v>
      </c>
      <c r="BS645" t="s">
        <v>12312</v>
      </c>
      <c r="BT645" t="str">
        <f>HYPERLINK("https%3A%2F%2Fwww.webofscience.com%2Fwos%2Fwoscc%2Ffull-record%2FWOS:000395999600016","View Full Record in Web of Science")</f>
        <v>View Full Record in Web of Science</v>
      </c>
    </row>
    <row r="646" spans="1:72" x14ac:dyDescent="0.15">
      <c r="A646" t="s">
        <v>72</v>
      </c>
      <c r="B646" t="s">
        <v>12313</v>
      </c>
      <c r="C646" t="s">
        <v>74</v>
      </c>
      <c r="D646" t="s">
        <v>74</v>
      </c>
      <c r="E646" t="s">
        <v>74</v>
      </c>
      <c r="F646" t="s">
        <v>12314</v>
      </c>
      <c r="G646" t="s">
        <v>74</v>
      </c>
      <c r="H646" t="s">
        <v>74</v>
      </c>
      <c r="I646" t="s">
        <v>12315</v>
      </c>
      <c r="J646" t="s">
        <v>1599</v>
      </c>
      <c r="K646" t="s">
        <v>74</v>
      </c>
      <c r="L646" t="s">
        <v>74</v>
      </c>
      <c r="M646" t="s">
        <v>78</v>
      </c>
      <c r="N646" t="s">
        <v>79</v>
      </c>
      <c r="O646" t="s">
        <v>74</v>
      </c>
      <c r="P646" t="s">
        <v>74</v>
      </c>
      <c r="Q646" t="s">
        <v>74</v>
      </c>
      <c r="R646" t="s">
        <v>74</v>
      </c>
      <c r="S646" t="s">
        <v>74</v>
      </c>
      <c r="T646" t="s">
        <v>74</v>
      </c>
      <c r="U646" t="s">
        <v>12316</v>
      </c>
      <c r="V646" t="s">
        <v>12317</v>
      </c>
      <c r="W646" t="s">
        <v>12318</v>
      </c>
      <c r="X646" t="s">
        <v>12319</v>
      </c>
      <c r="Y646" t="s">
        <v>12320</v>
      </c>
      <c r="Z646" t="s">
        <v>12321</v>
      </c>
      <c r="AA646" t="s">
        <v>12322</v>
      </c>
      <c r="AB646" t="s">
        <v>12323</v>
      </c>
      <c r="AC646" t="s">
        <v>12324</v>
      </c>
      <c r="AD646" t="s">
        <v>12325</v>
      </c>
      <c r="AE646" t="s">
        <v>12326</v>
      </c>
      <c r="AF646" t="s">
        <v>74</v>
      </c>
      <c r="AG646">
        <v>37</v>
      </c>
      <c r="AH646">
        <v>57</v>
      </c>
      <c r="AI646">
        <v>59</v>
      </c>
      <c r="AJ646">
        <v>1</v>
      </c>
      <c r="AK646">
        <v>21</v>
      </c>
      <c r="AL646" t="s">
        <v>1611</v>
      </c>
      <c r="AM646" t="s">
        <v>403</v>
      </c>
      <c r="AN646" t="s">
        <v>1612</v>
      </c>
      <c r="AO646" t="s">
        <v>1613</v>
      </c>
      <c r="AP646" t="s">
        <v>74</v>
      </c>
      <c r="AQ646" t="s">
        <v>74</v>
      </c>
      <c r="AR646" t="s">
        <v>1614</v>
      </c>
      <c r="AS646" t="s">
        <v>1615</v>
      </c>
      <c r="AT646" t="s">
        <v>12327</v>
      </c>
      <c r="AU646">
        <v>2017</v>
      </c>
      <c r="AV646">
        <v>8</v>
      </c>
      <c r="AW646" t="s">
        <v>74</v>
      </c>
      <c r="AX646" t="s">
        <v>74</v>
      </c>
      <c r="AY646" t="s">
        <v>74</v>
      </c>
      <c r="AZ646" t="s">
        <v>74</v>
      </c>
      <c r="BA646" t="s">
        <v>74</v>
      </c>
      <c r="BB646" t="s">
        <v>74</v>
      </c>
      <c r="BC646" t="s">
        <v>74</v>
      </c>
      <c r="BD646">
        <v>14197</v>
      </c>
      <c r="BE646" t="s">
        <v>12328</v>
      </c>
      <c r="BF646" t="str">
        <f>HYPERLINK("http://dx.doi.org/10.1038/ncomms14197","http://dx.doi.org/10.1038/ncomms14197")</f>
        <v>http://dx.doi.org/10.1038/ncomms14197</v>
      </c>
      <c r="BG646" t="s">
        <v>74</v>
      </c>
      <c r="BH646" t="s">
        <v>74</v>
      </c>
      <c r="BI646">
        <v>12</v>
      </c>
      <c r="BJ646" t="s">
        <v>1617</v>
      </c>
      <c r="BK646" t="s">
        <v>103</v>
      </c>
      <c r="BL646" t="s">
        <v>1618</v>
      </c>
      <c r="BM646" t="s">
        <v>12329</v>
      </c>
      <c r="BN646">
        <v>28262808</v>
      </c>
      <c r="BO646" t="s">
        <v>11220</v>
      </c>
      <c r="BP646" t="s">
        <v>74</v>
      </c>
      <c r="BQ646" t="s">
        <v>74</v>
      </c>
      <c r="BR646" t="s">
        <v>106</v>
      </c>
      <c r="BS646" t="s">
        <v>12330</v>
      </c>
      <c r="BT646" t="str">
        <f>HYPERLINK("https%3A%2F%2Fwww.webofscience.com%2Fwos%2Fwoscc%2Ffull-record%2FWOS:000395500700001","View Full Record in Web of Science")</f>
        <v>View Full Record in Web of Science</v>
      </c>
    </row>
    <row r="647" spans="1:72" x14ac:dyDescent="0.15">
      <c r="A647" t="s">
        <v>72</v>
      </c>
      <c r="B647" t="s">
        <v>12331</v>
      </c>
      <c r="C647" t="s">
        <v>74</v>
      </c>
      <c r="D647" t="s">
        <v>74</v>
      </c>
      <c r="E647" t="s">
        <v>74</v>
      </c>
      <c r="F647" t="s">
        <v>12332</v>
      </c>
      <c r="G647" t="s">
        <v>74</v>
      </c>
      <c r="H647" t="s">
        <v>74</v>
      </c>
      <c r="I647" t="s">
        <v>12333</v>
      </c>
      <c r="J647" t="s">
        <v>4147</v>
      </c>
      <c r="K647" t="s">
        <v>74</v>
      </c>
      <c r="L647" t="s">
        <v>74</v>
      </c>
      <c r="M647" t="s">
        <v>78</v>
      </c>
      <c r="N647" t="s">
        <v>79</v>
      </c>
      <c r="O647" t="s">
        <v>74</v>
      </c>
      <c r="P647" t="s">
        <v>74</v>
      </c>
      <c r="Q647" t="s">
        <v>74</v>
      </c>
      <c r="R647" t="s">
        <v>74</v>
      </c>
      <c r="S647" t="s">
        <v>74</v>
      </c>
      <c r="T647" t="s">
        <v>12334</v>
      </c>
      <c r="U647" t="s">
        <v>12335</v>
      </c>
      <c r="V647" t="s">
        <v>12336</v>
      </c>
      <c r="W647" t="s">
        <v>12337</v>
      </c>
      <c r="X647" t="s">
        <v>12338</v>
      </c>
      <c r="Y647" t="s">
        <v>12339</v>
      </c>
      <c r="Z647" t="s">
        <v>12340</v>
      </c>
      <c r="AA647" t="s">
        <v>12341</v>
      </c>
      <c r="AB647" t="s">
        <v>12342</v>
      </c>
      <c r="AC647" t="s">
        <v>12343</v>
      </c>
      <c r="AD647" t="s">
        <v>12344</v>
      </c>
      <c r="AE647" t="s">
        <v>12345</v>
      </c>
      <c r="AF647" t="s">
        <v>74</v>
      </c>
      <c r="AG647">
        <v>66</v>
      </c>
      <c r="AH647">
        <v>13</v>
      </c>
      <c r="AI647">
        <v>13</v>
      </c>
      <c r="AJ647">
        <v>0</v>
      </c>
      <c r="AK647">
        <v>29</v>
      </c>
      <c r="AL647" t="s">
        <v>2779</v>
      </c>
      <c r="AM647" t="s">
        <v>403</v>
      </c>
      <c r="AN647" t="s">
        <v>2780</v>
      </c>
      <c r="AO647" t="s">
        <v>4160</v>
      </c>
      <c r="AP647" t="s">
        <v>4161</v>
      </c>
      <c r="AQ647" t="s">
        <v>74</v>
      </c>
      <c r="AR647" t="s">
        <v>4162</v>
      </c>
      <c r="AS647" t="s">
        <v>4163</v>
      </c>
      <c r="AT647" t="s">
        <v>12346</v>
      </c>
      <c r="AU647">
        <v>2017</v>
      </c>
      <c r="AV647">
        <v>187</v>
      </c>
      <c r="AW647" t="s">
        <v>74</v>
      </c>
      <c r="AX647" t="s">
        <v>74</v>
      </c>
      <c r="AY647" t="s">
        <v>74</v>
      </c>
      <c r="AZ647" t="s">
        <v>74</v>
      </c>
      <c r="BA647" t="s">
        <v>74</v>
      </c>
      <c r="BB647">
        <v>193</v>
      </c>
      <c r="BC647">
        <v>203</v>
      </c>
      <c r="BD647" t="s">
        <v>74</v>
      </c>
      <c r="BE647" t="s">
        <v>12347</v>
      </c>
      <c r="BF647" t="str">
        <f>HYPERLINK("http://dx.doi.org/10.1016/j.ecss.2016.12.023","http://dx.doi.org/10.1016/j.ecss.2016.12.023")</f>
        <v>http://dx.doi.org/10.1016/j.ecss.2016.12.023</v>
      </c>
      <c r="BG647" t="s">
        <v>74</v>
      </c>
      <c r="BH647" t="s">
        <v>74</v>
      </c>
      <c r="BI647">
        <v>11</v>
      </c>
      <c r="BJ647" t="s">
        <v>4165</v>
      </c>
      <c r="BK647" t="s">
        <v>103</v>
      </c>
      <c r="BL647" t="s">
        <v>4165</v>
      </c>
      <c r="BM647" t="s">
        <v>12348</v>
      </c>
      <c r="BN647" t="s">
        <v>74</v>
      </c>
      <c r="BO647" t="s">
        <v>74</v>
      </c>
      <c r="BP647" t="s">
        <v>74</v>
      </c>
      <c r="BQ647" t="s">
        <v>74</v>
      </c>
      <c r="BR647" t="s">
        <v>106</v>
      </c>
      <c r="BS647" t="s">
        <v>12349</v>
      </c>
      <c r="BT647" t="str">
        <f>HYPERLINK("https%3A%2F%2Fwww.webofscience.com%2Fwos%2Fwoscc%2Ffull-record%2FWOS:000399624100020","View Full Record in Web of Science")</f>
        <v>View Full Record in Web of Science</v>
      </c>
    </row>
    <row r="648" spans="1:72" x14ac:dyDescent="0.15">
      <c r="A648" t="s">
        <v>72</v>
      </c>
      <c r="B648" t="s">
        <v>12350</v>
      </c>
      <c r="C648" t="s">
        <v>74</v>
      </c>
      <c r="D648" t="s">
        <v>74</v>
      </c>
      <c r="E648" t="s">
        <v>74</v>
      </c>
      <c r="F648" t="s">
        <v>12351</v>
      </c>
      <c r="G648" t="s">
        <v>74</v>
      </c>
      <c r="H648" t="s">
        <v>74</v>
      </c>
      <c r="I648" t="s">
        <v>12352</v>
      </c>
      <c r="J648" t="s">
        <v>3522</v>
      </c>
      <c r="K648" t="s">
        <v>74</v>
      </c>
      <c r="L648" t="s">
        <v>74</v>
      </c>
      <c r="M648" t="s">
        <v>78</v>
      </c>
      <c r="N648" t="s">
        <v>79</v>
      </c>
      <c r="O648" t="s">
        <v>74</v>
      </c>
      <c r="P648" t="s">
        <v>74</v>
      </c>
      <c r="Q648" t="s">
        <v>74</v>
      </c>
      <c r="R648" t="s">
        <v>74</v>
      </c>
      <c r="S648" t="s">
        <v>74</v>
      </c>
      <c r="T648" t="s">
        <v>74</v>
      </c>
      <c r="U648" t="s">
        <v>12353</v>
      </c>
      <c r="V648" t="s">
        <v>12354</v>
      </c>
      <c r="W648" t="s">
        <v>12355</v>
      </c>
      <c r="X648" t="s">
        <v>12356</v>
      </c>
      <c r="Y648" t="s">
        <v>12357</v>
      </c>
      <c r="Z648" t="s">
        <v>12358</v>
      </c>
      <c r="AA648" t="s">
        <v>12359</v>
      </c>
      <c r="AB648" t="s">
        <v>12360</v>
      </c>
      <c r="AC648" t="s">
        <v>12361</v>
      </c>
      <c r="AD648" t="s">
        <v>12362</v>
      </c>
      <c r="AE648" t="s">
        <v>12363</v>
      </c>
      <c r="AF648" t="s">
        <v>74</v>
      </c>
      <c r="AG648">
        <v>69</v>
      </c>
      <c r="AH648">
        <v>26</v>
      </c>
      <c r="AI648">
        <v>27</v>
      </c>
      <c r="AJ648">
        <v>1</v>
      </c>
      <c r="AK648">
        <v>9</v>
      </c>
      <c r="AL648" t="s">
        <v>3534</v>
      </c>
      <c r="AM648" t="s">
        <v>3535</v>
      </c>
      <c r="AN648" t="s">
        <v>3536</v>
      </c>
      <c r="AO648" t="s">
        <v>3537</v>
      </c>
      <c r="AP648" t="s">
        <v>3538</v>
      </c>
      <c r="AQ648" t="s">
        <v>74</v>
      </c>
      <c r="AR648" t="s">
        <v>3539</v>
      </c>
      <c r="AS648" t="s">
        <v>3540</v>
      </c>
      <c r="AT648" t="s">
        <v>12364</v>
      </c>
      <c r="AU648">
        <v>2017</v>
      </c>
      <c r="AV648">
        <v>10</v>
      </c>
      <c r="AW648">
        <v>2</v>
      </c>
      <c r="AX648" t="s">
        <v>74</v>
      </c>
      <c r="AY648" t="s">
        <v>74</v>
      </c>
      <c r="AZ648" t="s">
        <v>74</v>
      </c>
      <c r="BA648" t="s">
        <v>74</v>
      </c>
      <c r="BB648">
        <v>1009</v>
      </c>
      <c r="BC648">
        <v>1031</v>
      </c>
      <c r="BD648" t="s">
        <v>74</v>
      </c>
      <c r="BE648" t="s">
        <v>12365</v>
      </c>
      <c r="BF648" t="str">
        <f>HYPERLINK("http://dx.doi.org/10.5194/gmd-10-1009-2017","http://dx.doi.org/10.5194/gmd-10-1009-2017")</f>
        <v>http://dx.doi.org/10.5194/gmd-10-1009-2017</v>
      </c>
      <c r="BG648" t="s">
        <v>74</v>
      </c>
      <c r="BH648" t="s">
        <v>74</v>
      </c>
      <c r="BI648">
        <v>23</v>
      </c>
      <c r="BJ648" t="s">
        <v>437</v>
      </c>
      <c r="BK648" t="s">
        <v>103</v>
      </c>
      <c r="BL648" t="s">
        <v>438</v>
      </c>
      <c r="BM648" t="s">
        <v>12366</v>
      </c>
      <c r="BN648" t="s">
        <v>74</v>
      </c>
      <c r="BO648" t="s">
        <v>205</v>
      </c>
      <c r="BP648" t="s">
        <v>74</v>
      </c>
      <c r="BQ648" t="s">
        <v>74</v>
      </c>
      <c r="BR648" t="s">
        <v>106</v>
      </c>
      <c r="BS648" t="s">
        <v>12367</v>
      </c>
      <c r="BT648" t="str">
        <f>HYPERLINK("https%3A%2F%2Fwww.webofscience.com%2Fwos%2Fwoscc%2Ffull-record%2FWOS:000395391700001","View Full Record in Web of Science")</f>
        <v>View Full Record in Web of Science</v>
      </c>
    </row>
    <row r="649" spans="1:72" x14ac:dyDescent="0.15">
      <c r="A649" t="s">
        <v>72</v>
      </c>
      <c r="B649" t="s">
        <v>12368</v>
      </c>
      <c r="C649" t="s">
        <v>74</v>
      </c>
      <c r="D649" t="s">
        <v>74</v>
      </c>
      <c r="E649" t="s">
        <v>74</v>
      </c>
      <c r="F649" t="s">
        <v>12369</v>
      </c>
      <c r="G649" t="s">
        <v>74</v>
      </c>
      <c r="H649" t="s">
        <v>74</v>
      </c>
      <c r="I649" t="s">
        <v>12370</v>
      </c>
      <c r="J649" t="s">
        <v>1599</v>
      </c>
      <c r="K649" t="s">
        <v>74</v>
      </c>
      <c r="L649" t="s">
        <v>74</v>
      </c>
      <c r="M649" t="s">
        <v>78</v>
      </c>
      <c r="N649" t="s">
        <v>79</v>
      </c>
      <c r="O649" t="s">
        <v>74</v>
      </c>
      <c r="P649" t="s">
        <v>74</v>
      </c>
      <c r="Q649" t="s">
        <v>74</v>
      </c>
      <c r="R649" t="s">
        <v>74</v>
      </c>
      <c r="S649" t="s">
        <v>74</v>
      </c>
      <c r="T649" t="s">
        <v>74</v>
      </c>
      <c r="U649" t="s">
        <v>12371</v>
      </c>
      <c r="V649" t="s">
        <v>12372</v>
      </c>
      <c r="W649" t="s">
        <v>12373</v>
      </c>
      <c r="X649" t="s">
        <v>12374</v>
      </c>
      <c r="Y649" t="s">
        <v>12375</v>
      </c>
      <c r="Z649" t="s">
        <v>12376</v>
      </c>
      <c r="AA649" t="s">
        <v>74</v>
      </c>
      <c r="AB649" t="s">
        <v>12377</v>
      </c>
      <c r="AC649" t="s">
        <v>12378</v>
      </c>
      <c r="AD649" t="s">
        <v>12379</v>
      </c>
      <c r="AE649" t="s">
        <v>12380</v>
      </c>
      <c r="AF649" t="s">
        <v>74</v>
      </c>
      <c r="AG649">
        <v>60</v>
      </c>
      <c r="AH649">
        <v>26</v>
      </c>
      <c r="AI649">
        <v>28</v>
      </c>
      <c r="AJ649">
        <v>1</v>
      </c>
      <c r="AK649">
        <v>22</v>
      </c>
      <c r="AL649" t="s">
        <v>1611</v>
      </c>
      <c r="AM649" t="s">
        <v>403</v>
      </c>
      <c r="AN649" t="s">
        <v>1612</v>
      </c>
      <c r="AO649" t="s">
        <v>1613</v>
      </c>
      <c r="AP649" t="s">
        <v>74</v>
      </c>
      <c r="AQ649" t="s">
        <v>74</v>
      </c>
      <c r="AR649" t="s">
        <v>1614</v>
      </c>
      <c r="AS649" t="s">
        <v>1615</v>
      </c>
      <c r="AT649" t="s">
        <v>12381</v>
      </c>
      <c r="AU649">
        <v>2017</v>
      </c>
      <c r="AV649">
        <v>8</v>
      </c>
      <c r="AW649" t="s">
        <v>74</v>
      </c>
      <c r="AX649" t="s">
        <v>74</v>
      </c>
      <c r="AY649" t="s">
        <v>74</v>
      </c>
      <c r="AZ649" t="s">
        <v>74</v>
      </c>
      <c r="BA649" t="s">
        <v>74</v>
      </c>
      <c r="BB649" t="s">
        <v>74</v>
      </c>
      <c r="BC649" t="s">
        <v>74</v>
      </c>
      <c r="BD649">
        <v>14376</v>
      </c>
      <c r="BE649" t="s">
        <v>12382</v>
      </c>
      <c r="BF649" t="str">
        <f>HYPERLINK("http://dx.doi.org/10.1038/ncomms14376","http://dx.doi.org/10.1038/ncomms14376")</f>
        <v>http://dx.doi.org/10.1038/ncomms14376</v>
      </c>
      <c r="BG649" t="s">
        <v>74</v>
      </c>
      <c r="BH649" t="s">
        <v>74</v>
      </c>
      <c r="BI649">
        <v>8</v>
      </c>
      <c r="BJ649" t="s">
        <v>1617</v>
      </c>
      <c r="BK649" t="s">
        <v>103</v>
      </c>
      <c r="BL649" t="s">
        <v>1618</v>
      </c>
      <c r="BM649" t="s">
        <v>12383</v>
      </c>
      <c r="BN649">
        <v>28252023</v>
      </c>
      <c r="BO649" t="s">
        <v>4360</v>
      </c>
      <c r="BP649" t="s">
        <v>74</v>
      </c>
      <c r="BQ649" t="s">
        <v>74</v>
      </c>
      <c r="BR649" t="s">
        <v>106</v>
      </c>
      <c r="BS649" t="s">
        <v>12384</v>
      </c>
      <c r="BT649" t="str">
        <f>HYPERLINK("https%3A%2F%2Fwww.webofscience.com%2Fwos%2Fwoscc%2Ffull-record%2FWOS:000395103500001","View Full Record in Web of Science")</f>
        <v>View Full Record in Web of Science</v>
      </c>
    </row>
    <row r="650" spans="1:72" x14ac:dyDescent="0.15">
      <c r="A650" t="s">
        <v>72</v>
      </c>
      <c r="B650" t="s">
        <v>12385</v>
      </c>
      <c r="C650" t="s">
        <v>74</v>
      </c>
      <c r="D650" t="s">
        <v>74</v>
      </c>
      <c r="E650" t="s">
        <v>74</v>
      </c>
      <c r="F650" t="s">
        <v>12386</v>
      </c>
      <c r="G650" t="s">
        <v>74</v>
      </c>
      <c r="H650" t="s">
        <v>74</v>
      </c>
      <c r="I650" t="s">
        <v>12387</v>
      </c>
      <c r="J650" t="s">
        <v>4064</v>
      </c>
      <c r="K650" t="s">
        <v>74</v>
      </c>
      <c r="L650" t="s">
        <v>74</v>
      </c>
      <c r="M650" t="s">
        <v>78</v>
      </c>
      <c r="N650" t="s">
        <v>79</v>
      </c>
      <c r="O650" t="s">
        <v>74</v>
      </c>
      <c r="P650" t="s">
        <v>74</v>
      </c>
      <c r="Q650" t="s">
        <v>74</v>
      </c>
      <c r="R650" t="s">
        <v>74</v>
      </c>
      <c r="S650" t="s">
        <v>74</v>
      </c>
      <c r="T650" t="s">
        <v>12388</v>
      </c>
      <c r="U650" t="s">
        <v>12389</v>
      </c>
      <c r="V650" t="s">
        <v>12390</v>
      </c>
      <c r="W650" t="s">
        <v>12391</v>
      </c>
      <c r="X650" t="s">
        <v>12392</v>
      </c>
      <c r="Y650" t="s">
        <v>12393</v>
      </c>
      <c r="Z650" t="s">
        <v>12394</v>
      </c>
      <c r="AA650" t="s">
        <v>12395</v>
      </c>
      <c r="AB650" t="s">
        <v>12396</v>
      </c>
      <c r="AC650" t="s">
        <v>12397</v>
      </c>
      <c r="AD650" t="s">
        <v>12398</v>
      </c>
      <c r="AE650" t="s">
        <v>12399</v>
      </c>
      <c r="AF650" t="s">
        <v>74</v>
      </c>
      <c r="AG650">
        <v>54</v>
      </c>
      <c r="AH650">
        <v>26</v>
      </c>
      <c r="AI650">
        <v>26</v>
      </c>
      <c r="AJ650">
        <v>2</v>
      </c>
      <c r="AK650">
        <v>17</v>
      </c>
      <c r="AL650" t="s">
        <v>3510</v>
      </c>
      <c r="AM650" t="s">
        <v>3511</v>
      </c>
      <c r="AN650" t="s">
        <v>3512</v>
      </c>
      <c r="AO650" t="s">
        <v>4077</v>
      </c>
      <c r="AP650" t="s">
        <v>74</v>
      </c>
      <c r="AQ650" t="s">
        <v>74</v>
      </c>
      <c r="AR650" t="s">
        <v>4078</v>
      </c>
      <c r="AS650" t="s">
        <v>4079</v>
      </c>
      <c r="AT650" t="s">
        <v>12381</v>
      </c>
      <c r="AU650">
        <v>2017</v>
      </c>
      <c r="AV650">
        <v>8</v>
      </c>
      <c r="AW650" t="s">
        <v>74</v>
      </c>
      <c r="AX650" t="s">
        <v>74</v>
      </c>
      <c r="AY650" t="s">
        <v>74</v>
      </c>
      <c r="AZ650" t="s">
        <v>74</v>
      </c>
      <c r="BA650" t="s">
        <v>74</v>
      </c>
      <c r="BB650" t="s">
        <v>74</v>
      </c>
      <c r="BC650" t="s">
        <v>74</v>
      </c>
      <c r="BD650">
        <v>241</v>
      </c>
      <c r="BE650" t="s">
        <v>12400</v>
      </c>
      <c r="BF650" t="str">
        <f>HYPERLINK("http://dx.doi.org/10.3389/fmicb.2017.00241","http://dx.doi.org/10.3389/fmicb.2017.00241")</f>
        <v>http://dx.doi.org/10.3389/fmicb.2017.00241</v>
      </c>
      <c r="BG650" t="s">
        <v>74</v>
      </c>
      <c r="BH650" t="s">
        <v>74</v>
      </c>
      <c r="BI650">
        <v>12</v>
      </c>
      <c r="BJ650" t="s">
        <v>410</v>
      </c>
      <c r="BK650" t="s">
        <v>103</v>
      </c>
      <c r="BL650" t="s">
        <v>410</v>
      </c>
      <c r="BM650" t="s">
        <v>12401</v>
      </c>
      <c r="BN650">
        <v>28303119</v>
      </c>
      <c r="BO650" t="s">
        <v>2009</v>
      </c>
      <c r="BP650" t="s">
        <v>74</v>
      </c>
      <c r="BQ650" t="s">
        <v>74</v>
      </c>
      <c r="BR650" t="s">
        <v>106</v>
      </c>
      <c r="BS650" t="s">
        <v>12402</v>
      </c>
      <c r="BT650" t="str">
        <f>HYPERLINK("https%3A%2F%2Fwww.webofscience.com%2Fwos%2Fwoscc%2Ffull-record%2FWOS:000394978100001","View Full Record in Web of Science")</f>
        <v>View Full Record in Web of Science</v>
      </c>
    </row>
    <row r="651" spans="1:72" x14ac:dyDescent="0.15">
      <c r="A651" t="s">
        <v>72</v>
      </c>
      <c r="B651" t="s">
        <v>12403</v>
      </c>
      <c r="C651" t="s">
        <v>74</v>
      </c>
      <c r="D651" t="s">
        <v>74</v>
      </c>
      <c r="E651" t="s">
        <v>74</v>
      </c>
      <c r="F651" t="s">
        <v>12404</v>
      </c>
      <c r="G651" t="s">
        <v>74</v>
      </c>
      <c r="H651" t="s">
        <v>74</v>
      </c>
      <c r="I651" t="s">
        <v>12405</v>
      </c>
      <c r="J651" t="s">
        <v>4328</v>
      </c>
      <c r="K651" t="s">
        <v>74</v>
      </c>
      <c r="L651" t="s">
        <v>74</v>
      </c>
      <c r="M651" t="s">
        <v>78</v>
      </c>
      <c r="N651" t="s">
        <v>518</v>
      </c>
      <c r="O651" t="s">
        <v>74</v>
      </c>
      <c r="P651" t="s">
        <v>74</v>
      </c>
      <c r="Q651" t="s">
        <v>74</v>
      </c>
      <c r="R651" t="s">
        <v>74</v>
      </c>
      <c r="S651" t="s">
        <v>74</v>
      </c>
      <c r="T651" t="s">
        <v>74</v>
      </c>
      <c r="U651" t="s">
        <v>12406</v>
      </c>
      <c r="V651" t="s">
        <v>12407</v>
      </c>
      <c r="W651" t="s">
        <v>12408</v>
      </c>
      <c r="X651" t="s">
        <v>12409</v>
      </c>
      <c r="Y651" t="s">
        <v>12410</v>
      </c>
      <c r="Z651" t="s">
        <v>12411</v>
      </c>
      <c r="AA651" t="s">
        <v>12412</v>
      </c>
      <c r="AB651" t="s">
        <v>12413</v>
      </c>
      <c r="AC651" t="s">
        <v>12414</v>
      </c>
      <c r="AD651" t="s">
        <v>12415</v>
      </c>
      <c r="AE651" t="s">
        <v>12416</v>
      </c>
      <c r="AF651" t="s">
        <v>74</v>
      </c>
      <c r="AG651">
        <v>121</v>
      </c>
      <c r="AH651">
        <v>418</v>
      </c>
      <c r="AI651">
        <v>465</v>
      </c>
      <c r="AJ651">
        <v>85</v>
      </c>
      <c r="AK651">
        <v>816</v>
      </c>
      <c r="AL651" t="s">
        <v>1611</v>
      </c>
      <c r="AM651" t="s">
        <v>403</v>
      </c>
      <c r="AN651" t="s">
        <v>1612</v>
      </c>
      <c r="AO651" t="s">
        <v>4337</v>
      </c>
      <c r="AP651" t="s">
        <v>4338</v>
      </c>
      <c r="AQ651" t="s">
        <v>74</v>
      </c>
      <c r="AR651" t="s">
        <v>4328</v>
      </c>
      <c r="AS651" t="s">
        <v>4339</v>
      </c>
      <c r="AT651" t="s">
        <v>12381</v>
      </c>
      <c r="AU651">
        <v>2017</v>
      </c>
      <c r="AV651">
        <v>543</v>
      </c>
      <c r="AW651">
        <v>7643</v>
      </c>
      <c r="AX651" t="s">
        <v>74</v>
      </c>
      <c r="AY651" t="s">
        <v>74</v>
      </c>
      <c r="AZ651" t="s">
        <v>74</v>
      </c>
      <c r="BA651" t="s">
        <v>74</v>
      </c>
      <c r="BB651">
        <v>51</v>
      </c>
      <c r="BC651">
        <v>59</v>
      </c>
      <c r="BD651" t="s">
        <v>74</v>
      </c>
      <c r="BE651" t="s">
        <v>12417</v>
      </c>
      <c r="BF651" t="str">
        <f>HYPERLINK("http://dx.doi.org/10.1038/nature21058","http://dx.doi.org/10.1038/nature21058")</f>
        <v>http://dx.doi.org/10.1038/nature21058</v>
      </c>
      <c r="BG651" t="s">
        <v>74</v>
      </c>
      <c r="BH651" t="s">
        <v>74</v>
      </c>
      <c r="BI651">
        <v>9</v>
      </c>
      <c r="BJ651" t="s">
        <v>1617</v>
      </c>
      <c r="BK651" t="s">
        <v>103</v>
      </c>
      <c r="BL651" t="s">
        <v>1618</v>
      </c>
      <c r="BM651" t="s">
        <v>12418</v>
      </c>
      <c r="BN651">
        <v>28252066</v>
      </c>
      <c r="BO651" t="s">
        <v>664</v>
      </c>
      <c r="BP651" t="s">
        <v>2243</v>
      </c>
      <c r="BQ651" t="s">
        <v>2244</v>
      </c>
      <c r="BR651" t="s">
        <v>106</v>
      </c>
      <c r="BS651" t="s">
        <v>12419</v>
      </c>
      <c r="BT651" t="str">
        <f>HYPERLINK("https%3A%2F%2Fwww.webofscience.com%2Fwos%2Fwoscc%2Ffull-record%2FWOS:000395671500031","View Full Record in Web of Science")</f>
        <v>View Full Record in Web of Science</v>
      </c>
    </row>
    <row r="652" spans="1:72" x14ac:dyDescent="0.15">
      <c r="A652" t="s">
        <v>72</v>
      </c>
      <c r="B652" t="s">
        <v>12420</v>
      </c>
      <c r="C652" t="s">
        <v>74</v>
      </c>
      <c r="D652" t="s">
        <v>74</v>
      </c>
      <c r="E652" t="s">
        <v>74</v>
      </c>
      <c r="F652" t="s">
        <v>12421</v>
      </c>
      <c r="G652" t="s">
        <v>74</v>
      </c>
      <c r="H652" t="s">
        <v>74</v>
      </c>
      <c r="I652" t="s">
        <v>12422</v>
      </c>
      <c r="J652" t="s">
        <v>12423</v>
      </c>
      <c r="K652" t="s">
        <v>74</v>
      </c>
      <c r="L652" t="s">
        <v>74</v>
      </c>
      <c r="M652" t="s">
        <v>78</v>
      </c>
      <c r="N652" t="s">
        <v>79</v>
      </c>
      <c r="O652" t="s">
        <v>74</v>
      </c>
      <c r="P652" t="s">
        <v>74</v>
      </c>
      <c r="Q652" t="s">
        <v>74</v>
      </c>
      <c r="R652" t="s">
        <v>74</v>
      </c>
      <c r="S652" t="s">
        <v>74</v>
      </c>
      <c r="T652" t="s">
        <v>12424</v>
      </c>
      <c r="U652" t="s">
        <v>12425</v>
      </c>
      <c r="V652" t="s">
        <v>12426</v>
      </c>
      <c r="W652" t="s">
        <v>12427</v>
      </c>
      <c r="X652" t="s">
        <v>12428</v>
      </c>
      <c r="Y652" t="s">
        <v>12429</v>
      </c>
      <c r="Z652" t="s">
        <v>12430</v>
      </c>
      <c r="AA652" t="s">
        <v>74</v>
      </c>
      <c r="AB652" t="s">
        <v>12431</v>
      </c>
      <c r="AC652" t="s">
        <v>12432</v>
      </c>
      <c r="AD652" t="s">
        <v>12433</v>
      </c>
      <c r="AE652" t="s">
        <v>12434</v>
      </c>
      <c r="AF652" t="s">
        <v>74</v>
      </c>
      <c r="AG652">
        <v>114</v>
      </c>
      <c r="AH652">
        <v>17</v>
      </c>
      <c r="AI652">
        <v>20</v>
      </c>
      <c r="AJ652">
        <v>1</v>
      </c>
      <c r="AK652">
        <v>13</v>
      </c>
      <c r="AL652" t="s">
        <v>6493</v>
      </c>
      <c r="AM652" t="s">
        <v>6494</v>
      </c>
      <c r="AN652" t="s">
        <v>6495</v>
      </c>
      <c r="AO652" t="s">
        <v>12435</v>
      </c>
      <c r="AP652" t="s">
        <v>12436</v>
      </c>
      <c r="AQ652" t="s">
        <v>74</v>
      </c>
      <c r="AR652" t="s">
        <v>12437</v>
      </c>
      <c r="AS652" t="s">
        <v>12438</v>
      </c>
      <c r="AT652" t="s">
        <v>12439</v>
      </c>
      <c r="AU652">
        <v>2017</v>
      </c>
      <c r="AV652">
        <v>153</v>
      </c>
      <c r="AW652">
        <v>3</v>
      </c>
      <c r="AX652" t="s">
        <v>74</v>
      </c>
      <c r="AY652" t="s">
        <v>74</v>
      </c>
      <c r="AZ652" t="s">
        <v>74</v>
      </c>
      <c r="BA652" t="s">
        <v>74</v>
      </c>
      <c r="BB652" t="s">
        <v>74</v>
      </c>
      <c r="BC652" t="s">
        <v>74</v>
      </c>
      <c r="BD652">
        <v>104</v>
      </c>
      <c r="BE652" t="s">
        <v>12440</v>
      </c>
      <c r="BF652" t="str">
        <f>HYPERLINK("http://dx.doi.org/10.3847/1538-3881/153/3/104","http://dx.doi.org/10.3847/1538-3881/153/3/104")</f>
        <v>http://dx.doi.org/10.3847/1538-3881/153/3/104</v>
      </c>
      <c r="BG652" t="s">
        <v>74</v>
      </c>
      <c r="BH652" t="s">
        <v>74</v>
      </c>
      <c r="BI652">
        <v>24</v>
      </c>
      <c r="BJ652" t="s">
        <v>494</v>
      </c>
      <c r="BK652" t="s">
        <v>103</v>
      </c>
      <c r="BL652" t="s">
        <v>494</v>
      </c>
      <c r="BM652" t="s">
        <v>12441</v>
      </c>
      <c r="BN652" t="s">
        <v>74</v>
      </c>
      <c r="BO652" t="s">
        <v>5713</v>
      </c>
      <c r="BP652" t="s">
        <v>74</v>
      </c>
      <c r="BQ652" t="s">
        <v>74</v>
      </c>
      <c r="BR652" t="s">
        <v>106</v>
      </c>
      <c r="BS652" t="s">
        <v>12442</v>
      </c>
      <c r="BT652" t="str">
        <f>HYPERLINK("https%3A%2F%2Fwww.webofscience.com%2Fwos%2Fwoscc%2Ffull-record%2FWOS:000403657100004","View Full Record in Web of Science")</f>
        <v>View Full Record in Web of Science</v>
      </c>
    </row>
    <row r="653" spans="1:72" x14ac:dyDescent="0.15">
      <c r="A653" t="s">
        <v>72</v>
      </c>
      <c r="B653" t="s">
        <v>12443</v>
      </c>
      <c r="C653" t="s">
        <v>74</v>
      </c>
      <c r="D653" t="s">
        <v>74</v>
      </c>
      <c r="E653" t="s">
        <v>74</v>
      </c>
      <c r="F653" t="s">
        <v>12444</v>
      </c>
      <c r="G653" t="s">
        <v>74</v>
      </c>
      <c r="H653" t="s">
        <v>74</v>
      </c>
      <c r="I653" t="s">
        <v>12445</v>
      </c>
      <c r="J653" t="s">
        <v>6483</v>
      </c>
      <c r="K653" t="s">
        <v>74</v>
      </c>
      <c r="L653" t="s">
        <v>74</v>
      </c>
      <c r="M653" t="s">
        <v>78</v>
      </c>
      <c r="N653" t="s">
        <v>79</v>
      </c>
      <c r="O653" t="s">
        <v>74</v>
      </c>
      <c r="P653" t="s">
        <v>74</v>
      </c>
      <c r="Q653" t="s">
        <v>74</v>
      </c>
      <c r="R653" t="s">
        <v>74</v>
      </c>
      <c r="S653" t="s">
        <v>74</v>
      </c>
      <c r="T653" t="s">
        <v>12446</v>
      </c>
      <c r="U653" t="s">
        <v>12447</v>
      </c>
      <c r="V653" t="s">
        <v>12448</v>
      </c>
      <c r="W653" t="s">
        <v>12449</v>
      </c>
      <c r="X653" t="s">
        <v>12450</v>
      </c>
      <c r="Y653" t="s">
        <v>12451</v>
      </c>
      <c r="Z653" t="s">
        <v>12452</v>
      </c>
      <c r="AA653" t="s">
        <v>12453</v>
      </c>
      <c r="AB653" t="s">
        <v>12454</v>
      </c>
      <c r="AC653" t="s">
        <v>12455</v>
      </c>
      <c r="AD653" t="s">
        <v>12456</v>
      </c>
      <c r="AE653" t="s">
        <v>12457</v>
      </c>
      <c r="AF653" t="s">
        <v>74</v>
      </c>
      <c r="AG653">
        <v>40</v>
      </c>
      <c r="AH653">
        <v>20</v>
      </c>
      <c r="AI653">
        <v>22</v>
      </c>
      <c r="AJ653">
        <v>2</v>
      </c>
      <c r="AK653">
        <v>24</v>
      </c>
      <c r="AL653" t="s">
        <v>6493</v>
      </c>
      <c r="AM653" t="s">
        <v>6494</v>
      </c>
      <c r="AN653" t="s">
        <v>6495</v>
      </c>
      <c r="AO653" t="s">
        <v>6496</v>
      </c>
      <c r="AP653" t="s">
        <v>74</v>
      </c>
      <c r="AQ653" t="s">
        <v>74</v>
      </c>
      <c r="AR653" t="s">
        <v>6497</v>
      </c>
      <c r="AS653" t="s">
        <v>6498</v>
      </c>
      <c r="AT653" t="s">
        <v>12439</v>
      </c>
      <c r="AU653">
        <v>2017</v>
      </c>
      <c r="AV653">
        <v>12</v>
      </c>
      <c r="AW653">
        <v>3</v>
      </c>
      <c r="AX653" t="s">
        <v>74</v>
      </c>
      <c r="AY653" t="s">
        <v>74</v>
      </c>
      <c r="AZ653" t="s">
        <v>74</v>
      </c>
      <c r="BA653" t="s">
        <v>74</v>
      </c>
      <c r="BB653" t="s">
        <v>74</v>
      </c>
      <c r="BC653" t="s">
        <v>74</v>
      </c>
      <c r="BD653">
        <v>34009</v>
      </c>
      <c r="BE653" t="s">
        <v>12458</v>
      </c>
      <c r="BF653" t="str">
        <f>HYPERLINK("http://dx.doi.org/10.1088/1748-9326/aa5fb8","http://dx.doi.org/10.1088/1748-9326/aa5fb8")</f>
        <v>http://dx.doi.org/10.1088/1748-9326/aa5fb8</v>
      </c>
      <c r="BG653" t="s">
        <v>74</v>
      </c>
      <c r="BH653" t="s">
        <v>74</v>
      </c>
      <c r="BI653">
        <v>8</v>
      </c>
      <c r="BJ653" t="s">
        <v>3614</v>
      </c>
      <c r="BK653" t="s">
        <v>103</v>
      </c>
      <c r="BL653" t="s">
        <v>3615</v>
      </c>
      <c r="BM653" t="s">
        <v>12459</v>
      </c>
      <c r="BN653" t="s">
        <v>74</v>
      </c>
      <c r="BO653" t="s">
        <v>3679</v>
      </c>
      <c r="BP653" t="s">
        <v>74</v>
      </c>
      <c r="BQ653" t="s">
        <v>74</v>
      </c>
      <c r="BR653" t="s">
        <v>106</v>
      </c>
      <c r="BS653" t="s">
        <v>12460</v>
      </c>
      <c r="BT653" t="str">
        <f>HYPERLINK("https%3A%2F%2Fwww.webofscience.com%2Fwos%2Fwoscc%2Ffull-record%2FWOS:000413801500001","View Full Record in Web of Science")</f>
        <v>View Full Record in Web of Science</v>
      </c>
    </row>
    <row r="654" spans="1:72" x14ac:dyDescent="0.15">
      <c r="A654" t="s">
        <v>72</v>
      </c>
      <c r="B654" t="s">
        <v>12461</v>
      </c>
      <c r="C654" t="s">
        <v>74</v>
      </c>
      <c r="D654" t="s">
        <v>74</v>
      </c>
      <c r="E654" t="s">
        <v>74</v>
      </c>
      <c r="F654" t="s">
        <v>12462</v>
      </c>
      <c r="G654" t="s">
        <v>74</v>
      </c>
      <c r="H654" t="s">
        <v>74</v>
      </c>
      <c r="I654" t="s">
        <v>12463</v>
      </c>
      <c r="J654" t="s">
        <v>12464</v>
      </c>
      <c r="K654" t="s">
        <v>74</v>
      </c>
      <c r="L654" t="s">
        <v>74</v>
      </c>
      <c r="M654" t="s">
        <v>78</v>
      </c>
      <c r="N654" t="s">
        <v>79</v>
      </c>
      <c r="O654" t="s">
        <v>74</v>
      </c>
      <c r="P654" t="s">
        <v>74</v>
      </c>
      <c r="Q654" t="s">
        <v>74</v>
      </c>
      <c r="R654" t="s">
        <v>74</v>
      </c>
      <c r="S654" t="s">
        <v>74</v>
      </c>
      <c r="T654" t="s">
        <v>12465</v>
      </c>
      <c r="U654" t="s">
        <v>74</v>
      </c>
      <c r="V654" t="s">
        <v>12466</v>
      </c>
      <c r="W654" t="s">
        <v>12467</v>
      </c>
      <c r="X654" t="s">
        <v>12468</v>
      </c>
      <c r="Y654" t="s">
        <v>12469</v>
      </c>
      <c r="Z654" t="s">
        <v>12470</v>
      </c>
      <c r="AA654" t="s">
        <v>74</v>
      </c>
      <c r="AB654" t="s">
        <v>74</v>
      </c>
      <c r="AC654" t="s">
        <v>74</v>
      </c>
      <c r="AD654" t="s">
        <v>74</v>
      </c>
      <c r="AE654" t="s">
        <v>74</v>
      </c>
      <c r="AF654" t="s">
        <v>74</v>
      </c>
      <c r="AG654">
        <v>89</v>
      </c>
      <c r="AH654">
        <v>4</v>
      </c>
      <c r="AI654">
        <v>4</v>
      </c>
      <c r="AJ654">
        <v>2</v>
      </c>
      <c r="AK654">
        <v>33</v>
      </c>
      <c r="AL654" t="s">
        <v>986</v>
      </c>
      <c r="AM654" t="s">
        <v>1191</v>
      </c>
      <c r="AN654" t="s">
        <v>1192</v>
      </c>
      <c r="AO654" t="s">
        <v>12471</v>
      </c>
      <c r="AP654" t="s">
        <v>12472</v>
      </c>
      <c r="AQ654" t="s">
        <v>74</v>
      </c>
      <c r="AR654" t="s">
        <v>12473</v>
      </c>
      <c r="AS654" t="s">
        <v>12474</v>
      </c>
      <c r="AT654" t="s">
        <v>12439</v>
      </c>
      <c r="AU654">
        <v>2017</v>
      </c>
      <c r="AV654">
        <v>22</v>
      </c>
      <c r="AW654">
        <v>1</v>
      </c>
      <c r="AX654" t="s">
        <v>74</v>
      </c>
      <c r="AY654" t="s">
        <v>74</v>
      </c>
      <c r="AZ654" t="s">
        <v>74</v>
      </c>
      <c r="BA654" t="s">
        <v>74</v>
      </c>
      <c r="BB654">
        <v>37</v>
      </c>
      <c r="BC654">
        <v>56</v>
      </c>
      <c r="BD654" t="s">
        <v>74</v>
      </c>
      <c r="BE654" t="s">
        <v>12475</v>
      </c>
      <c r="BF654" t="str">
        <f>HYPERLINK("http://dx.doi.org/10.1007/s11366-016-9430-2","http://dx.doi.org/10.1007/s11366-016-9430-2")</f>
        <v>http://dx.doi.org/10.1007/s11366-016-9430-2</v>
      </c>
      <c r="BG654" t="s">
        <v>74</v>
      </c>
      <c r="BH654" t="s">
        <v>74</v>
      </c>
      <c r="BI654">
        <v>20</v>
      </c>
      <c r="BJ654" t="s">
        <v>12476</v>
      </c>
      <c r="BK654" t="s">
        <v>3321</v>
      </c>
      <c r="BL654" t="s">
        <v>12477</v>
      </c>
      <c r="BM654" t="s">
        <v>12478</v>
      </c>
      <c r="BN654" t="s">
        <v>74</v>
      </c>
      <c r="BO654" t="s">
        <v>74</v>
      </c>
      <c r="BP654" t="s">
        <v>74</v>
      </c>
      <c r="BQ654" t="s">
        <v>74</v>
      </c>
      <c r="BR654" t="s">
        <v>106</v>
      </c>
      <c r="BS654" t="s">
        <v>12479</v>
      </c>
      <c r="BT654" t="str">
        <f>HYPERLINK("https%3A%2F%2Fwww.webofscience.com%2Fwos%2Fwoscc%2Ffull-record%2FWOS:000406272300003","View Full Record in Web of Science")</f>
        <v>View Full Record in Web of Science</v>
      </c>
    </row>
    <row r="655" spans="1:72" x14ac:dyDescent="0.15">
      <c r="A655" t="s">
        <v>72</v>
      </c>
      <c r="B655" t="s">
        <v>12480</v>
      </c>
      <c r="C655" t="s">
        <v>74</v>
      </c>
      <c r="D655" t="s">
        <v>74</v>
      </c>
      <c r="E655" t="s">
        <v>74</v>
      </c>
      <c r="F655" t="s">
        <v>12481</v>
      </c>
      <c r="G655" t="s">
        <v>74</v>
      </c>
      <c r="H655" t="s">
        <v>74</v>
      </c>
      <c r="I655" t="s">
        <v>12482</v>
      </c>
      <c r="J655" t="s">
        <v>12483</v>
      </c>
      <c r="K655" t="s">
        <v>74</v>
      </c>
      <c r="L655" t="s">
        <v>74</v>
      </c>
      <c r="M655" t="s">
        <v>78</v>
      </c>
      <c r="N655" t="s">
        <v>79</v>
      </c>
      <c r="O655" t="s">
        <v>74</v>
      </c>
      <c r="P655" t="s">
        <v>74</v>
      </c>
      <c r="Q655" t="s">
        <v>74</v>
      </c>
      <c r="R655" t="s">
        <v>74</v>
      </c>
      <c r="S655" t="s">
        <v>74</v>
      </c>
      <c r="T655" t="s">
        <v>74</v>
      </c>
      <c r="U655" t="s">
        <v>12484</v>
      </c>
      <c r="V655" t="s">
        <v>12485</v>
      </c>
      <c r="W655" t="s">
        <v>12486</v>
      </c>
      <c r="X655" t="s">
        <v>12487</v>
      </c>
      <c r="Y655" t="s">
        <v>12488</v>
      </c>
      <c r="Z655" t="s">
        <v>12489</v>
      </c>
      <c r="AA655" t="s">
        <v>12490</v>
      </c>
      <c r="AB655" t="s">
        <v>12491</v>
      </c>
      <c r="AC655" t="s">
        <v>12492</v>
      </c>
      <c r="AD655" t="s">
        <v>5244</v>
      </c>
      <c r="AE655" t="s">
        <v>12493</v>
      </c>
      <c r="AF655" t="s">
        <v>74</v>
      </c>
      <c r="AG655">
        <v>50</v>
      </c>
      <c r="AH655">
        <v>5</v>
      </c>
      <c r="AI655">
        <v>5</v>
      </c>
      <c r="AJ655">
        <v>0</v>
      </c>
      <c r="AK655">
        <v>11</v>
      </c>
      <c r="AL655" t="s">
        <v>429</v>
      </c>
      <c r="AM655" t="s">
        <v>430</v>
      </c>
      <c r="AN655" t="s">
        <v>431</v>
      </c>
      <c r="AO655" t="s">
        <v>12494</v>
      </c>
      <c r="AP655" t="s">
        <v>12495</v>
      </c>
      <c r="AQ655" t="s">
        <v>74</v>
      </c>
      <c r="AR655" t="s">
        <v>12496</v>
      </c>
      <c r="AS655" t="s">
        <v>12497</v>
      </c>
      <c r="AT655" t="s">
        <v>12439</v>
      </c>
      <c r="AU655">
        <v>2017</v>
      </c>
      <c r="AV655">
        <v>57</v>
      </c>
      <c r="AW655">
        <v>2</v>
      </c>
      <c r="AX655" t="s">
        <v>74</v>
      </c>
      <c r="AY655" t="s">
        <v>74</v>
      </c>
      <c r="AZ655" t="s">
        <v>74</v>
      </c>
      <c r="BA655" t="s">
        <v>74</v>
      </c>
      <c r="BB655">
        <v>328</v>
      </c>
      <c r="BC655">
        <v>336</v>
      </c>
      <c r="BD655" t="s">
        <v>74</v>
      </c>
      <c r="BE655" t="s">
        <v>12498</v>
      </c>
      <c r="BF655" t="str">
        <f>HYPERLINK("http://dx.doi.org/10.1134/S0001437016060138","http://dx.doi.org/10.1134/S0001437016060138")</f>
        <v>http://dx.doi.org/10.1134/S0001437016060138</v>
      </c>
      <c r="BG655" t="s">
        <v>74</v>
      </c>
      <c r="BH655" t="s">
        <v>74</v>
      </c>
      <c r="BI655">
        <v>9</v>
      </c>
      <c r="BJ655" t="s">
        <v>127</v>
      </c>
      <c r="BK655" t="s">
        <v>103</v>
      </c>
      <c r="BL655" t="s">
        <v>127</v>
      </c>
      <c r="BM655" t="s">
        <v>12499</v>
      </c>
      <c r="BN655" t="s">
        <v>74</v>
      </c>
      <c r="BO655" t="s">
        <v>74</v>
      </c>
      <c r="BP655" t="s">
        <v>74</v>
      </c>
      <c r="BQ655" t="s">
        <v>74</v>
      </c>
      <c r="BR655" t="s">
        <v>106</v>
      </c>
      <c r="BS655" t="s">
        <v>12500</v>
      </c>
      <c r="BT655" t="str">
        <f>HYPERLINK("https%3A%2F%2Fwww.webofscience.com%2Fwos%2Fwoscc%2Ffull-record%2FWOS:000404448300014","View Full Record in Web of Science")</f>
        <v>View Full Record in Web of Science</v>
      </c>
    </row>
    <row r="656" spans="1:72" x14ac:dyDescent="0.15">
      <c r="A656" t="s">
        <v>72</v>
      </c>
      <c r="B656" t="s">
        <v>12501</v>
      </c>
      <c r="C656" t="s">
        <v>74</v>
      </c>
      <c r="D656" t="s">
        <v>74</v>
      </c>
      <c r="E656" t="s">
        <v>74</v>
      </c>
      <c r="F656" t="s">
        <v>12502</v>
      </c>
      <c r="G656" t="s">
        <v>74</v>
      </c>
      <c r="H656" t="s">
        <v>74</v>
      </c>
      <c r="I656" t="s">
        <v>12503</v>
      </c>
      <c r="J656" t="s">
        <v>12504</v>
      </c>
      <c r="K656" t="s">
        <v>74</v>
      </c>
      <c r="L656" t="s">
        <v>74</v>
      </c>
      <c r="M656" t="s">
        <v>78</v>
      </c>
      <c r="N656" t="s">
        <v>79</v>
      </c>
      <c r="O656" t="s">
        <v>74</v>
      </c>
      <c r="P656" t="s">
        <v>74</v>
      </c>
      <c r="Q656" t="s">
        <v>74</v>
      </c>
      <c r="R656" t="s">
        <v>74</v>
      </c>
      <c r="S656" t="s">
        <v>74</v>
      </c>
      <c r="T656" t="s">
        <v>74</v>
      </c>
      <c r="U656" t="s">
        <v>74</v>
      </c>
      <c r="V656" t="s">
        <v>12505</v>
      </c>
      <c r="W656" t="s">
        <v>12506</v>
      </c>
      <c r="X656" t="s">
        <v>12507</v>
      </c>
      <c r="Y656" t="s">
        <v>12508</v>
      </c>
      <c r="Z656" t="s">
        <v>74</v>
      </c>
      <c r="AA656" t="s">
        <v>74</v>
      </c>
      <c r="AB656" t="s">
        <v>74</v>
      </c>
      <c r="AC656" t="s">
        <v>74</v>
      </c>
      <c r="AD656" t="s">
        <v>74</v>
      </c>
      <c r="AE656" t="s">
        <v>74</v>
      </c>
      <c r="AF656" t="s">
        <v>74</v>
      </c>
      <c r="AG656">
        <v>10</v>
      </c>
      <c r="AH656">
        <v>0</v>
      </c>
      <c r="AI656">
        <v>0</v>
      </c>
      <c r="AJ656">
        <v>0</v>
      </c>
      <c r="AK656">
        <v>1</v>
      </c>
      <c r="AL656" t="s">
        <v>12509</v>
      </c>
      <c r="AM656" t="s">
        <v>12510</v>
      </c>
      <c r="AN656" t="s">
        <v>12511</v>
      </c>
      <c r="AO656" t="s">
        <v>12512</v>
      </c>
      <c r="AP656" t="s">
        <v>12513</v>
      </c>
      <c r="AQ656" t="s">
        <v>74</v>
      </c>
      <c r="AR656" t="s">
        <v>12514</v>
      </c>
      <c r="AS656" t="s">
        <v>12515</v>
      </c>
      <c r="AT656" t="s">
        <v>12516</v>
      </c>
      <c r="AU656">
        <v>2017</v>
      </c>
      <c r="AV656">
        <v>129</v>
      </c>
      <c r="AW656">
        <v>1</v>
      </c>
      <c r="AX656" t="s">
        <v>74</v>
      </c>
      <c r="AY656" t="s">
        <v>74</v>
      </c>
      <c r="AZ656" t="s">
        <v>74</v>
      </c>
      <c r="BA656" t="s">
        <v>74</v>
      </c>
      <c r="BB656">
        <v>55</v>
      </c>
      <c r="BC656">
        <v>64</v>
      </c>
      <c r="BD656" t="s">
        <v>74</v>
      </c>
      <c r="BE656" t="s">
        <v>74</v>
      </c>
      <c r="BF656" t="s">
        <v>74</v>
      </c>
      <c r="BG656" t="s">
        <v>74</v>
      </c>
      <c r="BH656" t="s">
        <v>74</v>
      </c>
      <c r="BI656">
        <v>10</v>
      </c>
      <c r="BJ656" t="s">
        <v>12517</v>
      </c>
      <c r="BK656" t="s">
        <v>103</v>
      </c>
      <c r="BL656" t="s">
        <v>12518</v>
      </c>
      <c r="BM656" t="s">
        <v>12519</v>
      </c>
      <c r="BN656" t="s">
        <v>74</v>
      </c>
      <c r="BO656" t="s">
        <v>74</v>
      </c>
      <c r="BP656" t="s">
        <v>74</v>
      </c>
      <c r="BQ656" t="s">
        <v>74</v>
      </c>
      <c r="BR656" t="s">
        <v>106</v>
      </c>
      <c r="BS656" t="s">
        <v>12520</v>
      </c>
      <c r="BT656" t="str">
        <f>HYPERLINK("https%3A%2F%2Fwww.webofscience.com%2Fwos%2Fwoscc%2Ffull-record%2FWOS:000404171900003","View Full Record in Web of Science")</f>
        <v>View Full Record in Web of Science</v>
      </c>
    </row>
    <row r="657" spans="1:72" x14ac:dyDescent="0.15">
      <c r="A657" t="s">
        <v>72</v>
      </c>
      <c r="B657" t="s">
        <v>12521</v>
      </c>
      <c r="C657" t="s">
        <v>74</v>
      </c>
      <c r="D657" t="s">
        <v>74</v>
      </c>
      <c r="E657" t="s">
        <v>74</v>
      </c>
      <c r="F657" t="s">
        <v>12522</v>
      </c>
      <c r="G657" t="s">
        <v>74</v>
      </c>
      <c r="H657" t="s">
        <v>74</v>
      </c>
      <c r="I657" t="s">
        <v>12523</v>
      </c>
      <c r="J657" t="s">
        <v>12524</v>
      </c>
      <c r="K657" t="s">
        <v>74</v>
      </c>
      <c r="L657" t="s">
        <v>74</v>
      </c>
      <c r="M657" t="s">
        <v>78</v>
      </c>
      <c r="N657" t="s">
        <v>79</v>
      </c>
      <c r="O657" t="s">
        <v>74</v>
      </c>
      <c r="P657" t="s">
        <v>74</v>
      </c>
      <c r="Q657" t="s">
        <v>74</v>
      </c>
      <c r="R657" t="s">
        <v>74</v>
      </c>
      <c r="S657" t="s">
        <v>74</v>
      </c>
      <c r="T657" t="s">
        <v>12525</v>
      </c>
      <c r="U657" t="s">
        <v>12526</v>
      </c>
      <c r="V657" t="s">
        <v>12527</v>
      </c>
      <c r="W657" t="s">
        <v>12528</v>
      </c>
      <c r="X657" t="s">
        <v>12529</v>
      </c>
      <c r="Y657" t="s">
        <v>12530</v>
      </c>
      <c r="Z657" t="s">
        <v>12531</v>
      </c>
      <c r="AA657" t="s">
        <v>74</v>
      </c>
      <c r="AB657" t="s">
        <v>74</v>
      </c>
      <c r="AC657" t="s">
        <v>3154</v>
      </c>
      <c r="AD657" t="s">
        <v>3155</v>
      </c>
      <c r="AE657" t="s">
        <v>74</v>
      </c>
      <c r="AF657" t="s">
        <v>74</v>
      </c>
      <c r="AG657">
        <v>22</v>
      </c>
      <c r="AH657">
        <v>2</v>
      </c>
      <c r="AI657">
        <v>2</v>
      </c>
      <c r="AJ657">
        <v>0</v>
      </c>
      <c r="AK657">
        <v>3</v>
      </c>
      <c r="AL657" t="s">
        <v>92</v>
      </c>
      <c r="AM657" t="s">
        <v>93</v>
      </c>
      <c r="AN657" t="s">
        <v>94</v>
      </c>
      <c r="AO657" t="s">
        <v>12532</v>
      </c>
      <c r="AP657" t="s">
        <v>12533</v>
      </c>
      <c r="AQ657" t="s">
        <v>74</v>
      </c>
      <c r="AR657" t="s">
        <v>12534</v>
      </c>
      <c r="AS657" t="s">
        <v>12535</v>
      </c>
      <c r="AT657" t="s">
        <v>12439</v>
      </c>
      <c r="AU657">
        <v>2017</v>
      </c>
      <c r="AV657">
        <v>37</v>
      </c>
      <c r="AW657">
        <v>2</v>
      </c>
      <c r="AX657" t="s">
        <v>74</v>
      </c>
      <c r="AY657" t="s">
        <v>74</v>
      </c>
      <c r="AZ657" t="s">
        <v>74</v>
      </c>
      <c r="BA657" t="s">
        <v>74</v>
      </c>
      <c r="BB657">
        <v>228</v>
      </c>
      <c r="BC657">
        <v>231</v>
      </c>
      <c r="BD657" t="s">
        <v>74</v>
      </c>
      <c r="BE657" t="s">
        <v>12536</v>
      </c>
      <c r="BF657" t="str">
        <f>HYPERLINK("http://dx.doi.org/10.1093/jcbiol/rux002","http://dx.doi.org/10.1093/jcbiol/rux002")</f>
        <v>http://dx.doi.org/10.1093/jcbiol/rux002</v>
      </c>
      <c r="BG657" t="s">
        <v>74</v>
      </c>
      <c r="BH657" t="s">
        <v>74</v>
      </c>
      <c r="BI657">
        <v>4</v>
      </c>
      <c r="BJ657" t="s">
        <v>689</v>
      </c>
      <c r="BK657" t="s">
        <v>103</v>
      </c>
      <c r="BL657" t="s">
        <v>689</v>
      </c>
      <c r="BM657" t="s">
        <v>12537</v>
      </c>
      <c r="BN657" t="s">
        <v>74</v>
      </c>
      <c r="BO657" t="s">
        <v>412</v>
      </c>
      <c r="BP657" t="s">
        <v>74</v>
      </c>
      <c r="BQ657" t="s">
        <v>74</v>
      </c>
      <c r="BR657" t="s">
        <v>106</v>
      </c>
      <c r="BS657" t="s">
        <v>12538</v>
      </c>
      <c r="BT657" t="str">
        <f>HYPERLINK("https%3A%2F%2Fwww.webofscience.com%2Fwos%2Fwoscc%2Ffull-record%2FWOS:000401916100011","View Full Record in Web of Science")</f>
        <v>View Full Record in Web of Science</v>
      </c>
    </row>
    <row r="658" spans="1:72" x14ac:dyDescent="0.15">
      <c r="A658" t="s">
        <v>72</v>
      </c>
      <c r="B658" t="s">
        <v>12539</v>
      </c>
      <c r="C658" t="s">
        <v>74</v>
      </c>
      <c r="D658" t="s">
        <v>74</v>
      </c>
      <c r="E658" t="s">
        <v>74</v>
      </c>
      <c r="F658" t="s">
        <v>12540</v>
      </c>
      <c r="G658" t="s">
        <v>74</v>
      </c>
      <c r="H658" t="s">
        <v>74</v>
      </c>
      <c r="I658" t="s">
        <v>12541</v>
      </c>
      <c r="J658" t="s">
        <v>12542</v>
      </c>
      <c r="K658" t="s">
        <v>74</v>
      </c>
      <c r="L658" t="s">
        <v>74</v>
      </c>
      <c r="M658" t="s">
        <v>78</v>
      </c>
      <c r="N658" t="s">
        <v>79</v>
      </c>
      <c r="O658" t="s">
        <v>74</v>
      </c>
      <c r="P658" t="s">
        <v>74</v>
      </c>
      <c r="Q658" t="s">
        <v>74</v>
      </c>
      <c r="R658" t="s">
        <v>74</v>
      </c>
      <c r="S658" t="s">
        <v>74</v>
      </c>
      <c r="T658" t="s">
        <v>74</v>
      </c>
      <c r="U658" t="s">
        <v>74</v>
      </c>
      <c r="V658" t="s">
        <v>12543</v>
      </c>
      <c r="W658" t="s">
        <v>12544</v>
      </c>
      <c r="X658" t="s">
        <v>12545</v>
      </c>
      <c r="Y658" t="s">
        <v>12546</v>
      </c>
      <c r="Z658" t="s">
        <v>12547</v>
      </c>
      <c r="AA658" t="s">
        <v>12548</v>
      </c>
      <c r="AB658" t="s">
        <v>12549</v>
      </c>
      <c r="AC658" t="s">
        <v>74</v>
      </c>
      <c r="AD658" t="s">
        <v>74</v>
      </c>
      <c r="AE658" t="s">
        <v>74</v>
      </c>
      <c r="AF658" t="s">
        <v>74</v>
      </c>
      <c r="AG658">
        <v>29</v>
      </c>
      <c r="AH658">
        <v>0</v>
      </c>
      <c r="AI658">
        <v>0</v>
      </c>
      <c r="AJ658">
        <v>0</v>
      </c>
      <c r="AK658">
        <v>3</v>
      </c>
      <c r="AL658" t="s">
        <v>5157</v>
      </c>
      <c r="AM658" t="s">
        <v>5158</v>
      </c>
      <c r="AN658" t="s">
        <v>5159</v>
      </c>
      <c r="AO658" t="s">
        <v>12550</v>
      </c>
      <c r="AP658" t="s">
        <v>12551</v>
      </c>
      <c r="AQ658" t="s">
        <v>74</v>
      </c>
      <c r="AR658" t="s">
        <v>12552</v>
      </c>
      <c r="AS658" t="s">
        <v>12553</v>
      </c>
      <c r="AT658" t="s">
        <v>12439</v>
      </c>
      <c r="AU658">
        <v>2017</v>
      </c>
      <c r="AV658">
        <v>11</v>
      </c>
      <c r="AW658">
        <v>2</v>
      </c>
      <c r="AX658" t="s">
        <v>74</v>
      </c>
      <c r="AY658" t="s">
        <v>74</v>
      </c>
      <c r="AZ658" t="s">
        <v>74</v>
      </c>
      <c r="BA658" t="s">
        <v>74</v>
      </c>
      <c r="BB658">
        <v>123</v>
      </c>
      <c r="BC658">
        <v>135</v>
      </c>
      <c r="BD658" t="s">
        <v>74</v>
      </c>
      <c r="BE658" t="s">
        <v>12554</v>
      </c>
      <c r="BF658" t="str">
        <f>HYPERLINK("http://dx.doi.org/10.1134/S0742046317020038","http://dx.doi.org/10.1134/S0742046317020038")</f>
        <v>http://dx.doi.org/10.1134/S0742046317020038</v>
      </c>
      <c r="BG658" t="s">
        <v>74</v>
      </c>
      <c r="BH658" t="s">
        <v>74</v>
      </c>
      <c r="BI658">
        <v>13</v>
      </c>
      <c r="BJ658" t="s">
        <v>176</v>
      </c>
      <c r="BK658" t="s">
        <v>103</v>
      </c>
      <c r="BL658" t="s">
        <v>176</v>
      </c>
      <c r="BM658" t="s">
        <v>12555</v>
      </c>
      <c r="BN658" t="s">
        <v>74</v>
      </c>
      <c r="BO658" t="s">
        <v>74</v>
      </c>
      <c r="BP658" t="s">
        <v>74</v>
      </c>
      <c r="BQ658" t="s">
        <v>74</v>
      </c>
      <c r="BR658" t="s">
        <v>106</v>
      </c>
      <c r="BS658" t="s">
        <v>12556</v>
      </c>
      <c r="BT658" t="str">
        <f>HYPERLINK("https%3A%2F%2Fwww.webofscience.com%2Fwos%2Fwoscc%2Ffull-record%2FWOS:000401445700003","View Full Record in Web of Science")</f>
        <v>View Full Record in Web of Science</v>
      </c>
    </row>
    <row r="659" spans="1:72" x14ac:dyDescent="0.15">
      <c r="A659" t="s">
        <v>72</v>
      </c>
      <c r="B659" t="s">
        <v>12557</v>
      </c>
      <c r="C659" t="s">
        <v>74</v>
      </c>
      <c r="D659" t="s">
        <v>74</v>
      </c>
      <c r="E659" t="s">
        <v>74</v>
      </c>
      <c r="F659" t="s">
        <v>12558</v>
      </c>
      <c r="G659" t="s">
        <v>74</v>
      </c>
      <c r="H659" t="s">
        <v>74</v>
      </c>
      <c r="I659" t="s">
        <v>12559</v>
      </c>
      <c r="J659" t="s">
        <v>10177</v>
      </c>
      <c r="K659" t="s">
        <v>74</v>
      </c>
      <c r="L659" t="s">
        <v>74</v>
      </c>
      <c r="M659" t="s">
        <v>78</v>
      </c>
      <c r="N659" t="s">
        <v>79</v>
      </c>
      <c r="O659" t="s">
        <v>74</v>
      </c>
      <c r="P659" t="s">
        <v>74</v>
      </c>
      <c r="Q659" t="s">
        <v>74</v>
      </c>
      <c r="R659" t="s">
        <v>74</v>
      </c>
      <c r="S659" t="s">
        <v>74</v>
      </c>
      <c r="T659" t="s">
        <v>12560</v>
      </c>
      <c r="U659" t="s">
        <v>12561</v>
      </c>
      <c r="V659" t="s">
        <v>12562</v>
      </c>
      <c r="W659" t="s">
        <v>12563</v>
      </c>
      <c r="X659" t="s">
        <v>2399</v>
      </c>
      <c r="Y659" t="s">
        <v>12564</v>
      </c>
      <c r="Z659" t="s">
        <v>12565</v>
      </c>
      <c r="AA659" t="s">
        <v>12566</v>
      </c>
      <c r="AB659" t="s">
        <v>12567</v>
      </c>
      <c r="AC659" t="s">
        <v>12568</v>
      </c>
      <c r="AD659" t="s">
        <v>12568</v>
      </c>
      <c r="AE659" t="s">
        <v>12569</v>
      </c>
      <c r="AF659" t="s">
        <v>74</v>
      </c>
      <c r="AG659">
        <v>38</v>
      </c>
      <c r="AH659">
        <v>5</v>
      </c>
      <c r="AI659">
        <v>6</v>
      </c>
      <c r="AJ659">
        <v>0</v>
      </c>
      <c r="AK659">
        <v>2</v>
      </c>
      <c r="AL659" t="s">
        <v>92</v>
      </c>
      <c r="AM659" t="s">
        <v>93</v>
      </c>
      <c r="AN659" t="s">
        <v>94</v>
      </c>
      <c r="AO659" t="s">
        <v>10190</v>
      </c>
      <c r="AP659" t="s">
        <v>10191</v>
      </c>
      <c r="AQ659" t="s">
        <v>74</v>
      </c>
      <c r="AR659" t="s">
        <v>10192</v>
      </c>
      <c r="AS659" t="s">
        <v>10193</v>
      </c>
      <c r="AT659" t="s">
        <v>12516</v>
      </c>
      <c r="AU659">
        <v>2017</v>
      </c>
      <c r="AV659">
        <v>120</v>
      </c>
      <c r="AW659">
        <v>3</v>
      </c>
      <c r="AX659" t="s">
        <v>74</v>
      </c>
      <c r="AY659" t="s">
        <v>74</v>
      </c>
      <c r="AZ659" t="s">
        <v>74</v>
      </c>
      <c r="BA659" t="s">
        <v>74</v>
      </c>
      <c r="BB659">
        <v>637</v>
      </c>
      <c r="BC659">
        <v>648</v>
      </c>
      <c r="BD659" t="s">
        <v>74</v>
      </c>
      <c r="BE659" t="s">
        <v>74</v>
      </c>
      <c r="BF659" t="s">
        <v>74</v>
      </c>
      <c r="BG659" t="s">
        <v>74</v>
      </c>
      <c r="BH659" t="s">
        <v>74</v>
      </c>
      <c r="BI659">
        <v>12</v>
      </c>
      <c r="BJ659" t="s">
        <v>10194</v>
      </c>
      <c r="BK659" t="s">
        <v>103</v>
      </c>
      <c r="BL659" t="s">
        <v>10194</v>
      </c>
      <c r="BM659" t="s">
        <v>12570</v>
      </c>
      <c r="BN659" t="s">
        <v>74</v>
      </c>
      <c r="BO659" t="s">
        <v>74</v>
      </c>
      <c r="BP659" t="s">
        <v>74</v>
      </c>
      <c r="BQ659" t="s">
        <v>74</v>
      </c>
      <c r="BR659" t="s">
        <v>106</v>
      </c>
      <c r="BS659" t="s">
        <v>12571</v>
      </c>
      <c r="BT659" t="str">
        <f>HYPERLINK("https%3A%2F%2Fwww.webofscience.com%2Fwos%2Fwoscc%2Ffull-record%2FWOS:000400944900011","View Full Record in Web of Science")</f>
        <v>View Full Record in Web of Science</v>
      </c>
    </row>
    <row r="660" spans="1:72" x14ac:dyDescent="0.15">
      <c r="A660" t="s">
        <v>72</v>
      </c>
      <c r="B660" t="s">
        <v>12572</v>
      </c>
      <c r="C660" t="s">
        <v>74</v>
      </c>
      <c r="D660" t="s">
        <v>74</v>
      </c>
      <c r="E660" t="s">
        <v>74</v>
      </c>
      <c r="F660" t="s">
        <v>12573</v>
      </c>
      <c r="G660" t="s">
        <v>74</v>
      </c>
      <c r="H660" t="s">
        <v>74</v>
      </c>
      <c r="I660" t="s">
        <v>12574</v>
      </c>
      <c r="J660" t="s">
        <v>6562</v>
      </c>
      <c r="K660" t="s">
        <v>74</v>
      </c>
      <c r="L660" t="s">
        <v>74</v>
      </c>
      <c r="M660" t="s">
        <v>78</v>
      </c>
      <c r="N660" t="s">
        <v>79</v>
      </c>
      <c r="O660" t="s">
        <v>74</v>
      </c>
      <c r="P660" t="s">
        <v>74</v>
      </c>
      <c r="Q660" t="s">
        <v>74</v>
      </c>
      <c r="R660" t="s">
        <v>74</v>
      </c>
      <c r="S660" t="s">
        <v>74</v>
      </c>
      <c r="T660" t="s">
        <v>74</v>
      </c>
      <c r="U660" t="s">
        <v>12575</v>
      </c>
      <c r="V660" t="s">
        <v>12576</v>
      </c>
      <c r="W660" t="s">
        <v>12577</v>
      </c>
      <c r="X660" t="s">
        <v>12578</v>
      </c>
      <c r="Y660" t="s">
        <v>12579</v>
      </c>
      <c r="Z660" t="s">
        <v>12580</v>
      </c>
      <c r="AA660" t="s">
        <v>12581</v>
      </c>
      <c r="AB660" t="s">
        <v>12582</v>
      </c>
      <c r="AC660" t="s">
        <v>12583</v>
      </c>
      <c r="AD660" t="s">
        <v>12584</v>
      </c>
      <c r="AE660" t="s">
        <v>12585</v>
      </c>
      <c r="AF660" t="s">
        <v>74</v>
      </c>
      <c r="AG660">
        <v>92</v>
      </c>
      <c r="AH660">
        <v>17</v>
      </c>
      <c r="AI660">
        <v>22</v>
      </c>
      <c r="AJ660">
        <v>0</v>
      </c>
      <c r="AK660">
        <v>26</v>
      </c>
      <c r="AL660" t="s">
        <v>222</v>
      </c>
      <c r="AM660" t="s">
        <v>223</v>
      </c>
      <c r="AN660" t="s">
        <v>224</v>
      </c>
      <c r="AO660" t="s">
        <v>6574</v>
      </c>
      <c r="AP660" t="s">
        <v>6575</v>
      </c>
      <c r="AQ660" t="s">
        <v>74</v>
      </c>
      <c r="AR660" t="s">
        <v>6576</v>
      </c>
      <c r="AS660" t="s">
        <v>6577</v>
      </c>
      <c r="AT660" t="s">
        <v>12439</v>
      </c>
      <c r="AU660">
        <v>2017</v>
      </c>
      <c r="AV660">
        <v>31</v>
      </c>
      <c r="AW660">
        <v>3</v>
      </c>
      <c r="AX660" t="s">
        <v>74</v>
      </c>
      <c r="AY660" t="s">
        <v>74</v>
      </c>
      <c r="AZ660" t="s">
        <v>74</v>
      </c>
      <c r="BA660" t="s">
        <v>74</v>
      </c>
      <c r="BB660">
        <v>473</v>
      </c>
      <c r="BC660">
        <v>491</v>
      </c>
      <c r="BD660" t="s">
        <v>74</v>
      </c>
      <c r="BE660" t="s">
        <v>12586</v>
      </c>
      <c r="BF660" t="str">
        <f>HYPERLINK("http://dx.doi.org/10.1002/2016GB005417","http://dx.doi.org/10.1002/2016GB005417")</f>
        <v>http://dx.doi.org/10.1002/2016GB005417</v>
      </c>
      <c r="BG660" t="s">
        <v>74</v>
      </c>
      <c r="BH660" t="s">
        <v>74</v>
      </c>
      <c r="BI660">
        <v>19</v>
      </c>
      <c r="BJ660" t="s">
        <v>6579</v>
      </c>
      <c r="BK660" t="s">
        <v>103</v>
      </c>
      <c r="BL660" t="s">
        <v>6580</v>
      </c>
      <c r="BM660" t="s">
        <v>12587</v>
      </c>
      <c r="BN660" t="s">
        <v>74</v>
      </c>
      <c r="BO660" t="s">
        <v>412</v>
      </c>
      <c r="BP660" t="s">
        <v>74</v>
      </c>
      <c r="BQ660" t="s">
        <v>74</v>
      </c>
      <c r="BR660" t="s">
        <v>106</v>
      </c>
      <c r="BS660" t="s">
        <v>12588</v>
      </c>
      <c r="BT660" t="str">
        <f>HYPERLINK("https%3A%2F%2Fwww.webofscience.com%2Fwos%2Fwoscc%2Ffull-record%2FWOS:000400695400003","View Full Record in Web of Science")</f>
        <v>View Full Record in Web of Science</v>
      </c>
    </row>
    <row r="661" spans="1:72" x14ac:dyDescent="0.15">
      <c r="A661" t="s">
        <v>72</v>
      </c>
      <c r="B661" t="s">
        <v>12589</v>
      </c>
      <c r="C661" t="s">
        <v>74</v>
      </c>
      <c r="D661" t="s">
        <v>74</v>
      </c>
      <c r="E661" t="s">
        <v>74</v>
      </c>
      <c r="F661" t="s">
        <v>12590</v>
      </c>
      <c r="G661" t="s">
        <v>74</v>
      </c>
      <c r="H661" t="s">
        <v>74</v>
      </c>
      <c r="I661" t="s">
        <v>12591</v>
      </c>
      <c r="J661" t="s">
        <v>6562</v>
      </c>
      <c r="K661" t="s">
        <v>74</v>
      </c>
      <c r="L661" t="s">
        <v>74</v>
      </c>
      <c r="M661" t="s">
        <v>78</v>
      </c>
      <c r="N661" t="s">
        <v>79</v>
      </c>
      <c r="O661" t="s">
        <v>74</v>
      </c>
      <c r="P661" t="s">
        <v>74</v>
      </c>
      <c r="Q661" t="s">
        <v>74</v>
      </c>
      <c r="R661" t="s">
        <v>74</v>
      </c>
      <c r="S661" t="s">
        <v>74</v>
      </c>
      <c r="T661" t="s">
        <v>74</v>
      </c>
      <c r="U661" t="s">
        <v>12592</v>
      </c>
      <c r="V661" t="s">
        <v>12593</v>
      </c>
      <c r="W661" t="s">
        <v>12594</v>
      </c>
      <c r="X661" t="s">
        <v>12595</v>
      </c>
      <c r="Y661" t="s">
        <v>12596</v>
      </c>
      <c r="Z661" t="s">
        <v>12597</v>
      </c>
      <c r="AA661" t="s">
        <v>12598</v>
      </c>
      <c r="AB661" t="s">
        <v>12599</v>
      </c>
      <c r="AC661" t="s">
        <v>12600</v>
      </c>
      <c r="AD661" t="s">
        <v>12601</v>
      </c>
      <c r="AE661" t="s">
        <v>12602</v>
      </c>
      <c r="AF661" t="s">
        <v>74</v>
      </c>
      <c r="AG661">
        <v>61</v>
      </c>
      <c r="AH661">
        <v>14</v>
      </c>
      <c r="AI661">
        <v>19</v>
      </c>
      <c r="AJ661">
        <v>1</v>
      </c>
      <c r="AK661">
        <v>33</v>
      </c>
      <c r="AL661" t="s">
        <v>222</v>
      </c>
      <c r="AM661" t="s">
        <v>223</v>
      </c>
      <c r="AN661" t="s">
        <v>224</v>
      </c>
      <c r="AO661" t="s">
        <v>6574</v>
      </c>
      <c r="AP661" t="s">
        <v>6575</v>
      </c>
      <c r="AQ661" t="s">
        <v>74</v>
      </c>
      <c r="AR661" t="s">
        <v>6576</v>
      </c>
      <c r="AS661" t="s">
        <v>6577</v>
      </c>
      <c r="AT661" t="s">
        <v>12439</v>
      </c>
      <c r="AU661">
        <v>2017</v>
      </c>
      <c r="AV661">
        <v>31</v>
      </c>
      <c r="AW661">
        <v>3</v>
      </c>
      <c r="AX661" t="s">
        <v>74</v>
      </c>
      <c r="AY661" t="s">
        <v>74</v>
      </c>
      <c r="AZ661" t="s">
        <v>74</v>
      </c>
      <c r="BA661" t="s">
        <v>74</v>
      </c>
      <c r="BB661">
        <v>575</v>
      </c>
      <c r="BC661">
        <v>590</v>
      </c>
      <c r="BD661" t="s">
        <v>74</v>
      </c>
      <c r="BE661" t="s">
        <v>12603</v>
      </c>
      <c r="BF661" t="str">
        <f>HYPERLINK("http://dx.doi.org/10.1002/2016GB005570","http://dx.doi.org/10.1002/2016GB005570")</f>
        <v>http://dx.doi.org/10.1002/2016GB005570</v>
      </c>
      <c r="BG661" t="s">
        <v>74</v>
      </c>
      <c r="BH661" t="s">
        <v>74</v>
      </c>
      <c r="BI661">
        <v>16</v>
      </c>
      <c r="BJ661" t="s">
        <v>6579</v>
      </c>
      <c r="BK661" t="s">
        <v>103</v>
      </c>
      <c r="BL661" t="s">
        <v>6580</v>
      </c>
      <c r="BM661" t="s">
        <v>12587</v>
      </c>
      <c r="BN661" t="s">
        <v>74</v>
      </c>
      <c r="BO661" t="s">
        <v>2634</v>
      </c>
      <c r="BP661" t="s">
        <v>74</v>
      </c>
      <c r="BQ661" t="s">
        <v>74</v>
      </c>
      <c r="BR661" t="s">
        <v>106</v>
      </c>
      <c r="BS661" t="s">
        <v>12604</v>
      </c>
      <c r="BT661" t="str">
        <f>HYPERLINK("https%3A%2F%2Fwww.webofscience.com%2Fwos%2Fwoscc%2Ffull-record%2FWOS:000400695400008","View Full Record in Web of Science")</f>
        <v>View Full Record in Web of Science</v>
      </c>
    </row>
    <row r="662" spans="1:72" x14ac:dyDescent="0.15">
      <c r="A662" t="s">
        <v>72</v>
      </c>
      <c r="B662" t="s">
        <v>12605</v>
      </c>
      <c r="C662" t="s">
        <v>74</v>
      </c>
      <c r="D662" t="s">
        <v>74</v>
      </c>
      <c r="E662" t="s">
        <v>74</v>
      </c>
      <c r="F662" t="s">
        <v>12606</v>
      </c>
      <c r="G662" t="s">
        <v>74</v>
      </c>
      <c r="H662" t="s">
        <v>74</v>
      </c>
      <c r="I662" t="s">
        <v>12607</v>
      </c>
      <c r="J662" t="s">
        <v>12608</v>
      </c>
      <c r="K662" t="s">
        <v>74</v>
      </c>
      <c r="L662" t="s">
        <v>74</v>
      </c>
      <c r="M662" t="s">
        <v>8496</v>
      </c>
      <c r="N662" t="s">
        <v>79</v>
      </c>
      <c r="O662" t="s">
        <v>74</v>
      </c>
      <c r="P662" t="s">
        <v>74</v>
      </c>
      <c r="Q662" t="s">
        <v>74</v>
      </c>
      <c r="R662" t="s">
        <v>74</v>
      </c>
      <c r="S662" t="s">
        <v>74</v>
      </c>
      <c r="T662" t="s">
        <v>12609</v>
      </c>
      <c r="U662" t="s">
        <v>12610</v>
      </c>
      <c r="V662" t="s">
        <v>12611</v>
      </c>
      <c r="W662" t="s">
        <v>12612</v>
      </c>
      <c r="X662" t="s">
        <v>12613</v>
      </c>
      <c r="Y662" t="s">
        <v>12614</v>
      </c>
      <c r="Z662" t="s">
        <v>12615</v>
      </c>
      <c r="AA662" t="s">
        <v>12616</v>
      </c>
      <c r="AB662" t="s">
        <v>12617</v>
      </c>
      <c r="AC662" t="s">
        <v>74</v>
      </c>
      <c r="AD662" t="s">
        <v>74</v>
      </c>
      <c r="AE662" t="s">
        <v>74</v>
      </c>
      <c r="AF662" t="s">
        <v>74</v>
      </c>
      <c r="AG662">
        <v>48</v>
      </c>
      <c r="AH662">
        <v>2</v>
      </c>
      <c r="AI662">
        <v>3</v>
      </c>
      <c r="AJ662">
        <v>1</v>
      </c>
      <c r="AK662">
        <v>19</v>
      </c>
      <c r="AL662" t="s">
        <v>12618</v>
      </c>
      <c r="AM662" t="s">
        <v>12619</v>
      </c>
      <c r="AN662" t="s">
        <v>12620</v>
      </c>
      <c r="AO662" t="s">
        <v>12621</v>
      </c>
      <c r="AP662" t="s">
        <v>12622</v>
      </c>
      <c r="AQ662" t="s">
        <v>74</v>
      </c>
      <c r="AR662" t="s">
        <v>12623</v>
      </c>
      <c r="AS662" t="s">
        <v>12624</v>
      </c>
      <c r="AT662" t="s">
        <v>12439</v>
      </c>
      <c r="AU662">
        <v>2017</v>
      </c>
      <c r="AV662">
        <v>35</v>
      </c>
      <c r="AW662">
        <v>1</v>
      </c>
      <c r="AX662" t="s">
        <v>74</v>
      </c>
      <c r="AY662" t="s">
        <v>74</v>
      </c>
      <c r="AZ662" t="s">
        <v>74</v>
      </c>
      <c r="BA662" t="s">
        <v>74</v>
      </c>
      <c r="BB662">
        <v>26</v>
      </c>
      <c r="BC662">
        <v>33</v>
      </c>
      <c r="BD662" t="s">
        <v>74</v>
      </c>
      <c r="BE662" t="s">
        <v>12625</v>
      </c>
      <c r="BF662" t="str">
        <f>HYPERLINK("http://dx.doi.org/10.4067/S0717-95022017000100005","http://dx.doi.org/10.4067/S0717-95022017000100005")</f>
        <v>http://dx.doi.org/10.4067/S0717-95022017000100005</v>
      </c>
      <c r="BG662" t="s">
        <v>74</v>
      </c>
      <c r="BH662" t="s">
        <v>74</v>
      </c>
      <c r="BI662">
        <v>8</v>
      </c>
      <c r="BJ662" t="s">
        <v>12626</v>
      </c>
      <c r="BK662" t="s">
        <v>103</v>
      </c>
      <c r="BL662" t="s">
        <v>12626</v>
      </c>
      <c r="BM662" t="s">
        <v>12627</v>
      </c>
      <c r="BN662" t="s">
        <v>74</v>
      </c>
      <c r="BO662" t="s">
        <v>3118</v>
      </c>
      <c r="BP662" t="s">
        <v>74</v>
      </c>
      <c r="BQ662" t="s">
        <v>74</v>
      </c>
      <c r="BR662" t="s">
        <v>106</v>
      </c>
      <c r="BS662" t="s">
        <v>12628</v>
      </c>
      <c r="BT662" t="str">
        <f>HYPERLINK("https%3A%2F%2Fwww.webofscience.com%2Fwos%2Fwoscc%2Ffull-record%2FWOS:000400464600005","View Full Record in Web of Science")</f>
        <v>View Full Record in Web of Science</v>
      </c>
    </row>
    <row r="663" spans="1:72" x14ac:dyDescent="0.15">
      <c r="A663" t="s">
        <v>72</v>
      </c>
      <c r="B663" t="s">
        <v>12629</v>
      </c>
      <c r="C663" t="s">
        <v>74</v>
      </c>
      <c r="D663" t="s">
        <v>74</v>
      </c>
      <c r="E663" t="s">
        <v>74</v>
      </c>
      <c r="F663" t="s">
        <v>12630</v>
      </c>
      <c r="G663" t="s">
        <v>74</v>
      </c>
      <c r="H663" t="s">
        <v>74</v>
      </c>
      <c r="I663" t="s">
        <v>12631</v>
      </c>
      <c r="J663" t="s">
        <v>210</v>
      </c>
      <c r="K663" t="s">
        <v>74</v>
      </c>
      <c r="L663" t="s">
        <v>74</v>
      </c>
      <c r="M663" t="s">
        <v>78</v>
      </c>
      <c r="N663" t="s">
        <v>79</v>
      </c>
      <c r="O663" t="s">
        <v>74</v>
      </c>
      <c r="P663" t="s">
        <v>74</v>
      </c>
      <c r="Q663" t="s">
        <v>74</v>
      </c>
      <c r="R663" t="s">
        <v>74</v>
      </c>
      <c r="S663" t="s">
        <v>74</v>
      </c>
      <c r="T663" t="s">
        <v>74</v>
      </c>
      <c r="U663" t="s">
        <v>12632</v>
      </c>
      <c r="V663" t="s">
        <v>12633</v>
      </c>
      <c r="W663" t="s">
        <v>12634</v>
      </c>
      <c r="X663" t="s">
        <v>12635</v>
      </c>
      <c r="Y663" t="s">
        <v>12636</v>
      </c>
      <c r="Z663" t="s">
        <v>12637</v>
      </c>
      <c r="AA663" t="s">
        <v>12638</v>
      </c>
      <c r="AB663" t="s">
        <v>12639</v>
      </c>
      <c r="AC663" t="s">
        <v>12640</v>
      </c>
      <c r="AD663" t="s">
        <v>12641</v>
      </c>
      <c r="AE663" t="s">
        <v>12642</v>
      </c>
      <c r="AF663" t="s">
        <v>74</v>
      </c>
      <c r="AG663">
        <v>60</v>
      </c>
      <c r="AH663">
        <v>59</v>
      </c>
      <c r="AI663">
        <v>66</v>
      </c>
      <c r="AJ663">
        <v>0</v>
      </c>
      <c r="AK663">
        <v>38</v>
      </c>
      <c r="AL663" t="s">
        <v>222</v>
      </c>
      <c r="AM663" t="s">
        <v>223</v>
      </c>
      <c r="AN663" t="s">
        <v>224</v>
      </c>
      <c r="AO663" t="s">
        <v>225</v>
      </c>
      <c r="AP663" t="s">
        <v>226</v>
      </c>
      <c r="AQ663" t="s">
        <v>74</v>
      </c>
      <c r="AR663" t="s">
        <v>227</v>
      </c>
      <c r="AS663" t="s">
        <v>228</v>
      </c>
      <c r="AT663" t="s">
        <v>12439</v>
      </c>
      <c r="AU663">
        <v>2017</v>
      </c>
      <c r="AV663">
        <v>122</v>
      </c>
      <c r="AW663">
        <v>3</v>
      </c>
      <c r="AX663" t="s">
        <v>74</v>
      </c>
      <c r="AY663" t="s">
        <v>74</v>
      </c>
      <c r="AZ663" t="s">
        <v>74</v>
      </c>
      <c r="BA663" t="s">
        <v>74</v>
      </c>
      <c r="BB663">
        <v>2050</v>
      </c>
      <c r="BC663">
        <v>2068</v>
      </c>
      <c r="BD663" t="s">
        <v>74</v>
      </c>
      <c r="BE663" t="s">
        <v>12643</v>
      </c>
      <c r="BF663" t="str">
        <f>HYPERLINK("http://dx.doi.org/10.1002/2016JC012115","http://dx.doi.org/10.1002/2016JC012115")</f>
        <v>http://dx.doi.org/10.1002/2016JC012115</v>
      </c>
      <c r="BG663" t="s">
        <v>74</v>
      </c>
      <c r="BH663" t="s">
        <v>74</v>
      </c>
      <c r="BI663">
        <v>19</v>
      </c>
      <c r="BJ663" t="s">
        <v>127</v>
      </c>
      <c r="BK663" t="s">
        <v>103</v>
      </c>
      <c r="BL663" t="s">
        <v>127</v>
      </c>
      <c r="BM663" t="s">
        <v>12644</v>
      </c>
      <c r="BN663" t="s">
        <v>74</v>
      </c>
      <c r="BO663" t="s">
        <v>2912</v>
      </c>
      <c r="BP663" t="s">
        <v>74</v>
      </c>
      <c r="BQ663" t="s">
        <v>74</v>
      </c>
      <c r="BR663" t="s">
        <v>106</v>
      </c>
      <c r="BS663" t="s">
        <v>12645</v>
      </c>
      <c r="BT663" t="str">
        <f>HYPERLINK("https%3A%2F%2Fwww.webofscience.com%2Fwos%2Fwoscc%2Ffull-record%2FWOS:000400678900023","View Full Record in Web of Science")</f>
        <v>View Full Record in Web of Science</v>
      </c>
    </row>
    <row r="664" spans="1:72" x14ac:dyDescent="0.15">
      <c r="A664" t="s">
        <v>72</v>
      </c>
      <c r="B664" t="s">
        <v>12646</v>
      </c>
      <c r="C664" t="s">
        <v>74</v>
      </c>
      <c r="D664" t="s">
        <v>74</v>
      </c>
      <c r="E664" t="s">
        <v>74</v>
      </c>
      <c r="F664" t="s">
        <v>12647</v>
      </c>
      <c r="G664" t="s">
        <v>74</v>
      </c>
      <c r="H664" t="s">
        <v>74</v>
      </c>
      <c r="I664" t="s">
        <v>12648</v>
      </c>
      <c r="J664" t="s">
        <v>210</v>
      </c>
      <c r="K664" t="s">
        <v>74</v>
      </c>
      <c r="L664" t="s">
        <v>74</v>
      </c>
      <c r="M664" t="s">
        <v>78</v>
      </c>
      <c r="N664" t="s">
        <v>79</v>
      </c>
      <c r="O664" t="s">
        <v>74</v>
      </c>
      <c r="P664" t="s">
        <v>74</v>
      </c>
      <c r="Q664" t="s">
        <v>74</v>
      </c>
      <c r="R664" t="s">
        <v>74</v>
      </c>
      <c r="S664" t="s">
        <v>74</v>
      </c>
      <c r="T664" t="s">
        <v>74</v>
      </c>
      <c r="U664" t="s">
        <v>12649</v>
      </c>
      <c r="V664" t="s">
        <v>12650</v>
      </c>
      <c r="W664" t="s">
        <v>12651</v>
      </c>
      <c r="X664" t="s">
        <v>12652</v>
      </c>
      <c r="Y664" t="s">
        <v>12653</v>
      </c>
      <c r="Z664" t="s">
        <v>12654</v>
      </c>
      <c r="AA664" t="s">
        <v>12655</v>
      </c>
      <c r="AB664" t="s">
        <v>12656</v>
      </c>
      <c r="AC664" t="s">
        <v>12657</v>
      </c>
      <c r="AD664" t="s">
        <v>12658</v>
      </c>
      <c r="AE664" t="s">
        <v>12659</v>
      </c>
      <c r="AF664" t="s">
        <v>74</v>
      </c>
      <c r="AG664">
        <v>67</v>
      </c>
      <c r="AH664">
        <v>12</v>
      </c>
      <c r="AI664">
        <v>13</v>
      </c>
      <c r="AJ664">
        <v>1</v>
      </c>
      <c r="AK664">
        <v>21</v>
      </c>
      <c r="AL664" t="s">
        <v>222</v>
      </c>
      <c r="AM664" t="s">
        <v>223</v>
      </c>
      <c r="AN664" t="s">
        <v>224</v>
      </c>
      <c r="AO664" t="s">
        <v>225</v>
      </c>
      <c r="AP664" t="s">
        <v>226</v>
      </c>
      <c r="AQ664" t="s">
        <v>74</v>
      </c>
      <c r="AR664" t="s">
        <v>227</v>
      </c>
      <c r="AS664" t="s">
        <v>228</v>
      </c>
      <c r="AT664" t="s">
        <v>12439</v>
      </c>
      <c r="AU664">
        <v>2017</v>
      </c>
      <c r="AV664">
        <v>122</v>
      </c>
      <c r="AW664">
        <v>3</v>
      </c>
      <c r="AX664" t="s">
        <v>74</v>
      </c>
      <c r="AY664" t="s">
        <v>74</v>
      </c>
      <c r="AZ664" t="s">
        <v>74</v>
      </c>
      <c r="BA664" t="s">
        <v>74</v>
      </c>
      <c r="BB664">
        <v>2465</v>
      </c>
      <c r="BC664">
        <v>2493</v>
      </c>
      <c r="BD664" t="s">
        <v>74</v>
      </c>
      <c r="BE664" t="s">
        <v>12660</v>
      </c>
      <c r="BF664" t="str">
        <f>HYPERLINK("http://dx.doi.org/10.1002/2016JC012539","http://dx.doi.org/10.1002/2016JC012539")</f>
        <v>http://dx.doi.org/10.1002/2016JC012539</v>
      </c>
      <c r="BG664" t="s">
        <v>74</v>
      </c>
      <c r="BH664" t="s">
        <v>74</v>
      </c>
      <c r="BI664">
        <v>29</v>
      </c>
      <c r="BJ664" t="s">
        <v>127</v>
      </c>
      <c r="BK664" t="s">
        <v>103</v>
      </c>
      <c r="BL664" t="s">
        <v>127</v>
      </c>
      <c r="BM664" t="s">
        <v>12644</v>
      </c>
      <c r="BN664" t="s">
        <v>74</v>
      </c>
      <c r="BO664" t="s">
        <v>74</v>
      </c>
      <c r="BP664" t="s">
        <v>74</v>
      </c>
      <c r="BQ664" t="s">
        <v>74</v>
      </c>
      <c r="BR664" t="s">
        <v>106</v>
      </c>
      <c r="BS664" t="s">
        <v>12661</v>
      </c>
      <c r="BT664" t="str">
        <f>HYPERLINK("https%3A%2F%2Fwww.webofscience.com%2Fwos%2Fwoscc%2Ffull-record%2FWOS:000400678900045","View Full Record in Web of Science")</f>
        <v>View Full Record in Web of Science</v>
      </c>
    </row>
    <row r="665" spans="1:72" x14ac:dyDescent="0.15">
      <c r="A665" t="s">
        <v>72</v>
      </c>
      <c r="B665" t="s">
        <v>12662</v>
      </c>
      <c r="C665" t="s">
        <v>74</v>
      </c>
      <c r="D665" t="s">
        <v>74</v>
      </c>
      <c r="E665" t="s">
        <v>74</v>
      </c>
      <c r="F665" t="s">
        <v>12663</v>
      </c>
      <c r="G665" t="s">
        <v>74</v>
      </c>
      <c r="H665" t="s">
        <v>74</v>
      </c>
      <c r="I665" t="s">
        <v>12664</v>
      </c>
      <c r="J665" t="s">
        <v>12665</v>
      </c>
      <c r="K665" t="s">
        <v>74</v>
      </c>
      <c r="L665" t="s">
        <v>74</v>
      </c>
      <c r="M665" t="s">
        <v>78</v>
      </c>
      <c r="N665" t="s">
        <v>52</v>
      </c>
      <c r="O665" t="s">
        <v>74</v>
      </c>
      <c r="P665" t="s">
        <v>74</v>
      </c>
      <c r="Q665" t="s">
        <v>74</v>
      </c>
      <c r="R665" t="s">
        <v>74</v>
      </c>
      <c r="S665" t="s">
        <v>74</v>
      </c>
      <c r="T665" t="s">
        <v>74</v>
      </c>
      <c r="U665" t="s">
        <v>74</v>
      </c>
      <c r="V665" t="s">
        <v>74</v>
      </c>
      <c r="W665" t="s">
        <v>12666</v>
      </c>
      <c r="X665" t="s">
        <v>12667</v>
      </c>
      <c r="Y665" t="s">
        <v>74</v>
      </c>
      <c r="Z665" t="s">
        <v>12668</v>
      </c>
      <c r="AA665" t="s">
        <v>12669</v>
      </c>
      <c r="AB665" t="s">
        <v>12670</v>
      </c>
      <c r="AC665" t="s">
        <v>74</v>
      </c>
      <c r="AD665" t="s">
        <v>74</v>
      </c>
      <c r="AE665" t="s">
        <v>74</v>
      </c>
      <c r="AF665" t="s">
        <v>74</v>
      </c>
      <c r="AG665">
        <v>0</v>
      </c>
      <c r="AH665">
        <v>0</v>
      </c>
      <c r="AI665">
        <v>0</v>
      </c>
      <c r="AJ665">
        <v>0</v>
      </c>
      <c r="AK665">
        <v>9</v>
      </c>
      <c r="AL665" t="s">
        <v>1141</v>
      </c>
      <c r="AM665" t="s">
        <v>318</v>
      </c>
      <c r="AN665" t="s">
        <v>1142</v>
      </c>
      <c r="AO665" t="s">
        <v>12671</v>
      </c>
      <c r="AP665" t="s">
        <v>12672</v>
      </c>
      <c r="AQ665" t="s">
        <v>74</v>
      </c>
      <c r="AR665" t="s">
        <v>12673</v>
      </c>
      <c r="AS665" t="s">
        <v>12674</v>
      </c>
      <c r="AT665" t="s">
        <v>12439</v>
      </c>
      <c r="AU665">
        <v>2017</v>
      </c>
      <c r="AV665">
        <v>109</v>
      </c>
      <c r="AW665" t="s">
        <v>74</v>
      </c>
      <c r="AX665" t="s">
        <v>74</v>
      </c>
      <c r="AY665" t="s">
        <v>74</v>
      </c>
      <c r="AZ665" t="s">
        <v>74</v>
      </c>
      <c r="BA665" t="s">
        <v>74</v>
      </c>
      <c r="BB665">
        <v>324</v>
      </c>
      <c r="BC665">
        <v>324</v>
      </c>
      <c r="BD665" t="s">
        <v>74</v>
      </c>
      <c r="BE665" t="s">
        <v>12675</v>
      </c>
      <c r="BF665" t="str">
        <f>HYPERLINK("http://dx.doi.org/10.1016/j.sajb.2017.01.019","http://dx.doi.org/10.1016/j.sajb.2017.01.019")</f>
        <v>http://dx.doi.org/10.1016/j.sajb.2017.01.019</v>
      </c>
      <c r="BG665" t="s">
        <v>74</v>
      </c>
      <c r="BH665" t="s">
        <v>74</v>
      </c>
      <c r="BI665">
        <v>1</v>
      </c>
      <c r="BJ665" t="s">
        <v>102</v>
      </c>
      <c r="BK665" t="s">
        <v>103</v>
      </c>
      <c r="BL665" t="s">
        <v>102</v>
      </c>
      <c r="BM665" t="s">
        <v>12676</v>
      </c>
      <c r="BN665" t="s">
        <v>74</v>
      </c>
      <c r="BO665" t="s">
        <v>384</v>
      </c>
      <c r="BP665" t="s">
        <v>74</v>
      </c>
      <c r="BQ665" t="s">
        <v>74</v>
      </c>
      <c r="BR665" t="s">
        <v>106</v>
      </c>
      <c r="BS665" t="s">
        <v>12677</v>
      </c>
      <c r="BT665" t="str">
        <f>HYPERLINK("https%3A%2F%2Fwww.webofscience.com%2Fwos%2Fwoscc%2Ffull-record%2FWOS:000400465400044","View Full Record in Web of Science")</f>
        <v>View Full Record in Web of Science</v>
      </c>
    </row>
    <row r="666" spans="1:72" x14ac:dyDescent="0.15">
      <c r="A666" t="s">
        <v>72</v>
      </c>
      <c r="B666" t="s">
        <v>12678</v>
      </c>
      <c r="C666" t="s">
        <v>74</v>
      </c>
      <c r="D666" t="s">
        <v>74</v>
      </c>
      <c r="E666" t="s">
        <v>74</v>
      </c>
      <c r="F666" t="s">
        <v>12679</v>
      </c>
      <c r="G666" t="s">
        <v>74</v>
      </c>
      <c r="H666" t="s">
        <v>74</v>
      </c>
      <c r="I666" t="s">
        <v>12680</v>
      </c>
      <c r="J666" t="s">
        <v>12681</v>
      </c>
      <c r="K666" t="s">
        <v>74</v>
      </c>
      <c r="L666" t="s">
        <v>74</v>
      </c>
      <c r="M666" t="s">
        <v>78</v>
      </c>
      <c r="N666" t="s">
        <v>52</v>
      </c>
      <c r="O666" t="s">
        <v>12682</v>
      </c>
      <c r="P666" t="s">
        <v>12683</v>
      </c>
      <c r="Q666" t="s">
        <v>12684</v>
      </c>
      <c r="R666" t="s">
        <v>74</v>
      </c>
      <c r="S666" t="s">
        <v>74</v>
      </c>
      <c r="T666" t="s">
        <v>74</v>
      </c>
      <c r="U666" t="s">
        <v>74</v>
      </c>
      <c r="V666" t="s">
        <v>74</v>
      </c>
      <c r="W666" t="s">
        <v>12685</v>
      </c>
      <c r="X666" t="s">
        <v>12686</v>
      </c>
      <c r="Y666" t="s">
        <v>74</v>
      </c>
      <c r="Z666" t="s">
        <v>12687</v>
      </c>
      <c r="AA666" t="s">
        <v>74</v>
      </c>
      <c r="AB666" t="s">
        <v>74</v>
      </c>
      <c r="AC666" t="s">
        <v>12688</v>
      </c>
      <c r="AD666" t="s">
        <v>2131</v>
      </c>
      <c r="AE666" t="s">
        <v>12689</v>
      </c>
      <c r="AF666" t="s">
        <v>74</v>
      </c>
      <c r="AG666">
        <v>0</v>
      </c>
      <c r="AH666">
        <v>0</v>
      </c>
      <c r="AI666">
        <v>0</v>
      </c>
      <c r="AJ666">
        <v>0</v>
      </c>
      <c r="AK666">
        <v>2</v>
      </c>
      <c r="AL666" t="s">
        <v>5702</v>
      </c>
      <c r="AM666" t="s">
        <v>5703</v>
      </c>
      <c r="AN666" t="s">
        <v>5704</v>
      </c>
      <c r="AO666" t="s">
        <v>12690</v>
      </c>
      <c r="AP666" t="s">
        <v>12691</v>
      </c>
      <c r="AQ666" t="s">
        <v>74</v>
      </c>
      <c r="AR666" t="s">
        <v>12692</v>
      </c>
      <c r="AS666" t="s">
        <v>12693</v>
      </c>
      <c r="AT666" t="s">
        <v>12439</v>
      </c>
      <c r="AU666">
        <v>2017</v>
      </c>
      <c r="AV666">
        <v>57</v>
      </c>
      <c r="AW666" t="s">
        <v>74</v>
      </c>
      <c r="AX666" t="s">
        <v>74</v>
      </c>
      <c r="AY666">
        <v>1</v>
      </c>
      <c r="AZ666" t="s">
        <v>74</v>
      </c>
      <c r="BA666" t="s">
        <v>12694</v>
      </c>
      <c r="BB666" t="s">
        <v>12695</v>
      </c>
      <c r="BC666" t="s">
        <v>12695</v>
      </c>
      <c r="BD666" t="s">
        <v>74</v>
      </c>
      <c r="BE666" t="s">
        <v>74</v>
      </c>
      <c r="BF666" t="s">
        <v>74</v>
      </c>
      <c r="BG666" t="s">
        <v>74</v>
      </c>
      <c r="BH666" t="s">
        <v>74</v>
      </c>
      <c r="BI666">
        <v>1</v>
      </c>
      <c r="BJ666" t="s">
        <v>555</v>
      </c>
      <c r="BK666" t="s">
        <v>354</v>
      </c>
      <c r="BL666" t="s">
        <v>555</v>
      </c>
      <c r="BM666" t="s">
        <v>12696</v>
      </c>
      <c r="BN666" t="s">
        <v>74</v>
      </c>
      <c r="BO666" t="s">
        <v>74</v>
      </c>
      <c r="BP666" t="s">
        <v>74</v>
      </c>
      <c r="BQ666" t="s">
        <v>74</v>
      </c>
      <c r="BR666" t="s">
        <v>106</v>
      </c>
      <c r="BS666" t="s">
        <v>12697</v>
      </c>
      <c r="BT666" t="str">
        <f>HYPERLINK("https%3A%2F%2Fwww.webofscience.com%2Fwos%2Fwoscc%2Ffull-record%2FWOS:000398668700060","View Full Record in Web of Science")</f>
        <v>View Full Record in Web of Science</v>
      </c>
    </row>
    <row r="667" spans="1:72" x14ac:dyDescent="0.15">
      <c r="A667" t="s">
        <v>72</v>
      </c>
      <c r="B667" t="s">
        <v>12698</v>
      </c>
      <c r="C667" t="s">
        <v>74</v>
      </c>
      <c r="D667" t="s">
        <v>74</v>
      </c>
      <c r="E667" t="s">
        <v>74</v>
      </c>
      <c r="F667" t="s">
        <v>12699</v>
      </c>
      <c r="G667" t="s">
        <v>74</v>
      </c>
      <c r="H667" t="s">
        <v>74</v>
      </c>
      <c r="I667" t="s">
        <v>12700</v>
      </c>
      <c r="J667" t="s">
        <v>12681</v>
      </c>
      <c r="K667" t="s">
        <v>74</v>
      </c>
      <c r="L667" t="s">
        <v>74</v>
      </c>
      <c r="M667" t="s">
        <v>78</v>
      </c>
      <c r="N667" t="s">
        <v>52</v>
      </c>
      <c r="O667" t="s">
        <v>12682</v>
      </c>
      <c r="P667" t="s">
        <v>12683</v>
      </c>
      <c r="Q667" t="s">
        <v>12684</v>
      </c>
      <c r="R667" t="s">
        <v>74</v>
      </c>
      <c r="S667" t="s">
        <v>74</v>
      </c>
      <c r="T667" t="s">
        <v>74</v>
      </c>
      <c r="U667" t="s">
        <v>74</v>
      </c>
      <c r="V667" t="s">
        <v>74</v>
      </c>
      <c r="W667" t="s">
        <v>12701</v>
      </c>
      <c r="X667" t="s">
        <v>12702</v>
      </c>
      <c r="Y667" t="s">
        <v>74</v>
      </c>
      <c r="Z667" t="s">
        <v>12703</v>
      </c>
      <c r="AA667" t="s">
        <v>74</v>
      </c>
      <c r="AB667" t="s">
        <v>74</v>
      </c>
      <c r="AC667" t="s">
        <v>74</v>
      </c>
      <c r="AD667" t="s">
        <v>74</v>
      </c>
      <c r="AE667" t="s">
        <v>74</v>
      </c>
      <c r="AF667" t="s">
        <v>74</v>
      </c>
      <c r="AG667">
        <v>0</v>
      </c>
      <c r="AH667">
        <v>0</v>
      </c>
      <c r="AI667">
        <v>0</v>
      </c>
      <c r="AJ667">
        <v>2</v>
      </c>
      <c r="AK667">
        <v>8</v>
      </c>
      <c r="AL667" t="s">
        <v>5702</v>
      </c>
      <c r="AM667" t="s">
        <v>5703</v>
      </c>
      <c r="AN667" t="s">
        <v>5704</v>
      </c>
      <c r="AO667" t="s">
        <v>12690</v>
      </c>
      <c r="AP667" t="s">
        <v>12691</v>
      </c>
      <c r="AQ667" t="s">
        <v>74</v>
      </c>
      <c r="AR667" t="s">
        <v>12692</v>
      </c>
      <c r="AS667" t="s">
        <v>12693</v>
      </c>
      <c r="AT667" t="s">
        <v>12439</v>
      </c>
      <c r="AU667">
        <v>2017</v>
      </c>
      <c r="AV667">
        <v>57</v>
      </c>
      <c r="AW667" t="s">
        <v>74</v>
      </c>
      <c r="AX667" t="s">
        <v>74</v>
      </c>
      <c r="AY667">
        <v>1</v>
      </c>
      <c r="AZ667" t="s">
        <v>74</v>
      </c>
      <c r="BA667" t="s">
        <v>12704</v>
      </c>
      <c r="BB667" t="s">
        <v>12705</v>
      </c>
      <c r="BC667" t="s">
        <v>12705</v>
      </c>
      <c r="BD667" t="s">
        <v>74</v>
      </c>
      <c r="BE667" t="s">
        <v>74</v>
      </c>
      <c r="BF667" t="s">
        <v>74</v>
      </c>
      <c r="BG667" t="s">
        <v>74</v>
      </c>
      <c r="BH667" t="s">
        <v>74</v>
      </c>
      <c r="BI667">
        <v>1</v>
      </c>
      <c r="BJ667" t="s">
        <v>555</v>
      </c>
      <c r="BK667" t="s">
        <v>354</v>
      </c>
      <c r="BL667" t="s">
        <v>555</v>
      </c>
      <c r="BM667" t="s">
        <v>12696</v>
      </c>
      <c r="BN667" t="s">
        <v>74</v>
      </c>
      <c r="BO667" t="s">
        <v>74</v>
      </c>
      <c r="BP667" t="s">
        <v>74</v>
      </c>
      <c r="BQ667" t="s">
        <v>74</v>
      </c>
      <c r="BR667" t="s">
        <v>106</v>
      </c>
      <c r="BS667" t="s">
        <v>12706</v>
      </c>
      <c r="BT667" t="str">
        <f>HYPERLINK("https%3A%2F%2Fwww.webofscience.com%2Fwos%2Fwoscc%2Ffull-record%2FWOS:000398668700083","View Full Record in Web of Science")</f>
        <v>View Full Record in Web of Science</v>
      </c>
    </row>
    <row r="668" spans="1:72" x14ac:dyDescent="0.15">
      <c r="A668" t="s">
        <v>72</v>
      </c>
      <c r="B668" t="s">
        <v>12707</v>
      </c>
      <c r="C668" t="s">
        <v>74</v>
      </c>
      <c r="D668" t="s">
        <v>74</v>
      </c>
      <c r="E668" t="s">
        <v>74</v>
      </c>
      <c r="F668" t="s">
        <v>12708</v>
      </c>
      <c r="G668" t="s">
        <v>74</v>
      </c>
      <c r="H668" t="s">
        <v>74</v>
      </c>
      <c r="I668" t="s">
        <v>12709</v>
      </c>
      <c r="J668" t="s">
        <v>12681</v>
      </c>
      <c r="K668" t="s">
        <v>74</v>
      </c>
      <c r="L668" t="s">
        <v>74</v>
      </c>
      <c r="M668" t="s">
        <v>78</v>
      </c>
      <c r="N668" t="s">
        <v>52</v>
      </c>
      <c r="O668" t="s">
        <v>12682</v>
      </c>
      <c r="P668" t="s">
        <v>12683</v>
      </c>
      <c r="Q668" t="s">
        <v>12684</v>
      </c>
      <c r="R668" t="s">
        <v>74</v>
      </c>
      <c r="S668" t="s">
        <v>74</v>
      </c>
      <c r="T668" t="s">
        <v>74</v>
      </c>
      <c r="U668" t="s">
        <v>74</v>
      </c>
      <c r="V668" t="s">
        <v>74</v>
      </c>
      <c r="W668" t="s">
        <v>12710</v>
      </c>
      <c r="X668" t="s">
        <v>74</v>
      </c>
      <c r="Y668" t="s">
        <v>74</v>
      </c>
      <c r="Z668" t="s">
        <v>12711</v>
      </c>
      <c r="AA668" t="s">
        <v>12712</v>
      </c>
      <c r="AB668" t="s">
        <v>74</v>
      </c>
      <c r="AC668" t="s">
        <v>12713</v>
      </c>
      <c r="AD668" t="s">
        <v>2131</v>
      </c>
      <c r="AE668" t="s">
        <v>12714</v>
      </c>
      <c r="AF668" t="s">
        <v>74</v>
      </c>
      <c r="AG668">
        <v>0</v>
      </c>
      <c r="AH668">
        <v>0</v>
      </c>
      <c r="AI668">
        <v>0</v>
      </c>
      <c r="AJ668">
        <v>0</v>
      </c>
      <c r="AK668">
        <v>3</v>
      </c>
      <c r="AL668" t="s">
        <v>5702</v>
      </c>
      <c r="AM668" t="s">
        <v>5703</v>
      </c>
      <c r="AN668" t="s">
        <v>5704</v>
      </c>
      <c r="AO668" t="s">
        <v>12690</v>
      </c>
      <c r="AP668" t="s">
        <v>12691</v>
      </c>
      <c r="AQ668" t="s">
        <v>74</v>
      </c>
      <c r="AR668" t="s">
        <v>12692</v>
      </c>
      <c r="AS668" t="s">
        <v>12693</v>
      </c>
      <c r="AT668" t="s">
        <v>12439</v>
      </c>
      <c r="AU668">
        <v>2017</v>
      </c>
      <c r="AV668">
        <v>57</v>
      </c>
      <c r="AW668" t="s">
        <v>74</v>
      </c>
      <c r="AX668" t="s">
        <v>74</v>
      </c>
      <c r="AY668">
        <v>1</v>
      </c>
      <c r="AZ668" t="s">
        <v>74</v>
      </c>
      <c r="BA668" t="s">
        <v>12715</v>
      </c>
      <c r="BB668" t="s">
        <v>12716</v>
      </c>
      <c r="BC668" t="s">
        <v>12716</v>
      </c>
      <c r="BD668" t="s">
        <v>74</v>
      </c>
      <c r="BE668" t="s">
        <v>74</v>
      </c>
      <c r="BF668" t="s">
        <v>74</v>
      </c>
      <c r="BG668" t="s">
        <v>74</v>
      </c>
      <c r="BH668" t="s">
        <v>74</v>
      </c>
      <c r="BI668">
        <v>1</v>
      </c>
      <c r="BJ668" t="s">
        <v>555</v>
      </c>
      <c r="BK668" t="s">
        <v>354</v>
      </c>
      <c r="BL668" t="s">
        <v>555</v>
      </c>
      <c r="BM668" t="s">
        <v>12696</v>
      </c>
      <c r="BN668" t="s">
        <v>74</v>
      </c>
      <c r="BO668" t="s">
        <v>74</v>
      </c>
      <c r="BP668" t="s">
        <v>74</v>
      </c>
      <c r="BQ668" t="s">
        <v>74</v>
      </c>
      <c r="BR668" t="s">
        <v>106</v>
      </c>
      <c r="BS668" t="s">
        <v>12717</v>
      </c>
      <c r="BT668" t="str">
        <f>HYPERLINK("https%3A%2F%2Fwww.webofscience.com%2Fwos%2Fwoscc%2Ffull-record%2FWOS:000398668700310","View Full Record in Web of Science")</f>
        <v>View Full Record in Web of Science</v>
      </c>
    </row>
    <row r="669" spans="1:72" x14ac:dyDescent="0.15">
      <c r="A669" t="s">
        <v>72</v>
      </c>
      <c r="B669" t="s">
        <v>12718</v>
      </c>
      <c r="C669" t="s">
        <v>74</v>
      </c>
      <c r="D669" t="s">
        <v>74</v>
      </c>
      <c r="E669" t="s">
        <v>74</v>
      </c>
      <c r="F669" t="s">
        <v>12719</v>
      </c>
      <c r="G669" t="s">
        <v>74</v>
      </c>
      <c r="H669" t="s">
        <v>74</v>
      </c>
      <c r="I669" t="s">
        <v>12720</v>
      </c>
      <c r="J669" t="s">
        <v>12681</v>
      </c>
      <c r="K669" t="s">
        <v>74</v>
      </c>
      <c r="L669" t="s">
        <v>74</v>
      </c>
      <c r="M669" t="s">
        <v>78</v>
      </c>
      <c r="N669" t="s">
        <v>52</v>
      </c>
      <c r="O669" t="s">
        <v>12682</v>
      </c>
      <c r="P669" t="s">
        <v>12683</v>
      </c>
      <c r="Q669" t="s">
        <v>12684</v>
      </c>
      <c r="R669" t="s">
        <v>74</v>
      </c>
      <c r="S669" t="s">
        <v>74</v>
      </c>
      <c r="T669" t="s">
        <v>74</v>
      </c>
      <c r="U669" t="s">
        <v>74</v>
      </c>
      <c r="V669" t="s">
        <v>74</v>
      </c>
      <c r="W669" t="s">
        <v>12721</v>
      </c>
      <c r="X669" t="s">
        <v>12722</v>
      </c>
      <c r="Y669" t="s">
        <v>74</v>
      </c>
      <c r="Z669" t="s">
        <v>12723</v>
      </c>
      <c r="AA669" t="s">
        <v>74</v>
      </c>
      <c r="AB669" t="s">
        <v>74</v>
      </c>
      <c r="AC669" t="s">
        <v>74</v>
      </c>
      <c r="AD669" t="s">
        <v>74</v>
      </c>
      <c r="AE669" t="s">
        <v>74</v>
      </c>
      <c r="AF669" t="s">
        <v>74</v>
      </c>
      <c r="AG669">
        <v>0</v>
      </c>
      <c r="AH669">
        <v>0</v>
      </c>
      <c r="AI669">
        <v>0</v>
      </c>
      <c r="AJ669">
        <v>2</v>
      </c>
      <c r="AK669">
        <v>5</v>
      </c>
      <c r="AL669" t="s">
        <v>5702</v>
      </c>
      <c r="AM669" t="s">
        <v>5703</v>
      </c>
      <c r="AN669" t="s">
        <v>5704</v>
      </c>
      <c r="AO669" t="s">
        <v>12690</v>
      </c>
      <c r="AP669" t="s">
        <v>12691</v>
      </c>
      <c r="AQ669" t="s">
        <v>74</v>
      </c>
      <c r="AR669" t="s">
        <v>12692</v>
      </c>
      <c r="AS669" t="s">
        <v>12693</v>
      </c>
      <c r="AT669" t="s">
        <v>12439</v>
      </c>
      <c r="AU669">
        <v>2017</v>
      </c>
      <c r="AV669">
        <v>57</v>
      </c>
      <c r="AW669" t="s">
        <v>74</v>
      </c>
      <c r="AX669" t="s">
        <v>74</v>
      </c>
      <c r="AY669">
        <v>1</v>
      </c>
      <c r="AZ669" t="s">
        <v>74</v>
      </c>
      <c r="BA669" t="s">
        <v>12724</v>
      </c>
      <c r="BB669" t="s">
        <v>12725</v>
      </c>
      <c r="BC669" t="s">
        <v>12725</v>
      </c>
      <c r="BD669" t="s">
        <v>74</v>
      </c>
      <c r="BE669" t="s">
        <v>74</v>
      </c>
      <c r="BF669" t="s">
        <v>74</v>
      </c>
      <c r="BG669" t="s">
        <v>74</v>
      </c>
      <c r="BH669" t="s">
        <v>74</v>
      </c>
      <c r="BI669">
        <v>1</v>
      </c>
      <c r="BJ669" t="s">
        <v>555</v>
      </c>
      <c r="BK669" t="s">
        <v>354</v>
      </c>
      <c r="BL669" t="s">
        <v>555</v>
      </c>
      <c r="BM669" t="s">
        <v>12696</v>
      </c>
      <c r="BN669" t="s">
        <v>74</v>
      </c>
      <c r="BO669" t="s">
        <v>74</v>
      </c>
      <c r="BP669" t="s">
        <v>74</v>
      </c>
      <c r="BQ669" t="s">
        <v>74</v>
      </c>
      <c r="BR669" t="s">
        <v>106</v>
      </c>
      <c r="BS669" t="s">
        <v>12726</v>
      </c>
      <c r="BT669" t="str">
        <f>HYPERLINK("https%3A%2F%2Fwww.webofscience.com%2Fwos%2Fwoscc%2Ffull-record%2FWOS:000398668700369","View Full Record in Web of Science")</f>
        <v>View Full Record in Web of Science</v>
      </c>
    </row>
    <row r="670" spans="1:72" x14ac:dyDescent="0.15">
      <c r="A670" t="s">
        <v>72</v>
      </c>
      <c r="B670" t="s">
        <v>12727</v>
      </c>
      <c r="C670" t="s">
        <v>74</v>
      </c>
      <c r="D670" t="s">
        <v>74</v>
      </c>
      <c r="E670" t="s">
        <v>74</v>
      </c>
      <c r="F670" t="s">
        <v>12728</v>
      </c>
      <c r="G670" t="s">
        <v>74</v>
      </c>
      <c r="H670" t="s">
        <v>74</v>
      </c>
      <c r="I670" t="s">
        <v>12729</v>
      </c>
      <c r="J670" t="s">
        <v>12681</v>
      </c>
      <c r="K670" t="s">
        <v>74</v>
      </c>
      <c r="L670" t="s">
        <v>74</v>
      </c>
      <c r="M670" t="s">
        <v>78</v>
      </c>
      <c r="N670" t="s">
        <v>52</v>
      </c>
      <c r="O670" t="s">
        <v>12682</v>
      </c>
      <c r="P670" t="s">
        <v>12683</v>
      </c>
      <c r="Q670" t="s">
        <v>12684</v>
      </c>
      <c r="R670" t="s">
        <v>74</v>
      </c>
      <c r="S670" t="s">
        <v>74</v>
      </c>
      <c r="T670" t="s">
        <v>74</v>
      </c>
      <c r="U670" t="s">
        <v>74</v>
      </c>
      <c r="V670" t="s">
        <v>74</v>
      </c>
      <c r="W670" t="s">
        <v>12730</v>
      </c>
      <c r="X670" t="s">
        <v>12731</v>
      </c>
      <c r="Y670" t="s">
        <v>74</v>
      </c>
      <c r="Z670" t="s">
        <v>12732</v>
      </c>
      <c r="AA670" t="s">
        <v>74</v>
      </c>
      <c r="AB670" t="s">
        <v>74</v>
      </c>
      <c r="AC670" t="s">
        <v>74</v>
      </c>
      <c r="AD670" t="s">
        <v>74</v>
      </c>
      <c r="AE670" t="s">
        <v>74</v>
      </c>
      <c r="AF670" t="s">
        <v>74</v>
      </c>
      <c r="AG670">
        <v>0</v>
      </c>
      <c r="AH670">
        <v>0</v>
      </c>
      <c r="AI670">
        <v>0</v>
      </c>
      <c r="AJ670">
        <v>0</v>
      </c>
      <c r="AK670">
        <v>2</v>
      </c>
      <c r="AL670" t="s">
        <v>5702</v>
      </c>
      <c r="AM670" t="s">
        <v>5703</v>
      </c>
      <c r="AN670" t="s">
        <v>5704</v>
      </c>
      <c r="AO670" t="s">
        <v>12690</v>
      </c>
      <c r="AP670" t="s">
        <v>12691</v>
      </c>
      <c r="AQ670" t="s">
        <v>74</v>
      </c>
      <c r="AR670" t="s">
        <v>12692</v>
      </c>
      <c r="AS670" t="s">
        <v>12693</v>
      </c>
      <c r="AT670" t="s">
        <v>12439</v>
      </c>
      <c r="AU670">
        <v>2017</v>
      </c>
      <c r="AV670">
        <v>57</v>
      </c>
      <c r="AW670" t="s">
        <v>74</v>
      </c>
      <c r="AX670" t="s">
        <v>74</v>
      </c>
      <c r="AY670">
        <v>1</v>
      </c>
      <c r="AZ670" t="s">
        <v>74</v>
      </c>
      <c r="BA670" t="s">
        <v>12733</v>
      </c>
      <c r="BB670" t="s">
        <v>12734</v>
      </c>
      <c r="BC670" t="s">
        <v>12734</v>
      </c>
      <c r="BD670" t="s">
        <v>74</v>
      </c>
      <c r="BE670" t="s">
        <v>74</v>
      </c>
      <c r="BF670" t="s">
        <v>74</v>
      </c>
      <c r="BG670" t="s">
        <v>74</v>
      </c>
      <c r="BH670" t="s">
        <v>74</v>
      </c>
      <c r="BI670">
        <v>1</v>
      </c>
      <c r="BJ670" t="s">
        <v>555</v>
      </c>
      <c r="BK670" t="s">
        <v>354</v>
      </c>
      <c r="BL670" t="s">
        <v>555</v>
      </c>
      <c r="BM670" t="s">
        <v>12696</v>
      </c>
      <c r="BN670" t="s">
        <v>74</v>
      </c>
      <c r="BO670" t="s">
        <v>74</v>
      </c>
      <c r="BP670" t="s">
        <v>74</v>
      </c>
      <c r="BQ670" t="s">
        <v>74</v>
      </c>
      <c r="BR670" t="s">
        <v>106</v>
      </c>
      <c r="BS670" t="s">
        <v>12735</v>
      </c>
      <c r="BT670" t="str">
        <f>HYPERLINK("https%3A%2F%2Fwww.webofscience.com%2Fwos%2Fwoscc%2Ffull-record%2FWOS:000398668702212","View Full Record in Web of Science")</f>
        <v>View Full Record in Web of Science</v>
      </c>
    </row>
    <row r="671" spans="1:72" x14ac:dyDescent="0.15">
      <c r="A671" t="s">
        <v>72</v>
      </c>
      <c r="B671" t="s">
        <v>12736</v>
      </c>
      <c r="C671" t="s">
        <v>74</v>
      </c>
      <c r="D671" t="s">
        <v>74</v>
      </c>
      <c r="E671" t="s">
        <v>74</v>
      </c>
      <c r="F671" t="s">
        <v>12737</v>
      </c>
      <c r="G671" t="s">
        <v>74</v>
      </c>
      <c r="H671" t="s">
        <v>74</v>
      </c>
      <c r="I671" t="s">
        <v>12738</v>
      </c>
      <c r="J671" t="s">
        <v>12681</v>
      </c>
      <c r="K671" t="s">
        <v>74</v>
      </c>
      <c r="L671" t="s">
        <v>74</v>
      </c>
      <c r="M671" t="s">
        <v>78</v>
      </c>
      <c r="N671" t="s">
        <v>52</v>
      </c>
      <c r="O671" t="s">
        <v>12682</v>
      </c>
      <c r="P671" t="s">
        <v>12683</v>
      </c>
      <c r="Q671" t="s">
        <v>12684</v>
      </c>
      <c r="R671" t="s">
        <v>74</v>
      </c>
      <c r="S671" t="s">
        <v>74</v>
      </c>
      <c r="T671" t="s">
        <v>74</v>
      </c>
      <c r="U671" t="s">
        <v>74</v>
      </c>
      <c r="V671" t="s">
        <v>74</v>
      </c>
      <c r="W671" t="s">
        <v>12739</v>
      </c>
      <c r="X671" t="s">
        <v>12740</v>
      </c>
      <c r="Y671" t="s">
        <v>74</v>
      </c>
      <c r="Z671" t="s">
        <v>12741</v>
      </c>
      <c r="AA671" t="s">
        <v>74</v>
      </c>
      <c r="AB671" t="s">
        <v>74</v>
      </c>
      <c r="AC671" t="s">
        <v>74</v>
      </c>
      <c r="AD671" t="s">
        <v>74</v>
      </c>
      <c r="AE671" t="s">
        <v>74</v>
      </c>
      <c r="AF671" t="s">
        <v>74</v>
      </c>
      <c r="AG671">
        <v>0</v>
      </c>
      <c r="AH671">
        <v>0</v>
      </c>
      <c r="AI671">
        <v>0</v>
      </c>
      <c r="AJ671">
        <v>0</v>
      </c>
      <c r="AK671">
        <v>0</v>
      </c>
      <c r="AL671" t="s">
        <v>5702</v>
      </c>
      <c r="AM671" t="s">
        <v>5703</v>
      </c>
      <c r="AN671" t="s">
        <v>5704</v>
      </c>
      <c r="AO671" t="s">
        <v>12690</v>
      </c>
      <c r="AP671" t="s">
        <v>12691</v>
      </c>
      <c r="AQ671" t="s">
        <v>74</v>
      </c>
      <c r="AR671" t="s">
        <v>12692</v>
      </c>
      <c r="AS671" t="s">
        <v>12693</v>
      </c>
      <c r="AT671" t="s">
        <v>12439</v>
      </c>
      <c r="AU671">
        <v>2017</v>
      </c>
      <c r="AV671">
        <v>57</v>
      </c>
      <c r="AW671" t="s">
        <v>74</v>
      </c>
      <c r="AX671" t="s">
        <v>74</v>
      </c>
      <c r="AY671">
        <v>1</v>
      </c>
      <c r="AZ671" t="s">
        <v>74</v>
      </c>
      <c r="BA671" t="s">
        <v>12742</v>
      </c>
      <c r="BB671" t="s">
        <v>12743</v>
      </c>
      <c r="BC671" t="s">
        <v>12743</v>
      </c>
      <c r="BD671" t="s">
        <v>74</v>
      </c>
      <c r="BE671" t="s">
        <v>74</v>
      </c>
      <c r="BF671" t="s">
        <v>74</v>
      </c>
      <c r="BG671" t="s">
        <v>74</v>
      </c>
      <c r="BH671" t="s">
        <v>74</v>
      </c>
      <c r="BI671">
        <v>1</v>
      </c>
      <c r="BJ671" t="s">
        <v>555</v>
      </c>
      <c r="BK671" t="s">
        <v>354</v>
      </c>
      <c r="BL671" t="s">
        <v>555</v>
      </c>
      <c r="BM671" t="s">
        <v>12696</v>
      </c>
      <c r="BN671" t="s">
        <v>74</v>
      </c>
      <c r="BO671" t="s">
        <v>74</v>
      </c>
      <c r="BP671" t="s">
        <v>74</v>
      </c>
      <c r="BQ671" t="s">
        <v>74</v>
      </c>
      <c r="BR671" t="s">
        <v>106</v>
      </c>
      <c r="BS671" t="s">
        <v>12744</v>
      </c>
      <c r="BT671" t="str">
        <f>HYPERLINK("https%3A%2F%2Fwww.webofscience.com%2Fwos%2Fwoscc%2Ffull-record%2FWOS:000398668700564","View Full Record in Web of Science")</f>
        <v>View Full Record in Web of Science</v>
      </c>
    </row>
    <row r="672" spans="1:72" x14ac:dyDescent="0.15">
      <c r="A672" t="s">
        <v>72</v>
      </c>
      <c r="B672" t="s">
        <v>12745</v>
      </c>
      <c r="C672" t="s">
        <v>74</v>
      </c>
      <c r="D672" t="s">
        <v>74</v>
      </c>
      <c r="E672" t="s">
        <v>74</v>
      </c>
      <c r="F672" t="s">
        <v>12746</v>
      </c>
      <c r="G672" t="s">
        <v>74</v>
      </c>
      <c r="H672" t="s">
        <v>74</v>
      </c>
      <c r="I672" t="s">
        <v>12747</v>
      </c>
      <c r="J672" t="s">
        <v>12681</v>
      </c>
      <c r="K672" t="s">
        <v>74</v>
      </c>
      <c r="L672" t="s">
        <v>74</v>
      </c>
      <c r="M672" t="s">
        <v>78</v>
      </c>
      <c r="N672" t="s">
        <v>52</v>
      </c>
      <c r="O672" t="s">
        <v>12682</v>
      </c>
      <c r="P672" t="s">
        <v>12683</v>
      </c>
      <c r="Q672" t="s">
        <v>12684</v>
      </c>
      <c r="R672" t="s">
        <v>74</v>
      </c>
      <c r="S672" t="s">
        <v>74</v>
      </c>
      <c r="T672" t="s">
        <v>74</v>
      </c>
      <c r="U672" t="s">
        <v>74</v>
      </c>
      <c r="V672" t="s">
        <v>74</v>
      </c>
      <c r="W672" t="s">
        <v>12748</v>
      </c>
      <c r="X672" t="s">
        <v>12749</v>
      </c>
      <c r="Y672" t="s">
        <v>74</v>
      </c>
      <c r="Z672" t="s">
        <v>12750</v>
      </c>
      <c r="AA672" t="s">
        <v>12751</v>
      </c>
      <c r="AB672" t="s">
        <v>74</v>
      </c>
      <c r="AC672" t="s">
        <v>74</v>
      </c>
      <c r="AD672" t="s">
        <v>74</v>
      </c>
      <c r="AE672" t="s">
        <v>74</v>
      </c>
      <c r="AF672" t="s">
        <v>74</v>
      </c>
      <c r="AG672">
        <v>0</v>
      </c>
      <c r="AH672">
        <v>0</v>
      </c>
      <c r="AI672">
        <v>0</v>
      </c>
      <c r="AJ672">
        <v>0</v>
      </c>
      <c r="AK672">
        <v>4</v>
      </c>
      <c r="AL672" t="s">
        <v>5702</v>
      </c>
      <c r="AM672" t="s">
        <v>5703</v>
      </c>
      <c r="AN672" t="s">
        <v>5704</v>
      </c>
      <c r="AO672" t="s">
        <v>12690</v>
      </c>
      <c r="AP672" t="s">
        <v>12691</v>
      </c>
      <c r="AQ672" t="s">
        <v>74</v>
      </c>
      <c r="AR672" t="s">
        <v>12692</v>
      </c>
      <c r="AS672" t="s">
        <v>12693</v>
      </c>
      <c r="AT672" t="s">
        <v>12439</v>
      </c>
      <c r="AU672">
        <v>2017</v>
      </c>
      <c r="AV672">
        <v>57</v>
      </c>
      <c r="AW672" t="s">
        <v>74</v>
      </c>
      <c r="AX672" t="s">
        <v>74</v>
      </c>
      <c r="AY672">
        <v>1</v>
      </c>
      <c r="AZ672" t="s">
        <v>74</v>
      </c>
      <c r="BA672" t="s">
        <v>12752</v>
      </c>
      <c r="BB672" t="s">
        <v>12753</v>
      </c>
      <c r="BC672" t="s">
        <v>12753</v>
      </c>
      <c r="BD672" t="s">
        <v>74</v>
      </c>
      <c r="BE672" t="s">
        <v>74</v>
      </c>
      <c r="BF672" t="s">
        <v>74</v>
      </c>
      <c r="BG672" t="s">
        <v>74</v>
      </c>
      <c r="BH672" t="s">
        <v>74</v>
      </c>
      <c r="BI672">
        <v>1</v>
      </c>
      <c r="BJ672" t="s">
        <v>555</v>
      </c>
      <c r="BK672" t="s">
        <v>354</v>
      </c>
      <c r="BL672" t="s">
        <v>555</v>
      </c>
      <c r="BM672" t="s">
        <v>12696</v>
      </c>
      <c r="BN672" t="s">
        <v>74</v>
      </c>
      <c r="BO672" t="s">
        <v>74</v>
      </c>
      <c r="BP672" t="s">
        <v>74</v>
      </c>
      <c r="BQ672" t="s">
        <v>74</v>
      </c>
      <c r="BR672" t="s">
        <v>106</v>
      </c>
      <c r="BS672" t="s">
        <v>12754</v>
      </c>
      <c r="BT672" t="str">
        <f>HYPERLINK("https%3A%2F%2Fwww.webofscience.com%2Fwos%2Fwoscc%2Ffull-record%2FWOS:000398668700587","View Full Record in Web of Science")</f>
        <v>View Full Record in Web of Science</v>
      </c>
    </row>
    <row r="673" spans="1:72" x14ac:dyDescent="0.15">
      <c r="A673" t="s">
        <v>72</v>
      </c>
      <c r="B673" t="s">
        <v>12755</v>
      </c>
      <c r="C673" t="s">
        <v>74</v>
      </c>
      <c r="D673" t="s">
        <v>74</v>
      </c>
      <c r="E673" t="s">
        <v>74</v>
      </c>
      <c r="F673" t="s">
        <v>12756</v>
      </c>
      <c r="G673" t="s">
        <v>74</v>
      </c>
      <c r="H673" t="s">
        <v>74</v>
      </c>
      <c r="I673" t="s">
        <v>12757</v>
      </c>
      <c r="J673" t="s">
        <v>12681</v>
      </c>
      <c r="K673" t="s">
        <v>74</v>
      </c>
      <c r="L673" t="s">
        <v>74</v>
      </c>
      <c r="M673" t="s">
        <v>78</v>
      </c>
      <c r="N673" t="s">
        <v>52</v>
      </c>
      <c r="O673" t="s">
        <v>12682</v>
      </c>
      <c r="P673" t="s">
        <v>12683</v>
      </c>
      <c r="Q673" t="s">
        <v>12684</v>
      </c>
      <c r="R673" t="s">
        <v>74</v>
      </c>
      <c r="S673" t="s">
        <v>74</v>
      </c>
      <c r="T673" t="s">
        <v>74</v>
      </c>
      <c r="U673" t="s">
        <v>74</v>
      </c>
      <c r="V673" t="s">
        <v>74</v>
      </c>
      <c r="W673" t="s">
        <v>12758</v>
      </c>
      <c r="X673" t="s">
        <v>12759</v>
      </c>
      <c r="Y673" t="s">
        <v>74</v>
      </c>
      <c r="Z673" t="s">
        <v>12760</v>
      </c>
      <c r="AA673" t="s">
        <v>74</v>
      </c>
      <c r="AB673" t="s">
        <v>74</v>
      </c>
      <c r="AC673" t="s">
        <v>74</v>
      </c>
      <c r="AD673" t="s">
        <v>74</v>
      </c>
      <c r="AE673" t="s">
        <v>74</v>
      </c>
      <c r="AF673" t="s">
        <v>74</v>
      </c>
      <c r="AG673">
        <v>0</v>
      </c>
      <c r="AH673">
        <v>0</v>
      </c>
      <c r="AI673">
        <v>0</v>
      </c>
      <c r="AJ673">
        <v>0</v>
      </c>
      <c r="AK673">
        <v>5</v>
      </c>
      <c r="AL673" t="s">
        <v>5702</v>
      </c>
      <c r="AM673" t="s">
        <v>5703</v>
      </c>
      <c r="AN673" t="s">
        <v>5704</v>
      </c>
      <c r="AO673" t="s">
        <v>12690</v>
      </c>
      <c r="AP673" t="s">
        <v>12691</v>
      </c>
      <c r="AQ673" t="s">
        <v>74</v>
      </c>
      <c r="AR673" t="s">
        <v>12692</v>
      </c>
      <c r="AS673" t="s">
        <v>12693</v>
      </c>
      <c r="AT673" t="s">
        <v>12439</v>
      </c>
      <c r="AU673">
        <v>2017</v>
      </c>
      <c r="AV673">
        <v>57</v>
      </c>
      <c r="AW673" t="s">
        <v>74</v>
      </c>
      <c r="AX673" t="s">
        <v>74</v>
      </c>
      <c r="AY673">
        <v>1</v>
      </c>
      <c r="AZ673" t="s">
        <v>74</v>
      </c>
      <c r="BA673" t="s">
        <v>12761</v>
      </c>
      <c r="BB673" t="s">
        <v>12762</v>
      </c>
      <c r="BC673" t="s">
        <v>12762</v>
      </c>
      <c r="BD673" t="s">
        <v>74</v>
      </c>
      <c r="BE673" t="s">
        <v>74</v>
      </c>
      <c r="BF673" t="s">
        <v>74</v>
      </c>
      <c r="BG673" t="s">
        <v>74</v>
      </c>
      <c r="BH673" t="s">
        <v>74</v>
      </c>
      <c r="BI673">
        <v>1</v>
      </c>
      <c r="BJ673" t="s">
        <v>555</v>
      </c>
      <c r="BK673" t="s">
        <v>354</v>
      </c>
      <c r="BL673" t="s">
        <v>555</v>
      </c>
      <c r="BM673" t="s">
        <v>12696</v>
      </c>
      <c r="BN673" t="s">
        <v>74</v>
      </c>
      <c r="BO673" t="s">
        <v>74</v>
      </c>
      <c r="BP673" t="s">
        <v>74</v>
      </c>
      <c r="BQ673" t="s">
        <v>74</v>
      </c>
      <c r="BR673" t="s">
        <v>106</v>
      </c>
      <c r="BS673" t="s">
        <v>12763</v>
      </c>
      <c r="BT673" t="str">
        <f>HYPERLINK("https%3A%2F%2Fwww.webofscience.com%2Fwos%2Fwoscc%2Ffull-record%2FWOS:000398668702335","View Full Record in Web of Science")</f>
        <v>View Full Record in Web of Science</v>
      </c>
    </row>
    <row r="674" spans="1:72" x14ac:dyDescent="0.15">
      <c r="A674" t="s">
        <v>72</v>
      </c>
      <c r="B674" t="s">
        <v>12764</v>
      </c>
      <c r="C674" t="s">
        <v>74</v>
      </c>
      <c r="D674" t="s">
        <v>74</v>
      </c>
      <c r="E674" t="s">
        <v>74</v>
      </c>
      <c r="F674" t="s">
        <v>12765</v>
      </c>
      <c r="G674" t="s">
        <v>74</v>
      </c>
      <c r="H674" t="s">
        <v>74</v>
      </c>
      <c r="I674" t="s">
        <v>12766</v>
      </c>
      <c r="J674" t="s">
        <v>895</v>
      </c>
      <c r="K674" t="s">
        <v>74</v>
      </c>
      <c r="L674" t="s">
        <v>74</v>
      </c>
      <c r="M674" t="s">
        <v>78</v>
      </c>
      <c r="N674" t="s">
        <v>333</v>
      </c>
      <c r="O674" t="s">
        <v>12767</v>
      </c>
      <c r="P674" t="s">
        <v>12768</v>
      </c>
      <c r="Q674" t="s">
        <v>12769</v>
      </c>
      <c r="R674" t="s">
        <v>74</v>
      </c>
      <c r="S674" t="s">
        <v>74</v>
      </c>
      <c r="T674" t="s">
        <v>12770</v>
      </c>
      <c r="U674" t="s">
        <v>12771</v>
      </c>
      <c r="V674" t="s">
        <v>12772</v>
      </c>
      <c r="W674" t="s">
        <v>12773</v>
      </c>
      <c r="X674" t="s">
        <v>12774</v>
      </c>
      <c r="Y674" t="s">
        <v>12775</v>
      </c>
      <c r="Z674" t="s">
        <v>12776</v>
      </c>
      <c r="AA674" t="s">
        <v>12777</v>
      </c>
      <c r="AB674" t="s">
        <v>12778</v>
      </c>
      <c r="AC674" t="s">
        <v>12779</v>
      </c>
      <c r="AD674" t="s">
        <v>12780</v>
      </c>
      <c r="AE674" t="s">
        <v>12781</v>
      </c>
      <c r="AF674" t="s">
        <v>74</v>
      </c>
      <c r="AG674">
        <v>65</v>
      </c>
      <c r="AH674">
        <v>15</v>
      </c>
      <c r="AI674">
        <v>16</v>
      </c>
      <c r="AJ674">
        <v>0</v>
      </c>
      <c r="AK674">
        <v>34</v>
      </c>
      <c r="AL674" t="s">
        <v>656</v>
      </c>
      <c r="AM674" t="s">
        <v>93</v>
      </c>
      <c r="AN674" t="s">
        <v>657</v>
      </c>
      <c r="AO674" t="s">
        <v>911</v>
      </c>
      <c r="AP674" t="s">
        <v>912</v>
      </c>
      <c r="AQ674" t="s">
        <v>74</v>
      </c>
      <c r="AR674" t="s">
        <v>913</v>
      </c>
      <c r="AS674" t="s">
        <v>914</v>
      </c>
      <c r="AT674" t="s">
        <v>12439</v>
      </c>
      <c r="AU674">
        <v>2017</v>
      </c>
      <c r="AV674">
        <v>137</v>
      </c>
      <c r="AW674" t="s">
        <v>74</v>
      </c>
      <c r="AX674" t="s">
        <v>74</v>
      </c>
      <c r="AY674" t="s">
        <v>74</v>
      </c>
      <c r="AZ674" t="s">
        <v>74</v>
      </c>
      <c r="BA674" t="s">
        <v>74</v>
      </c>
      <c r="BB674">
        <v>166</v>
      </c>
      <c r="BC674">
        <v>189</v>
      </c>
      <c r="BD674" t="s">
        <v>74</v>
      </c>
      <c r="BE674" t="s">
        <v>12782</v>
      </c>
      <c r="BF674" t="str">
        <f>HYPERLINK("http://dx.doi.org/10.1016/j.dsr2.2016.03.004","http://dx.doi.org/10.1016/j.dsr2.2016.03.004")</f>
        <v>http://dx.doi.org/10.1016/j.dsr2.2016.03.004</v>
      </c>
      <c r="BG674" t="s">
        <v>74</v>
      </c>
      <c r="BH674" t="s">
        <v>74</v>
      </c>
      <c r="BI674">
        <v>24</v>
      </c>
      <c r="BJ674" t="s">
        <v>127</v>
      </c>
      <c r="BK674" t="s">
        <v>354</v>
      </c>
      <c r="BL674" t="s">
        <v>127</v>
      </c>
      <c r="BM674" t="s">
        <v>12783</v>
      </c>
      <c r="BN674" t="s">
        <v>74</v>
      </c>
      <c r="BO674" t="s">
        <v>74</v>
      </c>
      <c r="BP674" t="s">
        <v>74</v>
      </c>
      <c r="BQ674" t="s">
        <v>74</v>
      </c>
      <c r="BR674" t="s">
        <v>106</v>
      </c>
      <c r="BS674" t="s">
        <v>12784</v>
      </c>
      <c r="BT674" t="str">
        <f>HYPERLINK("https%3A%2F%2Fwww.webofscience.com%2Fwos%2Fwoscc%2Ffull-record%2FWOS:000398749900014","View Full Record in Web of Science")</f>
        <v>View Full Record in Web of Science</v>
      </c>
    </row>
    <row r="675" spans="1:72" x14ac:dyDescent="0.15">
      <c r="A675" t="s">
        <v>72</v>
      </c>
      <c r="B675" t="s">
        <v>12785</v>
      </c>
      <c r="C675" t="s">
        <v>74</v>
      </c>
      <c r="D675" t="s">
        <v>74</v>
      </c>
      <c r="E675" t="s">
        <v>74</v>
      </c>
      <c r="F675" t="s">
        <v>12786</v>
      </c>
      <c r="G675" t="s">
        <v>74</v>
      </c>
      <c r="H675" t="s">
        <v>74</v>
      </c>
      <c r="I675" t="s">
        <v>12787</v>
      </c>
      <c r="J675" t="s">
        <v>389</v>
      </c>
      <c r="K675" t="s">
        <v>74</v>
      </c>
      <c r="L675" t="s">
        <v>74</v>
      </c>
      <c r="M675" t="s">
        <v>78</v>
      </c>
      <c r="N675" t="s">
        <v>79</v>
      </c>
      <c r="O675" t="s">
        <v>74</v>
      </c>
      <c r="P675" t="s">
        <v>74</v>
      </c>
      <c r="Q675" t="s">
        <v>74</v>
      </c>
      <c r="R675" t="s">
        <v>74</v>
      </c>
      <c r="S675" t="s">
        <v>74</v>
      </c>
      <c r="T675" t="s">
        <v>12788</v>
      </c>
      <c r="U675" t="s">
        <v>12789</v>
      </c>
      <c r="V675" t="s">
        <v>12790</v>
      </c>
      <c r="W675" t="s">
        <v>12791</v>
      </c>
      <c r="X675" t="s">
        <v>12792</v>
      </c>
      <c r="Y675" t="s">
        <v>12793</v>
      </c>
      <c r="Z675" t="s">
        <v>8740</v>
      </c>
      <c r="AA675" t="s">
        <v>8741</v>
      </c>
      <c r="AB675" t="s">
        <v>74</v>
      </c>
      <c r="AC675" t="s">
        <v>12794</v>
      </c>
      <c r="AD675" t="s">
        <v>12795</v>
      </c>
      <c r="AE675" t="s">
        <v>12796</v>
      </c>
      <c r="AF675" t="s">
        <v>74</v>
      </c>
      <c r="AG675">
        <v>29</v>
      </c>
      <c r="AH675">
        <v>7</v>
      </c>
      <c r="AI675">
        <v>7</v>
      </c>
      <c r="AJ675">
        <v>0</v>
      </c>
      <c r="AK675">
        <v>6</v>
      </c>
      <c r="AL675" t="s">
        <v>402</v>
      </c>
      <c r="AM675" t="s">
        <v>403</v>
      </c>
      <c r="AN675" t="s">
        <v>5114</v>
      </c>
      <c r="AO675" t="s">
        <v>405</v>
      </c>
      <c r="AP675" t="s">
        <v>406</v>
      </c>
      <c r="AQ675" t="s">
        <v>74</v>
      </c>
      <c r="AR675" t="s">
        <v>407</v>
      </c>
      <c r="AS675" t="s">
        <v>408</v>
      </c>
      <c r="AT675" t="s">
        <v>12439</v>
      </c>
      <c r="AU675">
        <v>2017</v>
      </c>
      <c r="AV675">
        <v>67</v>
      </c>
      <c r="AW675">
        <v>3</v>
      </c>
      <c r="AX675" t="s">
        <v>74</v>
      </c>
      <c r="AY675" t="s">
        <v>74</v>
      </c>
      <c r="AZ675" t="s">
        <v>74</v>
      </c>
      <c r="BA675" t="s">
        <v>74</v>
      </c>
      <c r="BB675">
        <v>664</v>
      </c>
      <c r="BC675">
        <v>669</v>
      </c>
      <c r="BD675" t="s">
        <v>74</v>
      </c>
      <c r="BE675" t="s">
        <v>12797</v>
      </c>
      <c r="BF675" t="str">
        <f>HYPERLINK("http://dx.doi.org/10.1099/ijsem.0.001690","http://dx.doi.org/10.1099/ijsem.0.001690")</f>
        <v>http://dx.doi.org/10.1099/ijsem.0.001690</v>
      </c>
      <c r="BG675" t="s">
        <v>74</v>
      </c>
      <c r="BH675" t="s">
        <v>74</v>
      </c>
      <c r="BI675">
        <v>6</v>
      </c>
      <c r="BJ675" t="s">
        <v>410</v>
      </c>
      <c r="BK675" t="s">
        <v>103</v>
      </c>
      <c r="BL675" t="s">
        <v>410</v>
      </c>
      <c r="BM675" t="s">
        <v>12798</v>
      </c>
      <c r="BN675">
        <v>27902275</v>
      </c>
      <c r="BO675" t="s">
        <v>412</v>
      </c>
      <c r="BP675" t="s">
        <v>74</v>
      </c>
      <c r="BQ675" t="s">
        <v>74</v>
      </c>
      <c r="BR675" t="s">
        <v>106</v>
      </c>
      <c r="BS675" t="s">
        <v>12799</v>
      </c>
      <c r="BT675" t="str">
        <f>HYPERLINK("https%3A%2F%2Fwww.webofscience.com%2Fwos%2Fwoscc%2Ffull-record%2FWOS:000399232900022","View Full Record in Web of Science")</f>
        <v>View Full Record in Web of Science</v>
      </c>
    </row>
    <row r="676" spans="1:72" x14ac:dyDescent="0.15">
      <c r="A676" t="s">
        <v>72</v>
      </c>
      <c r="B676" t="s">
        <v>12800</v>
      </c>
      <c r="C676" t="s">
        <v>74</v>
      </c>
      <c r="D676" t="s">
        <v>74</v>
      </c>
      <c r="E676" t="s">
        <v>74</v>
      </c>
      <c r="F676" t="s">
        <v>12801</v>
      </c>
      <c r="G676" t="s">
        <v>74</v>
      </c>
      <c r="H676" t="s">
        <v>74</v>
      </c>
      <c r="I676" t="s">
        <v>12802</v>
      </c>
      <c r="J676" t="s">
        <v>6747</v>
      </c>
      <c r="K676" t="s">
        <v>74</v>
      </c>
      <c r="L676" t="s">
        <v>74</v>
      </c>
      <c r="M676" t="s">
        <v>78</v>
      </c>
      <c r="N676" t="s">
        <v>79</v>
      </c>
      <c r="O676" t="s">
        <v>74</v>
      </c>
      <c r="P676" t="s">
        <v>74</v>
      </c>
      <c r="Q676" t="s">
        <v>74</v>
      </c>
      <c r="R676" t="s">
        <v>74</v>
      </c>
      <c r="S676" t="s">
        <v>74</v>
      </c>
      <c r="T676" t="s">
        <v>12803</v>
      </c>
      <c r="U676" t="s">
        <v>12804</v>
      </c>
      <c r="V676" t="s">
        <v>12805</v>
      </c>
      <c r="W676" t="s">
        <v>12806</v>
      </c>
      <c r="X676" t="s">
        <v>12807</v>
      </c>
      <c r="Y676" t="s">
        <v>12808</v>
      </c>
      <c r="Z676" t="s">
        <v>12809</v>
      </c>
      <c r="AA676" t="s">
        <v>12810</v>
      </c>
      <c r="AB676" t="s">
        <v>12811</v>
      </c>
      <c r="AC676" t="s">
        <v>12812</v>
      </c>
      <c r="AD676" t="s">
        <v>12813</v>
      </c>
      <c r="AE676" t="s">
        <v>12814</v>
      </c>
      <c r="AF676" t="s">
        <v>74</v>
      </c>
      <c r="AG676">
        <v>71</v>
      </c>
      <c r="AH676">
        <v>5</v>
      </c>
      <c r="AI676">
        <v>7</v>
      </c>
      <c r="AJ676">
        <v>1</v>
      </c>
      <c r="AK676">
        <v>16</v>
      </c>
      <c r="AL676" t="s">
        <v>222</v>
      </c>
      <c r="AM676" t="s">
        <v>223</v>
      </c>
      <c r="AN676" t="s">
        <v>224</v>
      </c>
      <c r="AO676" t="s">
        <v>6760</v>
      </c>
      <c r="AP676" t="s">
        <v>6761</v>
      </c>
      <c r="AQ676" t="s">
        <v>74</v>
      </c>
      <c r="AR676" t="s">
        <v>6762</v>
      </c>
      <c r="AS676" t="s">
        <v>6763</v>
      </c>
      <c r="AT676" t="s">
        <v>12439</v>
      </c>
      <c r="AU676">
        <v>2017</v>
      </c>
      <c r="AV676">
        <v>122</v>
      </c>
      <c r="AW676">
        <v>3</v>
      </c>
      <c r="AX676" t="s">
        <v>74</v>
      </c>
      <c r="AY676" t="s">
        <v>74</v>
      </c>
      <c r="AZ676" t="s">
        <v>74</v>
      </c>
      <c r="BA676" t="s">
        <v>74</v>
      </c>
      <c r="BB676">
        <v>641</v>
      </c>
      <c r="BC676">
        <v>653</v>
      </c>
      <c r="BD676" t="s">
        <v>74</v>
      </c>
      <c r="BE676" t="s">
        <v>12815</v>
      </c>
      <c r="BF676" t="str">
        <f>HYPERLINK("http://dx.doi.org/10.1002/2016JF004181","http://dx.doi.org/10.1002/2016JF004181")</f>
        <v>http://dx.doi.org/10.1002/2016JF004181</v>
      </c>
      <c r="BG676" t="s">
        <v>74</v>
      </c>
      <c r="BH676" t="s">
        <v>74</v>
      </c>
      <c r="BI676">
        <v>13</v>
      </c>
      <c r="BJ676" t="s">
        <v>437</v>
      </c>
      <c r="BK676" t="s">
        <v>103</v>
      </c>
      <c r="BL676" t="s">
        <v>438</v>
      </c>
      <c r="BM676" t="s">
        <v>12816</v>
      </c>
      <c r="BN676" t="s">
        <v>74</v>
      </c>
      <c r="BO676" t="s">
        <v>7751</v>
      </c>
      <c r="BP676" t="s">
        <v>74</v>
      </c>
      <c r="BQ676" t="s">
        <v>74</v>
      </c>
      <c r="BR676" t="s">
        <v>106</v>
      </c>
      <c r="BS676" t="s">
        <v>12817</v>
      </c>
      <c r="BT676" t="str">
        <f>HYPERLINK("https%3A%2F%2Fwww.webofscience.com%2Fwos%2Fwoscc%2Ffull-record%2FWOS:000399350400004","View Full Record in Web of Science")</f>
        <v>View Full Record in Web of Science</v>
      </c>
    </row>
    <row r="677" spans="1:72" x14ac:dyDescent="0.15">
      <c r="A677" t="s">
        <v>72</v>
      </c>
      <c r="B677" t="s">
        <v>12818</v>
      </c>
      <c r="C677" t="s">
        <v>74</v>
      </c>
      <c r="D677" t="s">
        <v>74</v>
      </c>
      <c r="E677" t="s">
        <v>74</v>
      </c>
      <c r="F677" t="s">
        <v>12819</v>
      </c>
      <c r="G677" t="s">
        <v>74</v>
      </c>
      <c r="H677" t="s">
        <v>74</v>
      </c>
      <c r="I677" t="s">
        <v>12820</v>
      </c>
      <c r="J677" t="s">
        <v>9176</v>
      </c>
      <c r="K677" t="s">
        <v>74</v>
      </c>
      <c r="L677" t="s">
        <v>74</v>
      </c>
      <c r="M677" t="s">
        <v>78</v>
      </c>
      <c r="N677" t="s">
        <v>79</v>
      </c>
      <c r="O677" t="s">
        <v>74</v>
      </c>
      <c r="P677" t="s">
        <v>74</v>
      </c>
      <c r="Q677" t="s">
        <v>74</v>
      </c>
      <c r="R677" t="s">
        <v>74</v>
      </c>
      <c r="S677" t="s">
        <v>74</v>
      </c>
      <c r="T677" t="s">
        <v>74</v>
      </c>
      <c r="U677" t="s">
        <v>12821</v>
      </c>
      <c r="V677" t="s">
        <v>12822</v>
      </c>
      <c r="W677" t="s">
        <v>12823</v>
      </c>
      <c r="X677" t="s">
        <v>12824</v>
      </c>
      <c r="Y677" t="s">
        <v>12825</v>
      </c>
      <c r="Z677" t="s">
        <v>12826</v>
      </c>
      <c r="AA677" t="s">
        <v>12827</v>
      </c>
      <c r="AB677" t="s">
        <v>12828</v>
      </c>
      <c r="AC677" t="s">
        <v>12829</v>
      </c>
      <c r="AD677" t="s">
        <v>12830</v>
      </c>
      <c r="AE677" t="s">
        <v>12831</v>
      </c>
      <c r="AF677" t="s">
        <v>74</v>
      </c>
      <c r="AG677">
        <v>33</v>
      </c>
      <c r="AH677">
        <v>31</v>
      </c>
      <c r="AI677">
        <v>34</v>
      </c>
      <c r="AJ677">
        <v>0</v>
      </c>
      <c r="AK677">
        <v>7</v>
      </c>
      <c r="AL677" t="s">
        <v>1115</v>
      </c>
      <c r="AM677" t="s">
        <v>1116</v>
      </c>
      <c r="AN677" t="s">
        <v>1117</v>
      </c>
      <c r="AO677" t="s">
        <v>9188</v>
      </c>
      <c r="AP677" t="s">
        <v>9189</v>
      </c>
      <c r="AQ677" t="s">
        <v>74</v>
      </c>
      <c r="AR677" t="s">
        <v>9190</v>
      </c>
      <c r="AS677" t="s">
        <v>9191</v>
      </c>
      <c r="AT677" t="s">
        <v>12439</v>
      </c>
      <c r="AU677">
        <v>2017</v>
      </c>
      <c r="AV677">
        <v>74</v>
      </c>
      <c r="AW677">
        <v>3</v>
      </c>
      <c r="AX677" t="s">
        <v>74</v>
      </c>
      <c r="AY677" t="s">
        <v>74</v>
      </c>
      <c r="AZ677" t="s">
        <v>74</v>
      </c>
      <c r="BA677" t="s">
        <v>74</v>
      </c>
      <c r="BB677">
        <v>783</v>
      </c>
      <c r="BC677">
        <v>800</v>
      </c>
      <c r="BD677" t="s">
        <v>74</v>
      </c>
      <c r="BE677" t="s">
        <v>12832</v>
      </c>
      <c r="BF677" t="str">
        <f>HYPERLINK("http://dx.doi.org/10.1175/JAS-D-16-0159.1","http://dx.doi.org/10.1175/JAS-D-16-0159.1")</f>
        <v>http://dx.doi.org/10.1175/JAS-D-16-0159.1</v>
      </c>
      <c r="BG677" t="s">
        <v>74</v>
      </c>
      <c r="BH677" t="s">
        <v>74</v>
      </c>
      <c r="BI677">
        <v>18</v>
      </c>
      <c r="BJ677" t="s">
        <v>1261</v>
      </c>
      <c r="BK677" t="s">
        <v>103</v>
      </c>
      <c r="BL677" t="s">
        <v>1261</v>
      </c>
      <c r="BM677" t="s">
        <v>12833</v>
      </c>
      <c r="BN677" t="s">
        <v>74</v>
      </c>
      <c r="BO677" t="s">
        <v>664</v>
      </c>
      <c r="BP677" t="s">
        <v>74</v>
      </c>
      <c r="BQ677" t="s">
        <v>74</v>
      </c>
      <c r="BR677" t="s">
        <v>106</v>
      </c>
      <c r="BS677" t="s">
        <v>12834</v>
      </c>
      <c r="BT677" t="str">
        <f>HYPERLINK("https%3A%2F%2Fwww.webofscience.com%2Fwos%2Fwoscc%2Ffull-record%2FWOS:000399332300004","View Full Record in Web of Science")</f>
        <v>View Full Record in Web of Science</v>
      </c>
    </row>
    <row r="678" spans="1:72" x14ac:dyDescent="0.15">
      <c r="A678" t="s">
        <v>72</v>
      </c>
      <c r="B678" t="s">
        <v>12835</v>
      </c>
      <c r="C678" t="s">
        <v>74</v>
      </c>
      <c r="D678" t="s">
        <v>74</v>
      </c>
      <c r="E678" t="s">
        <v>74</v>
      </c>
      <c r="F678" t="s">
        <v>12836</v>
      </c>
      <c r="G678" t="s">
        <v>74</v>
      </c>
      <c r="H678" t="s">
        <v>74</v>
      </c>
      <c r="I678" t="s">
        <v>12837</v>
      </c>
      <c r="J678" t="s">
        <v>2835</v>
      </c>
      <c r="K678" t="s">
        <v>74</v>
      </c>
      <c r="L678" t="s">
        <v>74</v>
      </c>
      <c r="M678" t="s">
        <v>78</v>
      </c>
      <c r="N678" t="s">
        <v>79</v>
      </c>
      <c r="O678" t="s">
        <v>74</v>
      </c>
      <c r="P678" t="s">
        <v>74</v>
      </c>
      <c r="Q678" t="s">
        <v>74</v>
      </c>
      <c r="R678" t="s">
        <v>74</v>
      </c>
      <c r="S678" t="s">
        <v>74</v>
      </c>
      <c r="T678" t="s">
        <v>74</v>
      </c>
      <c r="U678" t="s">
        <v>12838</v>
      </c>
      <c r="V678" t="s">
        <v>12839</v>
      </c>
      <c r="W678" t="s">
        <v>12840</v>
      </c>
      <c r="X678" t="s">
        <v>1525</v>
      </c>
      <c r="Y678" t="s">
        <v>12841</v>
      </c>
      <c r="Z678" t="s">
        <v>12842</v>
      </c>
      <c r="AA678" t="s">
        <v>12843</v>
      </c>
      <c r="AB678" t="s">
        <v>12844</v>
      </c>
      <c r="AC678" t="s">
        <v>12845</v>
      </c>
      <c r="AD678" t="s">
        <v>12845</v>
      </c>
      <c r="AE678" t="s">
        <v>12846</v>
      </c>
      <c r="AF678" t="s">
        <v>74</v>
      </c>
      <c r="AG678">
        <v>71</v>
      </c>
      <c r="AH678">
        <v>23</v>
      </c>
      <c r="AI678">
        <v>23</v>
      </c>
      <c r="AJ678">
        <v>0</v>
      </c>
      <c r="AK678">
        <v>11</v>
      </c>
      <c r="AL678" t="s">
        <v>222</v>
      </c>
      <c r="AM678" t="s">
        <v>223</v>
      </c>
      <c r="AN678" t="s">
        <v>224</v>
      </c>
      <c r="AO678" t="s">
        <v>2848</v>
      </c>
      <c r="AP678" t="s">
        <v>2849</v>
      </c>
      <c r="AQ678" t="s">
        <v>74</v>
      </c>
      <c r="AR678" t="s">
        <v>2835</v>
      </c>
      <c r="AS678" t="s">
        <v>2850</v>
      </c>
      <c r="AT678" t="s">
        <v>12439</v>
      </c>
      <c r="AU678">
        <v>2017</v>
      </c>
      <c r="AV678">
        <v>32</v>
      </c>
      <c r="AW678">
        <v>3</v>
      </c>
      <c r="AX678" t="s">
        <v>74</v>
      </c>
      <c r="AY678" t="s">
        <v>74</v>
      </c>
      <c r="AZ678" t="s">
        <v>74</v>
      </c>
      <c r="BA678" t="s">
        <v>74</v>
      </c>
      <c r="BB678">
        <v>304</v>
      </c>
      <c r="BC678">
        <v>317</v>
      </c>
      <c r="BD678" t="s">
        <v>74</v>
      </c>
      <c r="BE678" t="s">
        <v>12847</v>
      </c>
      <c r="BF678" t="str">
        <f>HYPERLINK("http://dx.doi.org/10.1002/2016PA002987","http://dx.doi.org/10.1002/2016PA002987")</f>
        <v>http://dx.doi.org/10.1002/2016PA002987</v>
      </c>
      <c r="BG678" t="s">
        <v>74</v>
      </c>
      <c r="BH678" t="s">
        <v>74</v>
      </c>
      <c r="BI678">
        <v>14</v>
      </c>
      <c r="BJ678" t="s">
        <v>2852</v>
      </c>
      <c r="BK678" t="s">
        <v>103</v>
      </c>
      <c r="BL678" t="s">
        <v>2853</v>
      </c>
      <c r="BM678" t="s">
        <v>12848</v>
      </c>
      <c r="BN678" t="s">
        <v>74</v>
      </c>
      <c r="BO678" t="s">
        <v>2390</v>
      </c>
      <c r="BP678" t="s">
        <v>74</v>
      </c>
      <c r="BQ678" t="s">
        <v>74</v>
      </c>
      <c r="BR678" t="s">
        <v>106</v>
      </c>
      <c r="BS678" t="s">
        <v>12849</v>
      </c>
      <c r="BT678" t="str">
        <f>HYPERLINK("https%3A%2F%2Fwww.webofscience.com%2Fwos%2Fwoscc%2Ffull-record%2FWOS:000399449100005","View Full Record in Web of Science")</f>
        <v>View Full Record in Web of Science</v>
      </c>
    </row>
    <row r="679" spans="1:72" x14ac:dyDescent="0.15">
      <c r="A679" t="s">
        <v>72</v>
      </c>
      <c r="B679" t="s">
        <v>12850</v>
      </c>
      <c r="C679" t="s">
        <v>74</v>
      </c>
      <c r="D679" t="s">
        <v>74</v>
      </c>
      <c r="E679" t="s">
        <v>74</v>
      </c>
      <c r="F679" t="s">
        <v>12851</v>
      </c>
      <c r="G679" t="s">
        <v>74</v>
      </c>
      <c r="H679" t="s">
        <v>74</v>
      </c>
      <c r="I679" t="s">
        <v>12852</v>
      </c>
      <c r="J679" t="s">
        <v>12853</v>
      </c>
      <c r="K679" t="s">
        <v>74</v>
      </c>
      <c r="L679" t="s">
        <v>74</v>
      </c>
      <c r="M679" t="s">
        <v>78</v>
      </c>
      <c r="N679" t="s">
        <v>79</v>
      </c>
      <c r="O679" t="s">
        <v>74</v>
      </c>
      <c r="P679" t="s">
        <v>74</v>
      </c>
      <c r="Q679" t="s">
        <v>74</v>
      </c>
      <c r="R679" t="s">
        <v>74</v>
      </c>
      <c r="S679" t="s">
        <v>74</v>
      </c>
      <c r="T679" t="s">
        <v>12854</v>
      </c>
      <c r="U679" t="s">
        <v>12855</v>
      </c>
      <c r="V679" t="s">
        <v>12856</v>
      </c>
      <c r="W679" t="s">
        <v>12857</v>
      </c>
      <c r="X679" t="s">
        <v>603</v>
      </c>
      <c r="Y679" t="s">
        <v>12858</v>
      </c>
      <c r="Z679" t="s">
        <v>12859</v>
      </c>
      <c r="AA679" t="s">
        <v>74</v>
      </c>
      <c r="AB679" t="s">
        <v>12860</v>
      </c>
      <c r="AC679" t="s">
        <v>12861</v>
      </c>
      <c r="AD679" t="s">
        <v>12861</v>
      </c>
      <c r="AE679" t="s">
        <v>12862</v>
      </c>
      <c r="AF679" t="s">
        <v>74</v>
      </c>
      <c r="AG679">
        <v>52</v>
      </c>
      <c r="AH679">
        <v>21</v>
      </c>
      <c r="AI679">
        <v>21</v>
      </c>
      <c r="AJ679">
        <v>0</v>
      </c>
      <c r="AK679">
        <v>9</v>
      </c>
      <c r="AL679" t="s">
        <v>12863</v>
      </c>
      <c r="AM679" t="s">
        <v>12864</v>
      </c>
      <c r="AN679" t="s">
        <v>12865</v>
      </c>
      <c r="AO679" t="s">
        <v>12866</v>
      </c>
      <c r="AP679" t="s">
        <v>12867</v>
      </c>
      <c r="AQ679" t="s">
        <v>74</v>
      </c>
      <c r="AR679" t="s">
        <v>12868</v>
      </c>
      <c r="AS679" t="s">
        <v>12869</v>
      </c>
      <c r="AT679" t="s">
        <v>12439</v>
      </c>
      <c r="AU679">
        <v>2017</v>
      </c>
      <c r="AV679">
        <v>38</v>
      </c>
      <c r="AW679">
        <v>1</v>
      </c>
      <c r="AX679" t="s">
        <v>74</v>
      </c>
      <c r="AY679" t="s">
        <v>74</v>
      </c>
      <c r="AZ679" t="s">
        <v>74</v>
      </c>
      <c r="BA679" t="s">
        <v>74</v>
      </c>
      <c r="BB679">
        <v>21</v>
      </c>
      <c r="BC679">
        <v>39</v>
      </c>
      <c r="BD679" t="s">
        <v>74</v>
      </c>
      <c r="BE679" t="s">
        <v>12870</v>
      </c>
      <c r="BF679" t="str">
        <f>HYPERLINK("http://dx.doi.org/10.1515/popore-2017-0003","http://dx.doi.org/10.1515/popore-2017-0003")</f>
        <v>http://dx.doi.org/10.1515/popore-2017-0003</v>
      </c>
      <c r="BG679" t="s">
        <v>74</v>
      </c>
      <c r="BH679" t="s">
        <v>74</v>
      </c>
      <c r="BI679">
        <v>19</v>
      </c>
      <c r="BJ679" t="s">
        <v>1693</v>
      </c>
      <c r="BK679" t="s">
        <v>103</v>
      </c>
      <c r="BL679" t="s">
        <v>270</v>
      </c>
      <c r="BM679" t="s">
        <v>12871</v>
      </c>
      <c r="BN679" t="s">
        <v>74</v>
      </c>
      <c r="BO679" t="s">
        <v>3617</v>
      </c>
      <c r="BP679" t="s">
        <v>74</v>
      </c>
      <c r="BQ679" t="s">
        <v>74</v>
      </c>
      <c r="BR679" t="s">
        <v>106</v>
      </c>
      <c r="BS679" t="s">
        <v>12872</v>
      </c>
      <c r="BT679" t="str">
        <f>HYPERLINK("https%3A%2F%2Fwww.webofscience.com%2Fwos%2Fwoscc%2Ffull-record%2FWOS:000399252800002","View Full Record in Web of Science")</f>
        <v>View Full Record in Web of Science</v>
      </c>
    </row>
    <row r="680" spans="1:72" x14ac:dyDescent="0.15">
      <c r="A680" t="s">
        <v>72</v>
      </c>
      <c r="B680" t="s">
        <v>12873</v>
      </c>
      <c r="C680" t="s">
        <v>74</v>
      </c>
      <c r="D680" t="s">
        <v>74</v>
      </c>
      <c r="E680" t="s">
        <v>74</v>
      </c>
      <c r="F680" t="s">
        <v>12874</v>
      </c>
      <c r="G680" t="s">
        <v>74</v>
      </c>
      <c r="H680" t="s">
        <v>74</v>
      </c>
      <c r="I680" t="s">
        <v>12875</v>
      </c>
      <c r="J680" t="s">
        <v>12853</v>
      </c>
      <c r="K680" t="s">
        <v>74</v>
      </c>
      <c r="L680" t="s">
        <v>74</v>
      </c>
      <c r="M680" t="s">
        <v>78</v>
      </c>
      <c r="N680" t="s">
        <v>79</v>
      </c>
      <c r="O680" t="s">
        <v>74</v>
      </c>
      <c r="P680" t="s">
        <v>74</v>
      </c>
      <c r="Q680" t="s">
        <v>74</v>
      </c>
      <c r="R680" t="s">
        <v>74</v>
      </c>
      <c r="S680" t="s">
        <v>74</v>
      </c>
      <c r="T680" t="s">
        <v>12876</v>
      </c>
      <c r="U680" t="s">
        <v>12877</v>
      </c>
      <c r="V680" t="s">
        <v>12878</v>
      </c>
      <c r="W680" t="s">
        <v>12879</v>
      </c>
      <c r="X680" t="s">
        <v>12880</v>
      </c>
      <c r="Y680" t="s">
        <v>12881</v>
      </c>
      <c r="Z680" t="s">
        <v>12882</v>
      </c>
      <c r="AA680" t="s">
        <v>74</v>
      </c>
      <c r="AB680" t="s">
        <v>12883</v>
      </c>
      <c r="AC680" t="s">
        <v>74</v>
      </c>
      <c r="AD680" t="s">
        <v>74</v>
      </c>
      <c r="AE680" t="s">
        <v>74</v>
      </c>
      <c r="AF680" t="s">
        <v>74</v>
      </c>
      <c r="AG680">
        <v>49</v>
      </c>
      <c r="AH680">
        <v>6</v>
      </c>
      <c r="AI680">
        <v>6</v>
      </c>
      <c r="AJ680">
        <v>0</v>
      </c>
      <c r="AK680">
        <v>26</v>
      </c>
      <c r="AL680" t="s">
        <v>12884</v>
      </c>
      <c r="AM680" t="s">
        <v>12864</v>
      </c>
      <c r="AN680" t="s">
        <v>12885</v>
      </c>
      <c r="AO680" t="s">
        <v>12866</v>
      </c>
      <c r="AP680" t="s">
        <v>12867</v>
      </c>
      <c r="AQ680" t="s">
        <v>74</v>
      </c>
      <c r="AR680" t="s">
        <v>12868</v>
      </c>
      <c r="AS680" t="s">
        <v>12869</v>
      </c>
      <c r="AT680" t="s">
        <v>12439</v>
      </c>
      <c r="AU680">
        <v>2017</v>
      </c>
      <c r="AV680">
        <v>38</v>
      </c>
      <c r="AW680">
        <v>1</v>
      </c>
      <c r="AX680" t="s">
        <v>74</v>
      </c>
      <c r="AY680" t="s">
        <v>74</v>
      </c>
      <c r="AZ680" t="s">
        <v>74</v>
      </c>
      <c r="BA680" t="s">
        <v>74</v>
      </c>
      <c r="BB680">
        <v>83</v>
      </c>
      <c r="BC680">
        <v>104</v>
      </c>
      <c r="BD680" t="s">
        <v>74</v>
      </c>
      <c r="BE680" t="s">
        <v>12886</v>
      </c>
      <c r="BF680" t="str">
        <f>HYPERLINK("http://dx.doi.org/10.1515/popore-2017-0001","http://dx.doi.org/10.1515/popore-2017-0001")</f>
        <v>http://dx.doi.org/10.1515/popore-2017-0001</v>
      </c>
      <c r="BG680" t="s">
        <v>74</v>
      </c>
      <c r="BH680" t="s">
        <v>74</v>
      </c>
      <c r="BI680">
        <v>22</v>
      </c>
      <c r="BJ680" t="s">
        <v>1693</v>
      </c>
      <c r="BK680" t="s">
        <v>103</v>
      </c>
      <c r="BL680" t="s">
        <v>270</v>
      </c>
      <c r="BM680" t="s">
        <v>12871</v>
      </c>
      <c r="BN680" t="s">
        <v>74</v>
      </c>
      <c r="BO680" t="s">
        <v>131</v>
      </c>
      <c r="BP680" t="s">
        <v>74</v>
      </c>
      <c r="BQ680" t="s">
        <v>74</v>
      </c>
      <c r="BR680" t="s">
        <v>106</v>
      </c>
      <c r="BS680" t="s">
        <v>12887</v>
      </c>
      <c r="BT680" t="str">
        <f>HYPERLINK("https%3A%2F%2Fwww.webofscience.com%2Fwos%2Fwoscc%2Ffull-record%2FWOS:000399252800005","View Full Record in Web of Science")</f>
        <v>View Full Record in Web of Science</v>
      </c>
    </row>
    <row r="681" spans="1:72" x14ac:dyDescent="0.15">
      <c r="A681" t="s">
        <v>72</v>
      </c>
      <c r="B681" t="s">
        <v>12888</v>
      </c>
      <c r="C681" t="s">
        <v>74</v>
      </c>
      <c r="D681" t="s">
        <v>74</v>
      </c>
      <c r="E681" t="s">
        <v>74</v>
      </c>
      <c r="F681" t="s">
        <v>12889</v>
      </c>
      <c r="G681" t="s">
        <v>74</v>
      </c>
      <c r="H681" t="s">
        <v>74</v>
      </c>
      <c r="I681" t="s">
        <v>12890</v>
      </c>
      <c r="J681" t="s">
        <v>12891</v>
      </c>
      <c r="K681" t="s">
        <v>74</v>
      </c>
      <c r="L681" t="s">
        <v>74</v>
      </c>
      <c r="M681" t="s">
        <v>78</v>
      </c>
      <c r="N681" t="s">
        <v>79</v>
      </c>
      <c r="O681" t="s">
        <v>74</v>
      </c>
      <c r="P681" t="s">
        <v>74</v>
      </c>
      <c r="Q681" t="s">
        <v>74</v>
      </c>
      <c r="R681" t="s">
        <v>74</v>
      </c>
      <c r="S681" t="s">
        <v>74</v>
      </c>
      <c r="T681" t="s">
        <v>12892</v>
      </c>
      <c r="U681" t="s">
        <v>12893</v>
      </c>
      <c r="V681" t="s">
        <v>12894</v>
      </c>
      <c r="W681" t="s">
        <v>12895</v>
      </c>
      <c r="X681" t="s">
        <v>12896</v>
      </c>
      <c r="Y681" t="s">
        <v>12897</v>
      </c>
      <c r="Z681" t="s">
        <v>12898</v>
      </c>
      <c r="AA681" t="s">
        <v>74</v>
      </c>
      <c r="AB681" t="s">
        <v>12899</v>
      </c>
      <c r="AC681" t="s">
        <v>74</v>
      </c>
      <c r="AD681" t="s">
        <v>74</v>
      </c>
      <c r="AE681" t="s">
        <v>74</v>
      </c>
      <c r="AF681" t="s">
        <v>74</v>
      </c>
      <c r="AG681">
        <v>47</v>
      </c>
      <c r="AH681">
        <v>3</v>
      </c>
      <c r="AI681">
        <v>3</v>
      </c>
      <c r="AJ681">
        <v>0</v>
      </c>
      <c r="AK681">
        <v>8</v>
      </c>
      <c r="AL681" t="s">
        <v>611</v>
      </c>
      <c r="AM681" t="s">
        <v>612</v>
      </c>
      <c r="AN681" t="s">
        <v>613</v>
      </c>
      <c r="AO681" t="s">
        <v>74</v>
      </c>
      <c r="AP681" t="s">
        <v>12900</v>
      </c>
      <c r="AQ681" t="s">
        <v>74</v>
      </c>
      <c r="AR681" t="s">
        <v>12891</v>
      </c>
      <c r="AS681" t="s">
        <v>12901</v>
      </c>
      <c r="AT681" t="s">
        <v>12439</v>
      </c>
      <c r="AU681">
        <v>2017</v>
      </c>
      <c r="AV681">
        <v>5</v>
      </c>
      <c r="AW681">
        <v>1</v>
      </c>
      <c r="AX681" t="s">
        <v>74</v>
      </c>
      <c r="AY681" t="s">
        <v>74</v>
      </c>
      <c r="AZ681" t="s">
        <v>74</v>
      </c>
      <c r="BA681" t="s">
        <v>74</v>
      </c>
      <c r="BB681" t="s">
        <v>74</v>
      </c>
      <c r="BC681" t="s">
        <v>74</v>
      </c>
      <c r="BD681">
        <v>17</v>
      </c>
      <c r="BE681" t="s">
        <v>12902</v>
      </c>
      <c r="BF681" t="str">
        <f>HYPERLINK("http://dx.doi.org/10.3390/cli5010017","http://dx.doi.org/10.3390/cli5010017")</f>
        <v>http://dx.doi.org/10.3390/cli5010017</v>
      </c>
      <c r="BG681" t="s">
        <v>74</v>
      </c>
      <c r="BH681" t="s">
        <v>74</v>
      </c>
      <c r="BI681">
        <v>13</v>
      </c>
      <c r="BJ681" t="s">
        <v>1261</v>
      </c>
      <c r="BK681" t="s">
        <v>1794</v>
      </c>
      <c r="BL681" t="s">
        <v>1261</v>
      </c>
      <c r="BM681" t="s">
        <v>12903</v>
      </c>
      <c r="BN681" t="s">
        <v>74</v>
      </c>
      <c r="BO681" t="s">
        <v>3617</v>
      </c>
      <c r="BP681" t="s">
        <v>74</v>
      </c>
      <c r="BQ681" t="s">
        <v>74</v>
      </c>
      <c r="BR681" t="s">
        <v>106</v>
      </c>
      <c r="BS681" t="s">
        <v>12904</v>
      </c>
      <c r="BT681" t="str">
        <f>HYPERLINK("https%3A%2F%2Fwww.webofscience.com%2Fwos%2Fwoscc%2Ffull-record%2FWOS:000398698500016","View Full Record in Web of Science")</f>
        <v>View Full Record in Web of Science</v>
      </c>
    </row>
    <row r="682" spans="1:72" x14ac:dyDescent="0.15">
      <c r="A682" t="s">
        <v>72</v>
      </c>
      <c r="B682" t="s">
        <v>12905</v>
      </c>
      <c r="C682" t="s">
        <v>74</v>
      </c>
      <c r="D682" t="s">
        <v>74</v>
      </c>
      <c r="E682" t="s">
        <v>74</v>
      </c>
      <c r="F682" t="s">
        <v>12906</v>
      </c>
      <c r="G682" t="s">
        <v>74</v>
      </c>
      <c r="H682" t="s">
        <v>74</v>
      </c>
      <c r="I682" t="s">
        <v>12907</v>
      </c>
      <c r="J682" t="s">
        <v>598</v>
      </c>
      <c r="K682" t="s">
        <v>74</v>
      </c>
      <c r="L682" t="s">
        <v>74</v>
      </c>
      <c r="M682" t="s">
        <v>78</v>
      </c>
      <c r="N682" t="s">
        <v>79</v>
      </c>
      <c r="O682" t="s">
        <v>74</v>
      </c>
      <c r="P682" t="s">
        <v>74</v>
      </c>
      <c r="Q682" t="s">
        <v>74</v>
      </c>
      <c r="R682" t="s">
        <v>74</v>
      </c>
      <c r="S682" t="s">
        <v>74</v>
      </c>
      <c r="T682" t="s">
        <v>12908</v>
      </c>
      <c r="U682" t="s">
        <v>12909</v>
      </c>
      <c r="V682" t="s">
        <v>12910</v>
      </c>
      <c r="W682" t="s">
        <v>12911</v>
      </c>
      <c r="X682" t="s">
        <v>12912</v>
      </c>
      <c r="Y682" t="s">
        <v>12913</v>
      </c>
      <c r="Z682" t="s">
        <v>12914</v>
      </c>
      <c r="AA682" t="s">
        <v>74</v>
      </c>
      <c r="AB682" t="s">
        <v>12915</v>
      </c>
      <c r="AC682" t="s">
        <v>12916</v>
      </c>
      <c r="AD682" t="s">
        <v>12917</v>
      </c>
      <c r="AE682" t="s">
        <v>12918</v>
      </c>
      <c r="AF682" t="s">
        <v>74</v>
      </c>
      <c r="AG682">
        <v>60</v>
      </c>
      <c r="AH682">
        <v>9</v>
      </c>
      <c r="AI682">
        <v>9</v>
      </c>
      <c r="AJ682">
        <v>3</v>
      </c>
      <c r="AK682">
        <v>20</v>
      </c>
      <c r="AL682" t="s">
        <v>611</v>
      </c>
      <c r="AM682" t="s">
        <v>612</v>
      </c>
      <c r="AN682" t="s">
        <v>613</v>
      </c>
      <c r="AO682" t="s">
        <v>74</v>
      </c>
      <c r="AP682" t="s">
        <v>614</v>
      </c>
      <c r="AQ682" t="s">
        <v>74</v>
      </c>
      <c r="AR682" t="s">
        <v>615</v>
      </c>
      <c r="AS682" t="s">
        <v>616</v>
      </c>
      <c r="AT682" t="s">
        <v>12439</v>
      </c>
      <c r="AU682">
        <v>2017</v>
      </c>
      <c r="AV682">
        <v>9</v>
      </c>
      <c r="AW682">
        <v>3</v>
      </c>
      <c r="AX682" t="s">
        <v>74</v>
      </c>
      <c r="AY682" t="s">
        <v>74</v>
      </c>
      <c r="AZ682" t="s">
        <v>74</v>
      </c>
      <c r="BA682" t="s">
        <v>74</v>
      </c>
      <c r="BB682" t="s">
        <v>74</v>
      </c>
      <c r="BC682" t="s">
        <v>74</v>
      </c>
      <c r="BD682">
        <v>210</v>
      </c>
      <c r="BE682" t="s">
        <v>12919</v>
      </c>
      <c r="BF682" t="str">
        <f>HYPERLINK("http://dx.doi.org/10.3390/rs9030210","http://dx.doi.org/10.3390/rs9030210")</f>
        <v>http://dx.doi.org/10.3390/rs9030210</v>
      </c>
      <c r="BG682" t="s">
        <v>74</v>
      </c>
      <c r="BH682" t="s">
        <v>74</v>
      </c>
      <c r="BI682">
        <v>15</v>
      </c>
      <c r="BJ682" t="s">
        <v>618</v>
      </c>
      <c r="BK682" t="s">
        <v>103</v>
      </c>
      <c r="BL682" t="s">
        <v>619</v>
      </c>
      <c r="BM682" t="s">
        <v>12920</v>
      </c>
      <c r="BN682" t="s">
        <v>74</v>
      </c>
      <c r="BO682" t="s">
        <v>12921</v>
      </c>
      <c r="BP682" t="s">
        <v>74</v>
      </c>
      <c r="BQ682" t="s">
        <v>74</v>
      </c>
      <c r="BR682" t="s">
        <v>106</v>
      </c>
      <c r="BS682" t="s">
        <v>12922</v>
      </c>
      <c r="BT682" t="str">
        <f>HYPERLINK("https%3A%2F%2Fwww.webofscience.com%2Fwos%2Fwoscc%2Ffull-record%2FWOS:000398720100024","View Full Record in Web of Science")</f>
        <v>View Full Record in Web of Science</v>
      </c>
    </row>
    <row r="683" spans="1:72" x14ac:dyDescent="0.15">
      <c r="A683" t="s">
        <v>72</v>
      </c>
      <c r="B683" t="s">
        <v>12923</v>
      </c>
      <c r="C683" t="s">
        <v>74</v>
      </c>
      <c r="D683" t="s">
        <v>74</v>
      </c>
      <c r="E683" t="s">
        <v>74</v>
      </c>
      <c r="F683" t="s">
        <v>12924</v>
      </c>
      <c r="G683" t="s">
        <v>74</v>
      </c>
      <c r="H683" t="s">
        <v>74</v>
      </c>
      <c r="I683" t="s">
        <v>12925</v>
      </c>
      <c r="J683" t="s">
        <v>12926</v>
      </c>
      <c r="K683" t="s">
        <v>74</v>
      </c>
      <c r="L683" t="s">
        <v>74</v>
      </c>
      <c r="M683" t="s">
        <v>78</v>
      </c>
      <c r="N683" t="s">
        <v>79</v>
      </c>
      <c r="O683" t="s">
        <v>74</v>
      </c>
      <c r="P683" t="s">
        <v>74</v>
      </c>
      <c r="Q683" t="s">
        <v>74</v>
      </c>
      <c r="R683" t="s">
        <v>74</v>
      </c>
      <c r="S683" t="s">
        <v>74</v>
      </c>
      <c r="T683" t="s">
        <v>12927</v>
      </c>
      <c r="U683" t="s">
        <v>12928</v>
      </c>
      <c r="V683" t="s">
        <v>12929</v>
      </c>
      <c r="W683" t="s">
        <v>12930</v>
      </c>
      <c r="X683" t="s">
        <v>12931</v>
      </c>
      <c r="Y683" t="s">
        <v>12932</v>
      </c>
      <c r="Z683" t="s">
        <v>12933</v>
      </c>
      <c r="AA683" t="s">
        <v>74</v>
      </c>
      <c r="AB683" t="s">
        <v>74</v>
      </c>
      <c r="AC683" t="s">
        <v>12934</v>
      </c>
      <c r="AD683" t="s">
        <v>5244</v>
      </c>
      <c r="AE683" t="s">
        <v>12935</v>
      </c>
      <c r="AF683" t="s">
        <v>74</v>
      </c>
      <c r="AG683">
        <v>44</v>
      </c>
      <c r="AH683">
        <v>3</v>
      </c>
      <c r="AI683">
        <v>4</v>
      </c>
      <c r="AJ683">
        <v>1</v>
      </c>
      <c r="AK683">
        <v>9</v>
      </c>
      <c r="AL683" t="s">
        <v>429</v>
      </c>
      <c r="AM683" t="s">
        <v>430</v>
      </c>
      <c r="AN683" t="s">
        <v>431</v>
      </c>
      <c r="AO683" t="s">
        <v>12936</v>
      </c>
      <c r="AP683" t="s">
        <v>12937</v>
      </c>
      <c r="AQ683" t="s">
        <v>74</v>
      </c>
      <c r="AR683" t="s">
        <v>12938</v>
      </c>
      <c r="AS683" t="s">
        <v>12939</v>
      </c>
      <c r="AT683" t="s">
        <v>12439</v>
      </c>
      <c r="AU683">
        <v>2017</v>
      </c>
      <c r="AV683">
        <v>51</v>
      </c>
      <c r="AW683">
        <v>2</v>
      </c>
      <c r="AX683" t="s">
        <v>74</v>
      </c>
      <c r="AY683" t="s">
        <v>74</v>
      </c>
      <c r="AZ683" t="s">
        <v>74</v>
      </c>
      <c r="BA683" t="s">
        <v>74</v>
      </c>
      <c r="BB683">
        <v>104</v>
      </c>
      <c r="BC683">
        <v>120</v>
      </c>
      <c r="BD683" t="s">
        <v>74</v>
      </c>
      <c r="BE683" t="s">
        <v>12940</v>
      </c>
      <c r="BF683" t="str">
        <f>HYPERLINK("http://dx.doi.org/10.1134/S0038094617020022","http://dx.doi.org/10.1134/S0038094617020022")</f>
        <v>http://dx.doi.org/10.1134/S0038094617020022</v>
      </c>
      <c r="BG683" t="s">
        <v>74</v>
      </c>
      <c r="BH683" t="s">
        <v>74</v>
      </c>
      <c r="BI683">
        <v>17</v>
      </c>
      <c r="BJ683" t="s">
        <v>494</v>
      </c>
      <c r="BK683" t="s">
        <v>103</v>
      </c>
      <c r="BL683" t="s">
        <v>494</v>
      </c>
      <c r="BM683" t="s">
        <v>12941</v>
      </c>
      <c r="BN683" t="s">
        <v>74</v>
      </c>
      <c r="BO683" t="s">
        <v>74</v>
      </c>
      <c r="BP683" t="s">
        <v>74</v>
      </c>
      <c r="BQ683" t="s">
        <v>74</v>
      </c>
      <c r="BR683" t="s">
        <v>106</v>
      </c>
      <c r="BS683" t="s">
        <v>12942</v>
      </c>
      <c r="BT683" t="str">
        <f>HYPERLINK("https%3A%2F%2Fwww.webofscience.com%2Fwos%2Fwoscc%2Ffull-record%2FWOS:000398932100002","View Full Record in Web of Science")</f>
        <v>View Full Record in Web of Science</v>
      </c>
    </row>
    <row r="684" spans="1:72" x14ac:dyDescent="0.15">
      <c r="A684" t="s">
        <v>72</v>
      </c>
      <c r="B684" t="s">
        <v>12943</v>
      </c>
      <c r="C684" t="s">
        <v>74</v>
      </c>
      <c r="D684" t="s">
        <v>74</v>
      </c>
      <c r="E684" t="s">
        <v>74</v>
      </c>
      <c r="F684" t="s">
        <v>12944</v>
      </c>
      <c r="G684" t="s">
        <v>74</v>
      </c>
      <c r="H684" t="s">
        <v>74</v>
      </c>
      <c r="I684" t="s">
        <v>12945</v>
      </c>
      <c r="J684" t="s">
        <v>12946</v>
      </c>
      <c r="K684" t="s">
        <v>74</v>
      </c>
      <c r="L684" t="s">
        <v>74</v>
      </c>
      <c r="M684" t="s">
        <v>78</v>
      </c>
      <c r="N684" t="s">
        <v>79</v>
      </c>
      <c r="O684" t="s">
        <v>74</v>
      </c>
      <c r="P684" t="s">
        <v>74</v>
      </c>
      <c r="Q684" t="s">
        <v>74</v>
      </c>
      <c r="R684" t="s">
        <v>74</v>
      </c>
      <c r="S684" t="s">
        <v>74</v>
      </c>
      <c r="T684" t="s">
        <v>12947</v>
      </c>
      <c r="U684" t="s">
        <v>12948</v>
      </c>
      <c r="V684" t="s">
        <v>12949</v>
      </c>
      <c r="W684" t="s">
        <v>12950</v>
      </c>
      <c r="X684" t="s">
        <v>12951</v>
      </c>
      <c r="Y684" t="s">
        <v>12952</v>
      </c>
      <c r="Z684" t="s">
        <v>12953</v>
      </c>
      <c r="AA684" t="s">
        <v>12954</v>
      </c>
      <c r="AB684" t="s">
        <v>12955</v>
      </c>
      <c r="AC684" t="s">
        <v>12956</v>
      </c>
      <c r="AD684" t="s">
        <v>12957</v>
      </c>
      <c r="AE684" t="s">
        <v>12958</v>
      </c>
      <c r="AF684" t="s">
        <v>74</v>
      </c>
      <c r="AG684">
        <v>98</v>
      </c>
      <c r="AH684">
        <v>8</v>
      </c>
      <c r="AI684">
        <v>8</v>
      </c>
      <c r="AJ684">
        <v>0</v>
      </c>
      <c r="AK684">
        <v>21</v>
      </c>
      <c r="AL684" t="s">
        <v>2551</v>
      </c>
      <c r="AM684" t="s">
        <v>2552</v>
      </c>
      <c r="AN684" t="s">
        <v>2553</v>
      </c>
      <c r="AO684" t="s">
        <v>12959</v>
      </c>
      <c r="AP684" t="s">
        <v>12960</v>
      </c>
      <c r="AQ684" t="s">
        <v>74</v>
      </c>
      <c r="AR684" t="s">
        <v>12946</v>
      </c>
      <c r="AS684" t="s">
        <v>12961</v>
      </c>
      <c r="AT684" t="s">
        <v>12439</v>
      </c>
      <c r="AU684">
        <v>2017</v>
      </c>
      <c r="AV684">
        <v>5</v>
      </c>
      <c r="AW684">
        <v>1</v>
      </c>
      <c r="AX684" t="s">
        <v>74</v>
      </c>
      <c r="AY684" t="s">
        <v>74</v>
      </c>
      <c r="AZ684" t="s">
        <v>74</v>
      </c>
      <c r="BA684" t="s">
        <v>74</v>
      </c>
      <c r="BB684">
        <v>42</v>
      </c>
      <c r="BC684">
        <v>59</v>
      </c>
      <c r="BD684" t="s">
        <v>74</v>
      </c>
      <c r="BE684" t="s">
        <v>12962</v>
      </c>
      <c r="BF684" t="str">
        <f>HYPERLINK("http://dx.doi.org/10.1142/S2339547817500029","http://dx.doi.org/10.1142/S2339547817500029")</f>
        <v>http://dx.doi.org/10.1142/S2339547817500029</v>
      </c>
      <c r="BG684" t="s">
        <v>74</v>
      </c>
      <c r="BH684" t="s">
        <v>74</v>
      </c>
      <c r="BI684">
        <v>18</v>
      </c>
      <c r="BJ684" t="s">
        <v>12963</v>
      </c>
      <c r="BK684" t="s">
        <v>1794</v>
      </c>
      <c r="BL684" t="s">
        <v>3233</v>
      </c>
      <c r="BM684" t="s">
        <v>12964</v>
      </c>
      <c r="BN684">
        <v>28713851</v>
      </c>
      <c r="BO684" t="s">
        <v>1100</v>
      </c>
      <c r="BP684" t="s">
        <v>74</v>
      </c>
      <c r="BQ684" t="s">
        <v>74</v>
      </c>
      <c r="BR684" t="s">
        <v>106</v>
      </c>
      <c r="BS684" t="s">
        <v>12965</v>
      </c>
      <c r="BT684" t="str">
        <f>HYPERLINK("https%3A%2F%2Fwww.webofscience.com%2Fwos%2Fwoscc%2Ffull-record%2FWOS:000399162600005","View Full Record in Web of Science")</f>
        <v>View Full Record in Web of Science</v>
      </c>
    </row>
    <row r="685" spans="1:72" x14ac:dyDescent="0.15">
      <c r="A685" t="s">
        <v>72</v>
      </c>
      <c r="B685" t="s">
        <v>12966</v>
      </c>
      <c r="C685" t="s">
        <v>74</v>
      </c>
      <c r="D685" t="s">
        <v>74</v>
      </c>
      <c r="E685" t="s">
        <v>74</v>
      </c>
      <c r="F685" t="s">
        <v>12967</v>
      </c>
      <c r="G685" t="s">
        <v>74</v>
      </c>
      <c r="H685" t="s">
        <v>74</v>
      </c>
      <c r="I685" t="s">
        <v>12968</v>
      </c>
      <c r="J685" t="s">
        <v>12969</v>
      </c>
      <c r="K685" t="s">
        <v>74</v>
      </c>
      <c r="L685" t="s">
        <v>74</v>
      </c>
      <c r="M685" t="s">
        <v>78</v>
      </c>
      <c r="N685" t="s">
        <v>518</v>
      </c>
      <c r="O685" t="s">
        <v>74</v>
      </c>
      <c r="P685" t="s">
        <v>74</v>
      </c>
      <c r="Q685" t="s">
        <v>74</v>
      </c>
      <c r="R685" t="s">
        <v>74</v>
      </c>
      <c r="S685" t="s">
        <v>74</v>
      </c>
      <c r="T685" t="s">
        <v>12970</v>
      </c>
      <c r="U685" t="s">
        <v>12971</v>
      </c>
      <c r="V685" t="s">
        <v>12972</v>
      </c>
      <c r="W685" t="s">
        <v>12973</v>
      </c>
      <c r="X685" t="s">
        <v>12974</v>
      </c>
      <c r="Y685" t="s">
        <v>12975</v>
      </c>
      <c r="Z685" t="s">
        <v>12976</v>
      </c>
      <c r="AA685" t="s">
        <v>12977</v>
      </c>
      <c r="AB685" t="s">
        <v>12978</v>
      </c>
      <c r="AC685" t="s">
        <v>74</v>
      </c>
      <c r="AD685" t="s">
        <v>74</v>
      </c>
      <c r="AE685" t="s">
        <v>74</v>
      </c>
      <c r="AF685" t="s">
        <v>74</v>
      </c>
      <c r="AG685">
        <v>63</v>
      </c>
      <c r="AH685">
        <v>6</v>
      </c>
      <c r="AI685">
        <v>7</v>
      </c>
      <c r="AJ685">
        <v>1</v>
      </c>
      <c r="AK685">
        <v>28</v>
      </c>
      <c r="AL685" t="s">
        <v>12979</v>
      </c>
      <c r="AM685" t="s">
        <v>1587</v>
      </c>
      <c r="AN685" t="s">
        <v>1588</v>
      </c>
      <c r="AO685" t="s">
        <v>12980</v>
      </c>
      <c r="AP685" t="s">
        <v>12981</v>
      </c>
      <c r="AQ685" t="s">
        <v>74</v>
      </c>
      <c r="AR685" t="s">
        <v>12969</v>
      </c>
      <c r="AS685" t="s">
        <v>12982</v>
      </c>
      <c r="AT685" t="s">
        <v>12439</v>
      </c>
      <c r="AU685">
        <v>2017</v>
      </c>
      <c r="AV685">
        <v>95</v>
      </c>
      <c r="AW685">
        <v>3</v>
      </c>
      <c r="AX685" t="s">
        <v>74</v>
      </c>
      <c r="AY685" t="s">
        <v>74</v>
      </c>
      <c r="AZ685" t="s">
        <v>100</v>
      </c>
      <c r="BA685" t="s">
        <v>74</v>
      </c>
      <c r="BB685">
        <v>219</v>
      </c>
      <c r="BC685">
        <v>229</v>
      </c>
      <c r="BD685" t="s">
        <v>74</v>
      </c>
      <c r="BE685" t="s">
        <v>12983</v>
      </c>
      <c r="BF685" t="str">
        <f>HYPERLINK("http://dx.doi.org/10.1139/cjb-2016-0238","http://dx.doi.org/10.1139/cjb-2016-0238")</f>
        <v>http://dx.doi.org/10.1139/cjb-2016-0238</v>
      </c>
      <c r="BG685" t="s">
        <v>74</v>
      </c>
      <c r="BH685" t="s">
        <v>74</v>
      </c>
      <c r="BI685">
        <v>11</v>
      </c>
      <c r="BJ685" t="s">
        <v>102</v>
      </c>
      <c r="BK685" t="s">
        <v>103</v>
      </c>
      <c r="BL685" t="s">
        <v>102</v>
      </c>
      <c r="BM685" t="s">
        <v>12984</v>
      </c>
      <c r="BN685" t="s">
        <v>74</v>
      </c>
      <c r="BO685" t="s">
        <v>74</v>
      </c>
      <c r="BP685" t="s">
        <v>74</v>
      </c>
      <c r="BQ685" t="s">
        <v>74</v>
      </c>
      <c r="BR685" t="s">
        <v>106</v>
      </c>
      <c r="BS685" t="s">
        <v>12985</v>
      </c>
      <c r="BT685" t="str">
        <f>HYPERLINK("https%3A%2F%2Fwww.webofscience.com%2Fwos%2Fwoscc%2Ffull-record%2FWOS:000398183500003","View Full Record in Web of Science")</f>
        <v>View Full Record in Web of Science</v>
      </c>
    </row>
    <row r="686" spans="1:72" x14ac:dyDescent="0.15">
      <c r="A686" t="s">
        <v>72</v>
      </c>
      <c r="B686" t="s">
        <v>12986</v>
      </c>
      <c r="C686" t="s">
        <v>74</v>
      </c>
      <c r="D686" t="s">
        <v>74</v>
      </c>
      <c r="E686" t="s">
        <v>74</v>
      </c>
      <c r="F686" t="s">
        <v>12987</v>
      </c>
      <c r="G686" t="s">
        <v>74</v>
      </c>
      <c r="H686" t="s">
        <v>74</v>
      </c>
      <c r="I686" t="s">
        <v>12988</v>
      </c>
      <c r="J686" t="s">
        <v>8560</v>
      </c>
      <c r="K686" t="s">
        <v>74</v>
      </c>
      <c r="L686" t="s">
        <v>74</v>
      </c>
      <c r="M686" t="s">
        <v>78</v>
      </c>
      <c r="N686" t="s">
        <v>518</v>
      </c>
      <c r="O686" t="s">
        <v>74</v>
      </c>
      <c r="P686" t="s">
        <v>74</v>
      </c>
      <c r="Q686" t="s">
        <v>74</v>
      </c>
      <c r="R686" t="s">
        <v>74</v>
      </c>
      <c r="S686" t="s">
        <v>74</v>
      </c>
      <c r="T686" t="s">
        <v>12989</v>
      </c>
      <c r="U686" t="s">
        <v>12990</v>
      </c>
      <c r="V686" t="s">
        <v>12991</v>
      </c>
      <c r="W686" t="s">
        <v>12992</v>
      </c>
      <c r="X686" t="s">
        <v>12993</v>
      </c>
      <c r="Y686" t="s">
        <v>12994</v>
      </c>
      <c r="Z686" t="s">
        <v>12995</v>
      </c>
      <c r="AA686" t="s">
        <v>12996</v>
      </c>
      <c r="AB686" t="s">
        <v>74</v>
      </c>
      <c r="AC686" t="s">
        <v>12997</v>
      </c>
      <c r="AD686" t="s">
        <v>12998</v>
      </c>
      <c r="AE686" t="s">
        <v>12999</v>
      </c>
      <c r="AF686" t="s">
        <v>74</v>
      </c>
      <c r="AG686">
        <v>148</v>
      </c>
      <c r="AH686">
        <v>59</v>
      </c>
      <c r="AI686">
        <v>69</v>
      </c>
      <c r="AJ686">
        <v>9</v>
      </c>
      <c r="AK686">
        <v>61</v>
      </c>
      <c r="AL686" t="s">
        <v>637</v>
      </c>
      <c r="AM686" t="s">
        <v>612</v>
      </c>
      <c r="AN686" t="s">
        <v>613</v>
      </c>
      <c r="AO686" t="s">
        <v>8573</v>
      </c>
      <c r="AP686" t="s">
        <v>74</v>
      </c>
      <c r="AQ686" t="s">
        <v>74</v>
      </c>
      <c r="AR686" t="s">
        <v>8574</v>
      </c>
      <c r="AS686" t="s">
        <v>8575</v>
      </c>
      <c r="AT686" t="s">
        <v>12439</v>
      </c>
      <c r="AU686">
        <v>2017</v>
      </c>
      <c r="AV686">
        <v>15</v>
      </c>
      <c r="AW686">
        <v>3</v>
      </c>
      <c r="AX686" t="s">
        <v>74</v>
      </c>
      <c r="AY686" t="s">
        <v>74</v>
      </c>
      <c r="AZ686" t="s">
        <v>74</v>
      </c>
      <c r="BA686" t="s">
        <v>74</v>
      </c>
      <c r="BB686" t="s">
        <v>74</v>
      </c>
      <c r="BC686" t="s">
        <v>74</v>
      </c>
      <c r="BD686">
        <v>28</v>
      </c>
      <c r="BE686" t="s">
        <v>13000</v>
      </c>
      <c r="BF686" t="str">
        <f>HYPERLINK("http://dx.doi.org/10.3390/md15030028","http://dx.doi.org/10.3390/md15030028")</f>
        <v>http://dx.doi.org/10.3390/md15030028</v>
      </c>
      <c r="BG686" t="s">
        <v>74</v>
      </c>
      <c r="BH686" t="s">
        <v>74</v>
      </c>
      <c r="BI686">
        <v>30</v>
      </c>
      <c r="BJ686" t="s">
        <v>8577</v>
      </c>
      <c r="BK686" t="s">
        <v>103</v>
      </c>
      <c r="BL686" t="s">
        <v>8578</v>
      </c>
      <c r="BM686" t="s">
        <v>13001</v>
      </c>
      <c r="BN686">
        <v>28241505</v>
      </c>
      <c r="BO686" t="s">
        <v>7299</v>
      </c>
      <c r="BP686" t="s">
        <v>74</v>
      </c>
      <c r="BQ686" t="s">
        <v>74</v>
      </c>
      <c r="BR686" t="s">
        <v>106</v>
      </c>
      <c r="BS686" t="s">
        <v>13002</v>
      </c>
      <c r="BT686" t="str">
        <f>HYPERLINK("https%3A%2F%2Fwww.webofscience.com%2Fwos%2Fwoscc%2Ffull-record%2FWOS:000398720300001","View Full Record in Web of Science")</f>
        <v>View Full Record in Web of Science</v>
      </c>
    </row>
    <row r="687" spans="1:72" x14ac:dyDescent="0.15">
      <c r="A687" t="s">
        <v>72</v>
      </c>
      <c r="B687" t="s">
        <v>13003</v>
      </c>
      <c r="C687" t="s">
        <v>74</v>
      </c>
      <c r="D687" t="s">
        <v>74</v>
      </c>
      <c r="E687" t="s">
        <v>74</v>
      </c>
      <c r="F687" t="s">
        <v>13004</v>
      </c>
      <c r="G687" t="s">
        <v>74</v>
      </c>
      <c r="H687" t="s">
        <v>74</v>
      </c>
      <c r="I687" t="s">
        <v>13005</v>
      </c>
      <c r="J687" t="s">
        <v>6154</v>
      </c>
      <c r="K687" t="s">
        <v>74</v>
      </c>
      <c r="L687" t="s">
        <v>74</v>
      </c>
      <c r="M687" t="s">
        <v>78</v>
      </c>
      <c r="N687" t="s">
        <v>79</v>
      </c>
      <c r="O687" t="s">
        <v>74</v>
      </c>
      <c r="P687" t="s">
        <v>74</v>
      </c>
      <c r="Q687" t="s">
        <v>74</v>
      </c>
      <c r="R687" t="s">
        <v>74</v>
      </c>
      <c r="S687" t="s">
        <v>74</v>
      </c>
      <c r="T687" t="s">
        <v>13006</v>
      </c>
      <c r="U687" t="s">
        <v>13007</v>
      </c>
      <c r="V687" t="s">
        <v>13008</v>
      </c>
      <c r="W687" t="s">
        <v>13009</v>
      </c>
      <c r="X687" t="s">
        <v>13010</v>
      </c>
      <c r="Y687" t="s">
        <v>13011</v>
      </c>
      <c r="Z687" t="s">
        <v>13012</v>
      </c>
      <c r="AA687" t="s">
        <v>13013</v>
      </c>
      <c r="AB687" t="s">
        <v>74</v>
      </c>
      <c r="AC687" t="s">
        <v>13014</v>
      </c>
      <c r="AD687" t="s">
        <v>13015</v>
      </c>
      <c r="AE687" t="s">
        <v>13016</v>
      </c>
      <c r="AF687" t="s">
        <v>74</v>
      </c>
      <c r="AG687">
        <v>80</v>
      </c>
      <c r="AH687">
        <v>25</v>
      </c>
      <c r="AI687">
        <v>26</v>
      </c>
      <c r="AJ687">
        <v>3</v>
      </c>
      <c r="AK687">
        <v>22</v>
      </c>
      <c r="AL687" t="s">
        <v>986</v>
      </c>
      <c r="AM687" t="s">
        <v>430</v>
      </c>
      <c r="AN687" t="s">
        <v>1663</v>
      </c>
      <c r="AO687" t="s">
        <v>6167</v>
      </c>
      <c r="AP687" t="s">
        <v>6168</v>
      </c>
      <c r="AQ687" t="s">
        <v>74</v>
      </c>
      <c r="AR687" t="s">
        <v>6169</v>
      </c>
      <c r="AS687" t="s">
        <v>6170</v>
      </c>
      <c r="AT687" t="s">
        <v>12439</v>
      </c>
      <c r="AU687">
        <v>2017</v>
      </c>
      <c r="AV687">
        <v>48</v>
      </c>
      <c r="AW687" t="s">
        <v>7143</v>
      </c>
      <c r="AX687" t="s">
        <v>74</v>
      </c>
      <c r="AY687" t="s">
        <v>74</v>
      </c>
      <c r="AZ687" t="s">
        <v>74</v>
      </c>
      <c r="BA687" t="s">
        <v>74</v>
      </c>
      <c r="BB687">
        <v>1483</v>
      </c>
      <c r="BC687">
        <v>1501</v>
      </c>
      <c r="BD687" t="s">
        <v>74</v>
      </c>
      <c r="BE687" t="s">
        <v>13017</v>
      </c>
      <c r="BF687" t="str">
        <f>HYPERLINK("http://dx.doi.org/10.1007/s00382-016-3154-z","http://dx.doi.org/10.1007/s00382-016-3154-z")</f>
        <v>http://dx.doi.org/10.1007/s00382-016-3154-z</v>
      </c>
      <c r="BG687" t="s">
        <v>74</v>
      </c>
      <c r="BH687" t="s">
        <v>74</v>
      </c>
      <c r="BI687">
        <v>19</v>
      </c>
      <c r="BJ687" t="s">
        <v>1261</v>
      </c>
      <c r="BK687" t="s">
        <v>103</v>
      </c>
      <c r="BL687" t="s">
        <v>1261</v>
      </c>
      <c r="BM687" t="s">
        <v>13018</v>
      </c>
      <c r="BN687" t="s">
        <v>74</v>
      </c>
      <c r="BO687" t="s">
        <v>74</v>
      </c>
      <c r="BP687" t="s">
        <v>74</v>
      </c>
      <c r="BQ687" t="s">
        <v>74</v>
      </c>
      <c r="BR687" t="s">
        <v>106</v>
      </c>
      <c r="BS687" t="s">
        <v>13019</v>
      </c>
      <c r="BT687" t="str">
        <f>HYPERLINK("https%3A%2F%2Fwww.webofscience.com%2Fwos%2Fwoscc%2Ffull-record%2FWOS:000395060900006","View Full Record in Web of Science")</f>
        <v>View Full Record in Web of Science</v>
      </c>
    </row>
    <row r="688" spans="1:72" x14ac:dyDescent="0.15">
      <c r="A688" t="s">
        <v>72</v>
      </c>
      <c r="B688" t="s">
        <v>13020</v>
      </c>
      <c r="C688" t="s">
        <v>74</v>
      </c>
      <c r="D688" t="s">
        <v>74</v>
      </c>
      <c r="E688" t="s">
        <v>74</v>
      </c>
      <c r="F688" t="s">
        <v>13021</v>
      </c>
      <c r="G688" t="s">
        <v>74</v>
      </c>
      <c r="H688" t="s">
        <v>74</v>
      </c>
      <c r="I688" t="s">
        <v>13022</v>
      </c>
      <c r="J688" t="s">
        <v>6154</v>
      </c>
      <c r="K688" t="s">
        <v>74</v>
      </c>
      <c r="L688" t="s">
        <v>74</v>
      </c>
      <c r="M688" t="s">
        <v>78</v>
      </c>
      <c r="N688" t="s">
        <v>79</v>
      </c>
      <c r="O688" t="s">
        <v>74</v>
      </c>
      <c r="P688" t="s">
        <v>74</v>
      </c>
      <c r="Q688" t="s">
        <v>74</v>
      </c>
      <c r="R688" t="s">
        <v>74</v>
      </c>
      <c r="S688" t="s">
        <v>74</v>
      </c>
      <c r="T688" t="s">
        <v>13023</v>
      </c>
      <c r="U688" t="s">
        <v>13024</v>
      </c>
      <c r="V688" t="s">
        <v>13025</v>
      </c>
      <c r="W688" t="s">
        <v>13026</v>
      </c>
      <c r="X688" t="s">
        <v>13027</v>
      </c>
      <c r="Y688" t="s">
        <v>4550</v>
      </c>
      <c r="Z688" t="s">
        <v>13028</v>
      </c>
      <c r="AA688" t="s">
        <v>13029</v>
      </c>
      <c r="AB688" t="s">
        <v>13030</v>
      </c>
      <c r="AC688" t="s">
        <v>13031</v>
      </c>
      <c r="AD688" t="s">
        <v>13032</v>
      </c>
      <c r="AE688" t="s">
        <v>13033</v>
      </c>
      <c r="AF688" t="s">
        <v>74</v>
      </c>
      <c r="AG688">
        <v>106</v>
      </c>
      <c r="AH688">
        <v>27</v>
      </c>
      <c r="AI688">
        <v>27</v>
      </c>
      <c r="AJ688">
        <v>1</v>
      </c>
      <c r="AK688">
        <v>13</v>
      </c>
      <c r="AL688" t="s">
        <v>986</v>
      </c>
      <c r="AM688" t="s">
        <v>430</v>
      </c>
      <c r="AN688" t="s">
        <v>987</v>
      </c>
      <c r="AO688" t="s">
        <v>6167</v>
      </c>
      <c r="AP688" t="s">
        <v>6168</v>
      </c>
      <c r="AQ688" t="s">
        <v>74</v>
      </c>
      <c r="AR688" t="s">
        <v>6169</v>
      </c>
      <c r="AS688" t="s">
        <v>6170</v>
      </c>
      <c r="AT688" t="s">
        <v>12439</v>
      </c>
      <c r="AU688">
        <v>2017</v>
      </c>
      <c r="AV688">
        <v>48</v>
      </c>
      <c r="AW688" t="s">
        <v>7143</v>
      </c>
      <c r="AX688" t="s">
        <v>74</v>
      </c>
      <c r="AY688" t="s">
        <v>74</v>
      </c>
      <c r="AZ688" t="s">
        <v>74</v>
      </c>
      <c r="BA688" t="s">
        <v>74</v>
      </c>
      <c r="BB688">
        <v>2045</v>
      </c>
      <c r="BC688">
        <v>2063</v>
      </c>
      <c r="BD688" t="s">
        <v>74</v>
      </c>
      <c r="BE688" t="s">
        <v>13034</v>
      </c>
      <c r="BF688" t="str">
        <f>HYPERLINK("http://dx.doi.org/10.1007/s00382-016-3189-1","http://dx.doi.org/10.1007/s00382-016-3189-1")</f>
        <v>http://dx.doi.org/10.1007/s00382-016-3189-1</v>
      </c>
      <c r="BG688" t="s">
        <v>74</v>
      </c>
      <c r="BH688" t="s">
        <v>74</v>
      </c>
      <c r="BI688">
        <v>19</v>
      </c>
      <c r="BJ688" t="s">
        <v>1261</v>
      </c>
      <c r="BK688" t="s">
        <v>103</v>
      </c>
      <c r="BL688" t="s">
        <v>1261</v>
      </c>
      <c r="BM688" t="s">
        <v>13018</v>
      </c>
      <c r="BN688" t="s">
        <v>74</v>
      </c>
      <c r="BO688" t="s">
        <v>74</v>
      </c>
      <c r="BP688" t="s">
        <v>74</v>
      </c>
      <c r="BQ688" t="s">
        <v>74</v>
      </c>
      <c r="BR688" t="s">
        <v>106</v>
      </c>
      <c r="BS688" t="s">
        <v>13035</v>
      </c>
      <c r="BT688" t="str">
        <f>HYPERLINK("https%3A%2F%2Fwww.webofscience.com%2Fwos%2Fwoscc%2Ffull-record%2FWOS:000395060900038","View Full Record in Web of Science")</f>
        <v>View Full Record in Web of Science</v>
      </c>
    </row>
    <row r="689" spans="1:72" x14ac:dyDescent="0.15">
      <c r="A689" t="s">
        <v>72</v>
      </c>
      <c r="B689" t="s">
        <v>13036</v>
      </c>
      <c r="C689" t="s">
        <v>74</v>
      </c>
      <c r="D689" t="s">
        <v>74</v>
      </c>
      <c r="E689" t="s">
        <v>74</v>
      </c>
      <c r="F689" t="s">
        <v>13037</v>
      </c>
      <c r="G689" t="s">
        <v>74</v>
      </c>
      <c r="H689" t="s">
        <v>74</v>
      </c>
      <c r="I689" t="s">
        <v>13038</v>
      </c>
      <c r="J689" t="s">
        <v>6154</v>
      </c>
      <c r="K689" t="s">
        <v>74</v>
      </c>
      <c r="L689" t="s">
        <v>74</v>
      </c>
      <c r="M689" t="s">
        <v>78</v>
      </c>
      <c r="N689" t="s">
        <v>79</v>
      </c>
      <c r="O689" t="s">
        <v>74</v>
      </c>
      <c r="P689" t="s">
        <v>74</v>
      </c>
      <c r="Q689" t="s">
        <v>74</v>
      </c>
      <c r="R689" t="s">
        <v>74</v>
      </c>
      <c r="S689" t="s">
        <v>74</v>
      </c>
      <c r="T689" t="s">
        <v>13039</v>
      </c>
      <c r="U689" t="s">
        <v>13040</v>
      </c>
      <c r="V689" t="s">
        <v>13041</v>
      </c>
      <c r="W689" t="s">
        <v>13042</v>
      </c>
      <c r="X689" t="s">
        <v>13043</v>
      </c>
      <c r="Y689" t="s">
        <v>13044</v>
      </c>
      <c r="Z689" t="s">
        <v>13045</v>
      </c>
      <c r="AA689" t="s">
        <v>13046</v>
      </c>
      <c r="AB689" t="s">
        <v>13047</v>
      </c>
      <c r="AC689" t="s">
        <v>74</v>
      </c>
      <c r="AD689" t="s">
        <v>74</v>
      </c>
      <c r="AE689" t="s">
        <v>74</v>
      </c>
      <c r="AF689" t="s">
        <v>74</v>
      </c>
      <c r="AG689">
        <v>56</v>
      </c>
      <c r="AH689">
        <v>17</v>
      </c>
      <c r="AI689">
        <v>19</v>
      </c>
      <c r="AJ689">
        <v>1</v>
      </c>
      <c r="AK689">
        <v>28</v>
      </c>
      <c r="AL689" t="s">
        <v>986</v>
      </c>
      <c r="AM689" t="s">
        <v>430</v>
      </c>
      <c r="AN689" t="s">
        <v>987</v>
      </c>
      <c r="AO689" t="s">
        <v>6167</v>
      </c>
      <c r="AP689" t="s">
        <v>6168</v>
      </c>
      <c r="AQ689" t="s">
        <v>74</v>
      </c>
      <c r="AR689" t="s">
        <v>6169</v>
      </c>
      <c r="AS689" t="s">
        <v>6170</v>
      </c>
      <c r="AT689" t="s">
        <v>12439</v>
      </c>
      <c r="AU689">
        <v>2017</v>
      </c>
      <c r="AV689">
        <v>48</v>
      </c>
      <c r="AW689" t="s">
        <v>7143</v>
      </c>
      <c r="AX689" t="s">
        <v>74</v>
      </c>
      <c r="AY689" t="s">
        <v>74</v>
      </c>
      <c r="AZ689" t="s">
        <v>74</v>
      </c>
      <c r="BA689" t="s">
        <v>74</v>
      </c>
      <c r="BB689">
        <v>2065</v>
      </c>
      <c r="BC689">
        <v>2085</v>
      </c>
      <c r="BD689" t="s">
        <v>74</v>
      </c>
      <c r="BE689" t="s">
        <v>13048</v>
      </c>
      <c r="BF689" t="str">
        <f>HYPERLINK("http://dx.doi.org/10.1007/s00382-016-3190-8","http://dx.doi.org/10.1007/s00382-016-3190-8")</f>
        <v>http://dx.doi.org/10.1007/s00382-016-3190-8</v>
      </c>
      <c r="BG689" t="s">
        <v>74</v>
      </c>
      <c r="BH689" t="s">
        <v>74</v>
      </c>
      <c r="BI689">
        <v>21</v>
      </c>
      <c r="BJ689" t="s">
        <v>1261</v>
      </c>
      <c r="BK689" t="s">
        <v>103</v>
      </c>
      <c r="BL689" t="s">
        <v>1261</v>
      </c>
      <c r="BM689" t="s">
        <v>13018</v>
      </c>
      <c r="BN689" t="s">
        <v>74</v>
      </c>
      <c r="BO689" t="s">
        <v>74</v>
      </c>
      <c r="BP689" t="s">
        <v>74</v>
      </c>
      <c r="BQ689" t="s">
        <v>74</v>
      </c>
      <c r="BR689" t="s">
        <v>106</v>
      </c>
      <c r="BS689" t="s">
        <v>13049</v>
      </c>
      <c r="BT689" t="str">
        <f>HYPERLINK("https%3A%2F%2Fwww.webofscience.com%2Fwos%2Fwoscc%2Ffull-record%2FWOS:000395060900039","View Full Record in Web of Science")</f>
        <v>View Full Record in Web of Science</v>
      </c>
    </row>
    <row r="690" spans="1:72" x14ac:dyDescent="0.15">
      <c r="A690" t="s">
        <v>72</v>
      </c>
      <c r="B690" t="s">
        <v>13050</v>
      </c>
      <c r="C690" t="s">
        <v>74</v>
      </c>
      <c r="D690" t="s">
        <v>74</v>
      </c>
      <c r="E690" t="s">
        <v>74</v>
      </c>
      <c r="F690" t="s">
        <v>13051</v>
      </c>
      <c r="G690" t="s">
        <v>74</v>
      </c>
      <c r="H690" t="s">
        <v>74</v>
      </c>
      <c r="I690" t="s">
        <v>13052</v>
      </c>
      <c r="J690" t="s">
        <v>643</v>
      </c>
      <c r="K690" t="s">
        <v>74</v>
      </c>
      <c r="L690" t="s">
        <v>74</v>
      </c>
      <c r="M690" t="s">
        <v>78</v>
      </c>
      <c r="N690" t="s">
        <v>79</v>
      </c>
      <c r="O690" t="s">
        <v>74</v>
      </c>
      <c r="P690" t="s">
        <v>74</v>
      </c>
      <c r="Q690" t="s">
        <v>74</v>
      </c>
      <c r="R690" t="s">
        <v>74</v>
      </c>
      <c r="S690" t="s">
        <v>74</v>
      </c>
      <c r="T690" t="s">
        <v>13053</v>
      </c>
      <c r="U690" t="s">
        <v>13054</v>
      </c>
      <c r="V690" t="s">
        <v>13055</v>
      </c>
      <c r="W690" t="s">
        <v>13056</v>
      </c>
      <c r="X690" t="s">
        <v>13057</v>
      </c>
      <c r="Y690" t="s">
        <v>13058</v>
      </c>
      <c r="Z690" t="s">
        <v>13059</v>
      </c>
      <c r="AA690" t="s">
        <v>13060</v>
      </c>
      <c r="AB690" t="s">
        <v>13061</v>
      </c>
      <c r="AC690" t="s">
        <v>13062</v>
      </c>
      <c r="AD690" t="s">
        <v>13063</v>
      </c>
      <c r="AE690" t="s">
        <v>13064</v>
      </c>
      <c r="AF690" t="s">
        <v>74</v>
      </c>
      <c r="AG690">
        <v>107</v>
      </c>
      <c r="AH690">
        <v>7</v>
      </c>
      <c r="AI690">
        <v>9</v>
      </c>
      <c r="AJ690">
        <v>1</v>
      </c>
      <c r="AK690">
        <v>32</v>
      </c>
      <c r="AL690" t="s">
        <v>656</v>
      </c>
      <c r="AM690" t="s">
        <v>93</v>
      </c>
      <c r="AN690" t="s">
        <v>657</v>
      </c>
      <c r="AO690" t="s">
        <v>658</v>
      </c>
      <c r="AP690" t="s">
        <v>659</v>
      </c>
      <c r="AQ690" t="s">
        <v>74</v>
      </c>
      <c r="AR690" t="s">
        <v>660</v>
      </c>
      <c r="AS690" t="s">
        <v>661</v>
      </c>
      <c r="AT690" t="s">
        <v>12439</v>
      </c>
      <c r="AU690">
        <v>2017</v>
      </c>
      <c r="AV690">
        <v>121</v>
      </c>
      <c r="AW690" t="s">
        <v>74</v>
      </c>
      <c r="AX690" t="s">
        <v>74</v>
      </c>
      <c r="AY690" t="s">
        <v>74</v>
      </c>
      <c r="AZ690" t="s">
        <v>74</v>
      </c>
      <c r="BA690" t="s">
        <v>74</v>
      </c>
      <c r="BB690">
        <v>143</v>
      </c>
      <c r="BC690">
        <v>159</v>
      </c>
      <c r="BD690" t="s">
        <v>74</v>
      </c>
      <c r="BE690" t="s">
        <v>13065</v>
      </c>
      <c r="BF690" t="str">
        <f>HYPERLINK("http://dx.doi.org/10.1016/j.dsr.2017.01.001","http://dx.doi.org/10.1016/j.dsr.2017.01.001")</f>
        <v>http://dx.doi.org/10.1016/j.dsr.2017.01.001</v>
      </c>
      <c r="BG690" t="s">
        <v>74</v>
      </c>
      <c r="BH690" t="s">
        <v>74</v>
      </c>
      <c r="BI690">
        <v>17</v>
      </c>
      <c r="BJ690" t="s">
        <v>127</v>
      </c>
      <c r="BK690" t="s">
        <v>103</v>
      </c>
      <c r="BL690" t="s">
        <v>127</v>
      </c>
      <c r="BM690" t="s">
        <v>13066</v>
      </c>
      <c r="BN690" t="s">
        <v>74</v>
      </c>
      <c r="BO690" t="s">
        <v>384</v>
      </c>
      <c r="BP690" t="s">
        <v>74</v>
      </c>
      <c r="BQ690" t="s">
        <v>74</v>
      </c>
      <c r="BR690" t="s">
        <v>106</v>
      </c>
      <c r="BS690" t="s">
        <v>13067</v>
      </c>
      <c r="BT690" t="str">
        <f>HYPERLINK("https%3A%2F%2Fwww.webofscience.com%2Fwos%2Fwoscc%2Ffull-record%2FWOS:000397693600012","View Full Record in Web of Science")</f>
        <v>View Full Record in Web of Science</v>
      </c>
    </row>
    <row r="691" spans="1:72" x14ac:dyDescent="0.15">
      <c r="A691" t="s">
        <v>72</v>
      </c>
      <c r="B691" t="s">
        <v>13068</v>
      </c>
      <c r="C691" t="s">
        <v>74</v>
      </c>
      <c r="D691" t="s">
        <v>74</v>
      </c>
      <c r="E691" t="s">
        <v>74</v>
      </c>
      <c r="F691" t="s">
        <v>13068</v>
      </c>
      <c r="G691" t="s">
        <v>74</v>
      </c>
      <c r="H691" t="s">
        <v>74</v>
      </c>
      <c r="I691" t="s">
        <v>13069</v>
      </c>
      <c r="J691" t="s">
        <v>13070</v>
      </c>
      <c r="K691" t="s">
        <v>74</v>
      </c>
      <c r="L691" t="s">
        <v>74</v>
      </c>
      <c r="M691" t="s">
        <v>78</v>
      </c>
      <c r="N691" t="s">
        <v>1041</v>
      </c>
      <c r="O691" t="s">
        <v>74</v>
      </c>
      <c r="P691" t="s">
        <v>74</v>
      </c>
      <c r="Q691" t="s">
        <v>74</v>
      </c>
      <c r="R691" t="s">
        <v>74</v>
      </c>
      <c r="S691" t="s">
        <v>74</v>
      </c>
      <c r="T691" t="s">
        <v>74</v>
      </c>
      <c r="U691" t="s">
        <v>74</v>
      </c>
      <c r="V691" t="s">
        <v>74</v>
      </c>
      <c r="W691" t="s">
        <v>74</v>
      </c>
      <c r="X691" t="s">
        <v>74</v>
      </c>
      <c r="Y691" t="s">
        <v>74</v>
      </c>
      <c r="Z691" t="s">
        <v>74</v>
      </c>
      <c r="AA691" t="s">
        <v>74</v>
      </c>
      <c r="AB691" t="s">
        <v>74</v>
      </c>
      <c r="AC691" t="s">
        <v>74</v>
      </c>
      <c r="AD691" t="s">
        <v>74</v>
      </c>
      <c r="AE691" t="s">
        <v>74</v>
      </c>
      <c r="AF691" t="s">
        <v>74</v>
      </c>
      <c r="AG691">
        <v>1</v>
      </c>
      <c r="AH691">
        <v>0</v>
      </c>
      <c r="AI691">
        <v>0</v>
      </c>
      <c r="AJ691">
        <v>2</v>
      </c>
      <c r="AK691">
        <v>7</v>
      </c>
      <c r="AL691" t="s">
        <v>681</v>
      </c>
      <c r="AM691" t="s">
        <v>682</v>
      </c>
      <c r="AN691" t="s">
        <v>683</v>
      </c>
      <c r="AO691" t="s">
        <v>13071</v>
      </c>
      <c r="AP691" t="s">
        <v>13072</v>
      </c>
      <c r="AQ691" t="s">
        <v>74</v>
      </c>
      <c r="AR691" t="s">
        <v>13073</v>
      </c>
      <c r="AS691" t="s">
        <v>13074</v>
      </c>
      <c r="AT691" t="s">
        <v>12439</v>
      </c>
      <c r="AU691">
        <v>2017</v>
      </c>
      <c r="AV691">
        <v>284</v>
      </c>
      <c r="AW691">
        <v>5</v>
      </c>
      <c r="AX691" t="s">
        <v>74</v>
      </c>
      <c r="AY691" t="s">
        <v>74</v>
      </c>
      <c r="AZ691" t="s">
        <v>74</v>
      </c>
      <c r="BA691" t="s">
        <v>74</v>
      </c>
      <c r="BB691">
        <v>831</v>
      </c>
      <c r="BC691">
        <v>831</v>
      </c>
      <c r="BD691" t="s">
        <v>74</v>
      </c>
      <c r="BE691" t="s">
        <v>74</v>
      </c>
      <c r="BF691" t="s">
        <v>74</v>
      </c>
      <c r="BG691" t="s">
        <v>74</v>
      </c>
      <c r="BH691" t="s">
        <v>74</v>
      </c>
      <c r="BI691">
        <v>1</v>
      </c>
      <c r="BJ691" t="s">
        <v>13075</v>
      </c>
      <c r="BK691" t="s">
        <v>103</v>
      </c>
      <c r="BL691" t="s">
        <v>13075</v>
      </c>
      <c r="BM691" t="s">
        <v>13076</v>
      </c>
      <c r="BN691" t="s">
        <v>74</v>
      </c>
      <c r="BO691" t="s">
        <v>74</v>
      </c>
      <c r="BP691" t="s">
        <v>74</v>
      </c>
      <c r="BQ691" t="s">
        <v>74</v>
      </c>
      <c r="BR691" t="s">
        <v>106</v>
      </c>
      <c r="BS691" t="s">
        <v>13077</v>
      </c>
      <c r="BT691" t="str">
        <f>HYPERLINK("https%3A%2F%2Fwww.webofscience.com%2Fwos%2Fwoscc%2Ffull-record%2FWOS:000398128500013","View Full Record in Web of Science")</f>
        <v>View Full Record in Web of Science</v>
      </c>
    </row>
    <row r="692" spans="1:72" x14ac:dyDescent="0.15">
      <c r="A692" t="s">
        <v>72</v>
      </c>
      <c r="B692" t="s">
        <v>13078</v>
      </c>
      <c r="C692" t="s">
        <v>74</v>
      </c>
      <c r="D692" t="s">
        <v>74</v>
      </c>
      <c r="E692" t="s">
        <v>74</v>
      </c>
      <c r="F692" t="s">
        <v>13079</v>
      </c>
      <c r="G692" t="s">
        <v>74</v>
      </c>
      <c r="H692" t="s">
        <v>74</v>
      </c>
      <c r="I692" t="s">
        <v>13080</v>
      </c>
      <c r="J692" t="s">
        <v>13081</v>
      </c>
      <c r="K692" t="s">
        <v>74</v>
      </c>
      <c r="L692" t="s">
        <v>74</v>
      </c>
      <c r="M692" t="s">
        <v>78</v>
      </c>
      <c r="N692" t="s">
        <v>79</v>
      </c>
      <c r="O692" t="s">
        <v>74</v>
      </c>
      <c r="P692" t="s">
        <v>74</v>
      </c>
      <c r="Q692" t="s">
        <v>74</v>
      </c>
      <c r="R692" t="s">
        <v>74</v>
      </c>
      <c r="S692" t="s">
        <v>74</v>
      </c>
      <c r="T692" t="s">
        <v>13082</v>
      </c>
      <c r="U692" t="s">
        <v>13083</v>
      </c>
      <c r="V692" t="s">
        <v>13084</v>
      </c>
      <c r="W692" t="s">
        <v>13085</v>
      </c>
      <c r="X692" t="s">
        <v>13086</v>
      </c>
      <c r="Y692" t="s">
        <v>13087</v>
      </c>
      <c r="Z692" t="s">
        <v>13088</v>
      </c>
      <c r="AA692" t="s">
        <v>13089</v>
      </c>
      <c r="AB692" t="s">
        <v>13090</v>
      </c>
      <c r="AC692" t="s">
        <v>13091</v>
      </c>
      <c r="AD692" t="s">
        <v>13092</v>
      </c>
      <c r="AE692" t="s">
        <v>13093</v>
      </c>
      <c r="AF692" t="s">
        <v>74</v>
      </c>
      <c r="AG692">
        <v>25</v>
      </c>
      <c r="AH692">
        <v>8</v>
      </c>
      <c r="AI692">
        <v>8</v>
      </c>
      <c r="AJ692">
        <v>0</v>
      </c>
      <c r="AK692">
        <v>9</v>
      </c>
      <c r="AL692" t="s">
        <v>13094</v>
      </c>
      <c r="AM692" t="s">
        <v>1509</v>
      </c>
      <c r="AN692" t="s">
        <v>13095</v>
      </c>
      <c r="AO692" t="s">
        <v>13096</v>
      </c>
      <c r="AP692" t="s">
        <v>13097</v>
      </c>
      <c r="AQ692" t="s">
        <v>74</v>
      </c>
      <c r="AR692" t="s">
        <v>13098</v>
      </c>
      <c r="AS692" t="s">
        <v>13099</v>
      </c>
      <c r="AT692" t="s">
        <v>12439</v>
      </c>
      <c r="AU692">
        <v>2017</v>
      </c>
      <c r="AV692">
        <v>27</v>
      </c>
      <c r="AW692">
        <v>3</v>
      </c>
      <c r="AX692" t="s">
        <v>74</v>
      </c>
      <c r="AY692" t="s">
        <v>74</v>
      </c>
      <c r="AZ692" t="s">
        <v>74</v>
      </c>
      <c r="BA692" t="s">
        <v>74</v>
      </c>
      <c r="BB692">
        <v>535</v>
      </c>
      <c r="BC692">
        <v>541</v>
      </c>
      <c r="BD692" t="s">
        <v>74</v>
      </c>
      <c r="BE692" t="s">
        <v>13100</v>
      </c>
      <c r="BF692" t="str">
        <f>HYPERLINK("http://dx.doi.org/10.4014/jmb.1609.09002","http://dx.doi.org/10.4014/jmb.1609.09002")</f>
        <v>http://dx.doi.org/10.4014/jmb.1609.09002</v>
      </c>
      <c r="BG692" t="s">
        <v>74</v>
      </c>
      <c r="BH692" t="s">
        <v>74</v>
      </c>
      <c r="BI692">
        <v>7</v>
      </c>
      <c r="BJ692" t="s">
        <v>1074</v>
      </c>
      <c r="BK692" t="s">
        <v>103</v>
      </c>
      <c r="BL692" t="s">
        <v>1074</v>
      </c>
      <c r="BM692" t="s">
        <v>13101</v>
      </c>
      <c r="BN692">
        <v>27974735</v>
      </c>
      <c r="BO692" t="s">
        <v>74</v>
      </c>
      <c r="BP692" t="s">
        <v>74</v>
      </c>
      <c r="BQ692" t="s">
        <v>74</v>
      </c>
      <c r="BR692" t="s">
        <v>106</v>
      </c>
      <c r="BS692" t="s">
        <v>13102</v>
      </c>
      <c r="BT692" t="str">
        <f>HYPERLINK("https%3A%2F%2Fwww.webofscience.com%2Fwos%2Fwoscc%2Ffull-record%2FWOS:000398085800013","View Full Record in Web of Science")</f>
        <v>View Full Record in Web of Science</v>
      </c>
    </row>
    <row r="693" spans="1:72" x14ac:dyDescent="0.15">
      <c r="A693" t="s">
        <v>72</v>
      </c>
      <c r="B693" t="s">
        <v>13103</v>
      </c>
      <c r="C693" t="s">
        <v>74</v>
      </c>
      <c r="D693" t="s">
        <v>74</v>
      </c>
      <c r="E693" t="s">
        <v>74</v>
      </c>
      <c r="F693" t="s">
        <v>13104</v>
      </c>
      <c r="G693" t="s">
        <v>74</v>
      </c>
      <c r="H693" t="s">
        <v>74</v>
      </c>
      <c r="I693" t="s">
        <v>13105</v>
      </c>
      <c r="J693" t="s">
        <v>13106</v>
      </c>
      <c r="K693" t="s">
        <v>74</v>
      </c>
      <c r="L693" t="s">
        <v>74</v>
      </c>
      <c r="M693" t="s">
        <v>78</v>
      </c>
      <c r="N693" t="s">
        <v>79</v>
      </c>
      <c r="O693" t="s">
        <v>74</v>
      </c>
      <c r="P693" t="s">
        <v>74</v>
      </c>
      <c r="Q693" t="s">
        <v>74</v>
      </c>
      <c r="R693" t="s">
        <v>74</v>
      </c>
      <c r="S693" t="s">
        <v>74</v>
      </c>
      <c r="T693" t="s">
        <v>13107</v>
      </c>
      <c r="U693" t="s">
        <v>13108</v>
      </c>
      <c r="V693" t="s">
        <v>13109</v>
      </c>
      <c r="W693" t="s">
        <v>13110</v>
      </c>
      <c r="X693" t="s">
        <v>13111</v>
      </c>
      <c r="Y693" t="s">
        <v>13112</v>
      </c>
      <c r="Z693" t="s">
        <v>13113</v>
      </c>
      <c r="AA693" t="s">
        <v>13114</v>
      </c>
      <c r="AB693" t="s">
        <v>74</v>
      </c>
      <c r="AC693" t="s">
        <v>13115</v>
      </c>
      <c r="AD693" t="s">
        <v>13116</v>
      </c>
      <c r="AE693" t="s">
        <v>13117</v>
      </c>
      <c r="AF693" t="s">
        <v>74</v>
      </c>
      <c r="AG693">
        <v>76</v>
      </c>
      <c r="AH693">
        <v>4</v>
      </c>
      <c r="AI693">
        <v>6</v>
      </c>
      <c r="AJ693">
        <v>1</v>
      </c>
      <c r="AK693">
        <v>10</v>
      </c>
      <c r="AL693" t="s">
        <v>13118</v>
      </c>
      <c r="AM693" t="s">
        <v>13119</v>
      </c>
      <c r="AN693" t="s">
        <v>13120</v>
      </c>
      <c r="AO693" t="s">
        <v>13121</v>
      </c>
      <c r="AP693" t="s">
        <v>13122</v>
      </c>
      <c r="AQ693" t="s">
        <v>74</v>
      </c>
      <c r="AR693" t="s">
        <v>13123</v>
      </c>
      <c r="AS693" t="s">
        <v>13124</v>
      </c>
      <c r="AT693" t="s">
        <v>12439</v>
      </c>
      <c r="AU693">
        <v>2017</v>
      </c>
      <c r="AV693">
        <v>45</v>
      </c>
      <c r="AW693">
        <v>1</v>
      </c>
      <c r="AX693" t="s">
        <v>74</v>
      </c>
      <c r="AY693" t="s">
        <v>74</v>
      </c>
      <c r="AZ693" t="s">
        <v>74</v>
      </c>
      <c r="BA693" t="s">
        <v>74</v>
      </c>
      <c r="BB693">
        <v>79</v>
      </c>
      <c r="BC693">
        <v>93</v>
      </c>
      <c r="BD693" t="s">
        <v>74</v>
      </c>
      <c r="BE693" t="s">
        <v>13125</v>
      </c>
      <c r="BF693" t="str">
        <f>HYPERLINK("http://dx.doi.org/10.3856/vol45-issue1-fulltext-8","http://dx.doi.org/10.3856/vol45-issue1-fulltext-8")</f>
        <v>http://dx.doi.org/10.3856/vol45-issue1-fulltext-8</v>
      </c>
      <c r="BG693" t="s">
        <v>74</v>
      </c>
      <c r="BH693" t="s">
        <v>74</v>
      </c>
      <c r="BI693">
        <v>15</v>
      </c>
      <c r="BJ693" t="s">
        <v>1198</v>
      </c>
      <c r="BK693" t="s">
        <v>103</v>
      </c>
      <c r="BL693" t="s">
        <v>1198</v>
      </c>
      <c r="BM693" t="s">
        <v>13126</v>
      </c>
      <c r="BN693" t="s">
        <v>74</v>
      </c>
      <c r="BO693" t="s">
        <v>621</v>
      </c>
      <c r="BP693" t="s">
        <v>74</v>
      </c>
      <c r="BQ693" t="s">
        <v>74</v>
      </c>
      <c r="BR693" t="s">
        <v>106</v>
      </c>
      <c r="BS693" t="s">
        <v>13127</v>
      </c>
      <c r="BT693" t="str">
        <f>HYPERLINK("https%3A%2F%2Fwww.webofscience.com%2Fwos%2Fwoscc%2Ffull-record%2FWOS:000398127700008","View Full Record in Web of Science")</f>
        <v>View Full Record in Web of Science</v>
      </c>
    </row>
    <row r="694" spans="1:72" x14ac:dyDescent="0.15">
      <c r="A694" t="s">
        <v>72</v>
      </c>
      <c r="B694" t="s">
        <v>13128</v>
      </c>
      <c r="C694" t="s">
        <v>74</v>
      </c>
      <c r="D694" t="s">
        <v>74</v>
      </c>
      <c r="E694" t="s">
        <v>74</v>
      </c>
      <c r="F694" t="s">
        <v>13129</v>
      </c>
      <c r="G694" t="s">
        <v>74</v>
      </c>
      <c r="H694" t="s">
        <v>74</v>
      </c>
      <c r="I694" t="s">
        <v>13130</v>
      </c>
      <c r="J694" t="s">
        <v>13131</v>
      </c>
      <c r="K694" t="s">
        <v>74</v>
      </c>
      <c r="L694" t="s">
        <v>74</v>
      </c>
      <c r="M694" t="s">
        <v>78</v>
      </c>
      <c r="N694" t="s">
        <v>79</v>
      </c>
      <c r="O694" t="s">
        <v>74</v>
      </c>
      <c r="P694" t="s">
        <v>74</v>
      </c>
      <c r="Q694" t="s">
        <v>74</v>
      </c>
      <c r="R694" t="s">
        <v>74</v>
      </c>
      <c r="S694" t="s">
        <v>74</v>
      </c>
      <c r="T694" t="s">
        <v>13132</v>
      </c>
      <c r="U694" t="s">
        <v>13133</v>
      </c>
      <c r="V694" t="s">
        <v>13134</v>
      </c>
      <c r="W694" t="s">
        <v>13135</v>
      </c>
      <c r="X694" t="s">
        <v>13136</v>
      </c>
      <c r="Y694" t="s">
        <v>13137</v>
      </c>
      <c r="Z694" t="s">
        <v>13138</v>
      </c>
      <c r="AA694" t="s">
        <v>13139</v>
      </c>
      <c r="AB694" t="s">
        <v>13140</v>
      </c>
      <c r="AC694" t="s">
        <v>13141</v>
      </c>
      <c r="AD694" t="s">
        <v>13142</v>
      </c>
      <c r="AE694" t="s">
        <v>13143</v>
      </c>
      <c r="AF694" t="s">
        <v>74</v>
      </c>
      <c r="AG694">
        <v>50</v>
      </c>
      <c r="AH694">
        <v>8</v>
      </c>
      <c r="AI694">
        <v>8</v>
      </c>
      <c r="AJ694">
        <v>0</v>
      </c>
      <c r="AK694">
        <v>18</v>
      </c>
      <c r="AL694" t="s">
        <v>803</v>
      </c>
      <c r="AM694" t="s">
        <v>1984</v>
      </c>
      <c r="AN694" t="s">
        <v>1985</v>
      </c>
      <c r="AO694" t="s">
        <v>13144</v>
      </c>
      <c r="AP694" t="s">
        <v>13145</v>
      </c>
      <c r="AQ694" t="s">
        <v>74</v>
      </c>
      <c r="AR694" t="s">
        <v>13131</v>
      </c>
      <c r="AS694" t="s">
        <v>13146</v>
      </c>
      <c r="AT694" t="s">
        <v>12439</v>
      </c>
      <c r="AU694">
        <v>2017</v>
      </c>
      <c r="AV694">
        <v>49</v>
      </c>
      <c r="AW694">
        <v>2</v>
      </c>
      <c r="AX694" t="s">
        <v>74</v>
      </c>
      <c r="AY694" t="s">
        <v>74</v>
      </c>
      <c r="AZ694" t="s">
        <v>74</v>
      </c>
      <c r="BA694" t="s">
        <v>74</v>
      </c>
      <c r="BB694">
        <v>157</v>
      </c>
      <c r="BC694">
        <v>165</v>
      </c>
      <c r="BD694" t="s">
        <v>74</v>
      </c>
      <c r="BE694" t="s">
        <v>13147</v>
      </c>
      <c r="BF694" t="str">
        <f>HYPERLINK("http://dx.doi.org/10.1017/S0024282917000032","http://dx.doi.org/10.1017/S0024282917000032")</f>
        <v>http://dx.doi.org/10.1017/S0024282917000032</v>
      </c>
      <c r="BG694" t="s">
        <v>74</v>
      </c>
      <c r="BH694" t="s">
        <v>74</v>
      </c>
      <c r="BI694">
        <v>9</v>
      </c>
      <c r="BJ694" t="s">
        <v>13148</v>
      </c>
      <c r="BK694" t="s">
        <v>103</v>
      </c>
      <c r="BL694" t="s">
        <v>13148</v>
      </c>
      <c r="BM694" t="s">
        <v>13149</v>
      </c>
      <c r="BN694" t="s">
        <v>74</v>
      </c>
      <c r="BO694" t="s">
        <v>74</v>
      </c>
      <c r="BP694" t="s">
        <v>74</v>
      </c>
      <c r="BQ694" t="s">
        <v>74</v>
      </c>
      <c r="BR694" t="s">
        <v>106</v>
      </c>
      <c r="BS694" t="s">
        <v>13150</v>
      </c>
      <c r="BT694" t="str">
        <f>HYPERLINK("https%3A%2F%2Fwww.webofscience.com%2Fwos%2Fwoscc%2Ffull-record%2FWOS:000398084900005","View Full Record in Web of Science")</f>
        <v>View Full Record in Web of Science</v>
      </c>
    </row>
    <row r="695" spans="1:72" x14ac:dyDescent="0.15">
      <c r="A695" t="s">
        <v>72</v>
      </c>
      <c r="B695" t="s">
        <v>13151</v>
      </c>
      <c r="C695" t="s">
        <v>74</v>
      </c>
      <c r="D695" t="s">
        <v>74</v>
      </c>
      <c r="E695" t="s">
        <v>74</v>
      </c>
      <c r="F695" t="s">
        <v>13152</v>
      </c>
      <c r="G695" t="s">
        <v>74</v>
      </c>
      <c r="H695" t="s">
        <v>74</v>
      </c>
      <c r="I695" t="s">
        <v>13153</v>
      </c>
      <c r="J695" t="s">
        <v>6054</v>
      </c>
      <c r="K695" t="s">
        <v>74</v>
      </c>
      <c r="L695" t="s">
        <v>74</v>
      </c>
      <c r="M695" t="s">
        <v>78</v>
      </c>
      <c r="N695" t="s">
        <v>79</v>
      </c>
      <c r="O695" t="s">
        <v>74</v>
      </c>
      <c r="P695" t="s">
        <v>74</v>
      </c>
      <c r="Q695" t="s">
        <v>74</v>
      </c>
      <c r="R695" t="s">
        <v>74</v>
      </c>
      <c r="S695" t="s">
        <v>74</v>
      </c>
      <c r="T695" t="s">
        <v>13154</v>
      </c>
      <c r="U695" t="s">
        <v>74</v>
      </c>
      <c r="V695" t="s">
        <v>13155</v>
      </c>
      <c r="W695" t="s">
        <v>13156</v>
      </c>
      <c r="X695" t="s">
        <v>13157</v>
      </c>
      <c r="Y695" t="s">
        <v>13158</v>
      </c>
      <c r="Z695" t="s">
        <v>74</v>
      </c>
      <c r="AA695" t="s">
        <v>13159</v>
      </c>
      <c r="AB695" t="s">
        <v>13160</v>
      </c>
      <c r="AC695" t="s">
        <v>74</v>
      </c>
      <c r="AD695" t="s">
        <v>74</v>
      </c>
      <c r="AE695" t="s">
        <v>74</v>
      </c>
      <c r="AF695" t="s">
        <v>74</v>
      </c>
      <c r="AG695">
        <v>26</v>
      </c>
      <c r="AH695">
        <v>8</v>
      </c>
      <c r="AI695">
        <v>9</v>
      </c>
      <c r="AJ695">
        <v>0</v>
      </c>
      <c r="AK695">
        <v>25</v>
      </c>
      <c r="AL695" t="s">
        <v>374</v>
      </c>
      <c r="AM695" t="s">
        <v>93</v>
      </c>
      <c r="AN695" t="s">
        <v>375</v>
      </c>
      <c r="AO695" t="s">
        <v>6063</v>
      </c>
      <c r="AP695" t="s">
        <v>6064</v>
      </c>
      <c r="AQ695" t="s">
        <v>74</v>
      </c>
      <c r="AR695" t="s">
        <v>6065</v>
      </c>
      <c r="AS695" t="s">
        <v>6066</v>
      </c>
      <c r="AT695" t="s">
        <v>12439</v>
      </c>
      <c r="AU695">
        <v>2017</v>
      </c>
      <c r="AV695">
        <v>77</v>
      </c>
      <c r="AW695" t="s">
        <v>74</v>
      </c>
      <c r="AX695" t="s">
        <v>74</v>
      </c>
      <c r="AY695" t="s">
        <v>74</v>
      </c>
      <c r="AZ695" t="s">
        <v>74</v>
      </c>
      <c r="BA695" t="s">
        <v>74</v>
      </c>
      <c r="BB695">
        <v>9</v>
      </c>
      <c r="BC695">
        <v>12</v>
      </c>
      <c r="BD695" t="s">
        <v>74</v>
      </c>
      <c r="BE695" t="s">
        <v>13161</v>
      </c>
      <c r="BF695" t="str">
        <f>HYPERLINK("http://dx.doi.org/10.1016/j.marpol.2016.11.035","http://dx.doi.org/10.1016/j.marpol.2016.11.035")</f>
        <v>http://dx.doi.org/10.1016/j.marpol.2016.11.035</v>
      </c>
      <c r="BG695" t="s">
        <v>74</v>
      </c>
      <c r="BH695" t="s">
        <v>74</v>
      </c>
      <c r="BI695">
        <v>4</v>
      </c>
      <c r="BJ695" t="s">
        <v>6068</v>
      </c>
      <c r="BK695" t="s">
        <v>3321</v>
      </c>
      <c r="BL695" t="s">
        <v>6069</v>
      </c>
      <c r="BM695" t="s">
        <v>13162</v>
      </c>
      <c r="BN695" t="s">
        <v>74</v>
      </c>
      <c r="BO695" t="s">
        <v>74</v>
      </c>
      <c r="BP695" t="s">
        <v>74</v>
      </c>
      <c r="BQ695" t="s">
        <v>74</v>
      </c>
      <c r="BR695" t="s">
        <v>106</v>
      </c>
      <c r="BS695" t="s">
        <v>13163</v>
      </c>
      <c r="BT695" t="str">
        <f>HYPERLINK("https%3A%2F%2Fwww.webofscience.com%2Fwos%2Fwoscc%2Ffull-record%2FWOS:000394557400002","View Full Record in Web of Science")</f>
        <v>View Full Record in Web of Science</v>
      </c>
    </row>
    <row r="696" spans="1:72" x14ac:dyDescent="0.15">
      <c r="A696" t="s">
        <v>72</v>
      </c>
      <c r="B696" t="s">
        <v>13164</v>
      </c>
      <c r="C696" t="s">
        <v>74</v>
      </c>
      <c r="D696" t="s">
        <v>74</v>
      </c>
      <c r="E696" t="s">
        <v>74</v>
      </c>
      <c r="F696" t="s">
        <v>13165</v>
      </c>
      <c r="G696" t="s">
        <v>74</v>
      </c>
      <c r="H696" t="s">
        <v>74</v>
      </c>
      <c r="I696" t="s">
        <v>13166</v>
      </c>
      <c r="J696" t="s">
        <v>6054</v>
      </c>
      <c r="K696" t="s">
        <v>74</v>
      </c>
      <c r="L696" t="s">
        <v>74</v>
      </c>
      <c r="M696" t="s">
        <v>78</v>
      </c>
      <c r="N696" t="s">
        <v>79</v>
      </c>
      <c r="O696" t="s">
        <v>74</v>
      </c>
      <c r="P696" t="s">
        <v>74</v>
      </c>
      <c r="Q696" t="s">
        <v>74</v>
      </c>
      <c r="R696" t="s">
        <v>74</v>
      </c>
      <c r="S696" t="s">
        <v>74</v>
      </c>
      <c r="T696" t="s">
        <v>13167</v>
      </c>
      <c r="U696" t="s">
        <v>13168</v>
      </c>
      <c r="V696" t="s">
        <v>13169</v>
      </c>
      <c r="W696" t="s">
        <v>13170</v>
      </c>
      <c r="X696" t="s">
        <v>309</v>
      </c>
      <c r="Y696" t="s">
        <v>13171</v>
      </c>
      <c r="Z696" t="s">
        <v>13172</v>
      </c>
      <c r="AA696" t="s">
        <v>13173</v>
      </c>
      <c r="AB696" t="s">
        <v>13174</v>
      </c>
      <c r="AC696" t="s">
        <v>13175</v>
      </c>
      <c r="AD696" t="s">
        <v>13176</v>
      </c>
      <c r="AE696" t="s">
        <v>13177</v>
      </c>
      <c r="AF696" t="s">
        <v>74</v>
      </c>
      <c r="AG696">
        <v>83</v>
      </c>
      <c r="AH696">
        <v>15</v>
      </c>
      <c r="AI696">
        <v>15</v>
      </c>
      <c r="AJ696">
        <v>1</v>
      </c>
      <c r="AK696">
        <v>20</v>
      </c>
      <c r="AL696" t="s">
        <v>374</v>
      </c>
      <c r="AM696" t="s">
        <v>93</v>
      </c>
      <c r="AN696" t="s">
        <v>375</v>
      </c>
      <c r="AO696" t="s">
        <v>6063</v>
      </c>
      <c r="AP696" t="s">
        <v>6064</v>
      </c>
      <c r="AQ696" t="s">
        <v>74</v>
      </c>
      <c r="AR696" t="s">
        <v>6065</v>
      </c>
      <c r="AS696" t="s">
        <v>6066</v>
      </c>
      <c r="AT696" t="s">
        <v>12439</v>
      </c>
      <c r="AU696">
        <v>2017</v>
      </c>
      <c r="AV696">
        <v>77</v>
      </c>
      <c r="AW696" t="s">
        <v>74</v>
      </c>
      <c r="AX696" t="s">
        <v>74</v>
      </c>
      <c r="AY696" t="s">
        <v>74</v>
      </c>
      <c r="AZ696" t="s">
        <v>74</v>
      </c>
      <c r="BA696" t="s">
        <v>74</v>
      </c>
      <c r="BB696">
        <v>136</v>
      </c>
      <c r="BC696">
        <v>143</v>
      </c>
      <c r="BD696" t="s">
        <v>74</v>
      </c>
      <c r="BE696" t="s">
        <v>13178</v>
      </c>
      <c r="BF696" t="str">
        <f>HYPERLINK("http://dx.doi.org/10.1016/j.marpol.2016.12.018","http://dx.doi.org/10.1016/j.marpol.2016.12.018")</f>
        <v>http://dx.doi.org/10.1016/j.marpol.2016.12.018</v>
      </c>
      <c r="BG696" t="s">
        <v>74</v>
      </c>
      <c r="BH696" t="s">
        <v>74</v>
      </c>
      <c r="BI696">
        <v>8</v>
      </c>
      <c r="BJ696" t="s">
        <v>6068</v>
      </c>
      <c r="BK696" t="s">
        <v>3321</v>
      </c>
      <c r="BL696" t="s">
        <v>6069</v>
      </c>
      <c r="BM696" t="s">
        <v>13162</v>
      </c>
      <c r="BN696" t="s">
        <v>74</v>
      </c>
      <c r="BO696" t="s">
        <v>74</v>
      </c>
      <c r="BP696" t="s">
        <v>74</v>
      </c>
      <c r="BQ696" t="s">
        <v>74</v>
      </c>
      <c r="BR696" t="s">
        <v>106</v>
      </c>
      <c r="BS696" t="s">
        <v>13179</v>
      </c>
      <c r="BT696" t="str">
        <f>HYPERLINK("https%3A%2F%2Fwww.webofscience.com%2Fwos%2Fwoscc%2Ffull-record%2FWOS:000394557400017","View Full Record in Web of Science")</f>
        <v>View Full Record in Web of Science</v>
      </c>
    </row>
    <row r="697" spans="1:72" x14ac:dyDescent="0.15">
      <c r="A697" t="s">
        <v>72</v>
      </c>
      <c r="B697" t="s">
        <v>13180</v>
      </c>
      <c r="C697" t="s">
        <v>74</v>
      </c>
      <c r="D697" t="s">
        <v>74</v>
      </c>
      <c r="E697" t="s">
        <v>74</v>
      </c>
      <c r="F697" t="s">
        <v>13181</v>
      </c>
      <c r="G697" t="s">
        <v>74</v>
      </c>
      <c r="H697" t="s">
        <v>74</v>
      </c>
      <c r="I697" t="s">
        <v>13182</v>
      </c>
      <c r="J697" t="s">
        <v>3572</v>
      </c>
      <c r="K697" t="s">
        <v>74</v>
      </c>
      <c r="L697" t="s">
        <v>74</v>
      </c>
      <c r="M697" t="s">
        <v>78</v>
      </c>
      <c r="N697" t="s">
        <v>79</v>
      </c>
      <c r="O697" t="s">
        <v>74</v>
      </c>
      <c r="P697" t="s">
        <v>74</v>
      </c>
      <c r="Q697" t="s">
        <v>74</v>
      </c>
      <c r="R697" t="s">
        <v>74</v>
      </c>
      <c r="S697" t="s">
        <v>74</v>
      </c>
      <c r="T697" t="s">
        <v>13183</v>
      </c>
      <c r="U697" t="s">
        <v>13184</v>
      </c>
      <c r="V697" t="s">
        <v>13185</v>
      </c>
      <c r="W697" t="s">
        <v>13186</v>
      </c>
      <c r="X697" t="s">
        <v>13187</v>
      </c>
      <c r="Y697" t="s">
        <v>13188</v>
      </c>
      <c r="Z697" t="s">
        <v>13189</v>
      </c>
      <c r="AA697" t="s">
        <v>13190</v>
      </c>
      <c r="AB697" t="s">
        <v>13191</v>
      </c>
      <c r="AC697" t="s">
        <v>13192</v>
      </c>
      <c r="AD697" t="s">
        <v>13193</v>
      </c>
      <c r="AE697" t="s">
        <v>13194</v>
      </c>
      <c r="AF697" t="s">
        <v>74</v>
      </c>
      <c r="AG697">
        <v>57</v>
      </c>
      <c r="AH697">
        <v>26</v>
      </c>
      <c r="AI697">
        <v>27</v>
      </c>
      <c r="AJ697">
        <v>2</v>
      </c>
      <c r="AK697">
        <v>32</v>
      </c>
      <c r="AL697" t="s">
        <v>3585</v>
      </c>
      <c r="AM697" t="s">
        <v>403</v>
      </c>
      <c r="AN697" t="s">
        <v>3586</v>
      </c>
      <c r="AO697" t="s">
        <v>3587</v>
      </c>
      <c r="AP697" t="s">
        <v>74</v>
      </c>
      <c r="AQ697" t="s">
        <v>74</v>
      </c>
      <c r="AR697" t="s">
        <v>3588</v>
      </c>
      <c r="AS697" t="s">
        <v>3589</v>
      </c>
      <c r="AT697" t="s">
        <v>12516</v>
      </c>
      <c r="AU697">
        <v>2017</v>
      </c>
      <c r="AV697">
        <v>17</v>
      </c>
      <c r="AW697" t="s">
        <v>74</v>
      </c>
      <c r="AX697" t="s">
        <v>74</v>
      </c>
      <c r="AY697" t="s">
        <v>74</v>
      </c>
      <c r="AZ697" t="s">
        <v>74</v>
      </c>
      <c r="BA697" t="s">
        <v>74</v>
      </c>
      <c r="BB697" t="s">
        <v>74</v>
      </c>
      <c r="BC697" t="s">
        <v>74</v>
      </c>
      <c r="BD697">
        <v>62</v>
      </c>
      <c r="BE697" t="s">
        <v>13195</v>
      </c>
      <c r="BF697" t="str">
        <f>HYPERLINK("http://dx.doi.org/10.1186/s12862-017-0917-z","http://dx.doi.org/10.1186/s12862-017-0917-z")</f>
        <v>http://dx.doi.org/10.1186/s12862-017-0917-z</v>
      </c>
      <c r="BG697" t="s">
        <v>74</v>
      </c>
      <c r="BH697" t="s">
        <v>74</v>
      </c>
      <c r="BI697">
        <v>19</v>
      </c>
      <c r="BJ697" t="s">
        <v>3591</v>
      </c>
      <c r="BK697" t="s">
        <v>103</v>
      </c>
      <c r="BL697" t="s">
        <v>3591</v>
      </c>
      <c r="BM697" t="s">
        <v>13196</v>
      </c>
      <c r="BN697">
        <v>28249568</v>
      </c>
      <c r="BO697" t="s">
        <v>10742</v>
      </c>
      <c r="BP697" t="s">
        <v>74</v>
      </c>
      <c r="BQ697" t="s">
        <v>74</v>
      </c>
      <c r="BR697" t="s">
        <v>106</v>
      </c>
      <c r="BS697" t="s">
        <v>13197</v>
      </c>
      <c r="BT697" t="str">
        <f>HYPERLINK("https%3A%2F%2Fwww.webofscience.com%2Fwos%2Fwoscc%2Ffull-record%2FWOS:000397336200001","View Full Record in Web of Science")</f>
        <v>View Full Record in Web of Science</v>
      </c>
    </row>
    <row r="698" spans="1:72" x14ac:dyDescent="0.15">
      <c r="A698" t="s">
        <v>72</v>
      </c>
      <c r="B698" t="s">
        <v>13198</v>
      </c>
      <c r="C698" t="s">
        <v>74</v>
      </c>
      <c r="D698" t="s">
        <v>74</v>
      </c>
      <c r="E698" t="s">
        <v>74</v>
      </c>
      <c r="F698" t="s">
        <v>13199</v>
      </c>
      <c r="G698" t="s">
        <v>74</v>
      </c>
      <c r="H698" t="s">
        <v>74</v>
      </c>
      <c r="I698" t="s">
        <v>13200</v>
      </c>
      <c r="J698" t="s">
        <v>951</v>
      </c>
      <c r="K698" t="s">
        <v>74</v>
      </c>
      <c r="L698" t="s">
        <v>74</v>
      </c>
      <c r="M698" t="s">
        <v>78</v>
      </c>
      <c r="N698" t="s">
        <v>79</v>
      </c>
      <c r="O698" t="s">
        <v>74</v>
      </c>
      <c r="P698" t="s">
        <v>74</v>
      </c>
      <c r="Q698" t="s">
        <v>74</v>
      </c>
      <c r="R698" t="s">
        <v>74</v>
      </c>
      <c r="S698" t="s">
        <v>74</v>
      </c>
      <c r="T698" t="s">
        <v>74</v>
      </c>
      <c r="U698" t="s">
        <v>13201</v>
      </c>
      <c r="V698" t="s">
        <v>13202</v>
      </c>
      <c r="W698" t="s">
        <v>13203</v>
      </c>
      <c r="X698" t="s">
        <v>13204</v>
      </c>
      <c r="Y698" t="s">
        <v>13205</v>
      </c>
      <c r="Z698" t="s">
        <v>13206</v>
      </c>
      <c r="AA698" t="s">
        <v>13207</v>
      </c>
      <c r="AB698" t="s">
        <v>13208</v>
      </c>
      <c r="AC698" t="s">
        <v>13209</v>
      </c>
      <c r="AD698" t="s">
        <v>13210</v>
      </c>
      <c r="AE698" t="s">
        <v>13211</v>
      </c>
      <c r="AF698" t="s">
        <v>74</v>
      </c>
      <c r="AG698">
        <v>72</v>
      </c>
      <c r="AH698">
        <v>25</v>
      </c>
      <c r="AI698">
        <v>25</v>
      </c>
      <c r="AJ698">
        <v>0</v>
      </c>
      <c r="AK698">
        <v>33</v>
      </c>
      <c r="AL698" t="s">
        <v>681</v>
      </c>
      <c r="AM698" t="s">
        <v>682</v>
      </c>
      <c r="AN698" t="s">
        <v>683</v>
      </c>
      <c r="AO698" t="s">
        <v>963</v>
      </c>
      <c r="AP698" t="s">
        <v>964</v>
      </c>
      <c r="AQ698" t="s">
        <v>74</v>
      </c>
      <c r="AR698" t="s">
        <v>965</v>
      </c>
      <c r="AS698" t="s">
        <v>966</v>
      </c>
      <c r="AT698" t="s">
        <v>12439</v>
      </c>
      <c r="AU698">
        <v>2017</v>
      </c>
      <c r="AV698">
        <v>19</v>
      </c>
      <c r="AW698">
        <v>3</v>
      </c>
      <c r="AX698" t="s">
        <v>74</v>
      </c>
      <c r="AY698" t="s">
        <v>74</v>
      </c>
      <c r="AZ698" t="s">
        <v>74</v>
      </c>
      <c r="BA698" t="s">
        <v>74</v>
      </c>
      <c r="BB698">
        <v>1017</v>
      </c>
      <c r="BC698">
        <v>1029</v>
      </c>
      <c r="BD698" t="s">
        <v>74</v>
      </c>
      <c r="BE698" t="s">
        <v>13212</v>
      </c>
      <c r="BF698" t="str">
        <f>HYPERLINK("http://dx.doi.org/10.1111/1462-2920.13538","http://dx.doi.org/10.1111/1462-2920.13538")</f>
        <v>http://dx.doi.org/10.1111/1462-2920.13538</v>
      </c>
      <c r="BG698" t="s">
        <v>74</v>
      </c>
      <c r="BH698" t="s">
        <v>74</v>
      </c>
      <c r="BI698">
        <v>13</v>
      </c>
      <c r="BJ698" t="s">
        <v>410</v>
      </c>
      <c r="BK698" t="s">
        <v>103</v>
      </c>
      <c r="BL698" t="s">
        <v>410</v>
      </c>
      <c r="BM698" t="s">
        <v>13213</v>
      </c>
      <c r="BN698">
        <v>27654477</v>
      </c>
      <c r="BO698" t="s">
        <v>74</v>
      </c>
      <c r="BP698" t="s">
        <v>74</v>
      </c>
      <c r="BQ698" t="s">
        <v>74</v>
      </c>
      <c r="BR698" t="s">
        <v>106</v>
      </c>
      <c r="BS698" t="s">
        <v>13214</v>
      </c>
      <c r="BT698" t="str">
        <f>HYPERLINK("https%3A%2F%2Fwww.webofscience.com%2Fwos%2Fwoscc%2Ffull-record%2FWOS:000397525100016","View Full Record in Web of Science")</f>
        <v>View Full Record in Web of Science</v>
      </c>
    </row>
    <row r="699" spans="1:72" x14ac:dyDescent="0.15">
      <c r="A699" t="s">
        <v>72</v>
      </c>
      <c r="B699" t="s">
        <v>13215</v>
      </c>
      <c r="C699" t="s">
        <v>74</v>
      </c>
      <c r="D699" t="s">
        <v>74</v>
      </c>
      <c r="E699" t="s">
        <v>74</v>
      </c>
      <c r="F699" t="s">
        <v>13216</v>
      </c>
      <c r="G699" t="s">
        <v>74</v>
      </c>
      <c r="H699" t="s">
        <v>74</v>
      </c>
      <c r="I699" t="s">
        <v>13217</v>
      </c>
      <c r="J699" t="s">
        <v>5913</v>
      </c>
      <c r="K699" t="s">
        <v>74</v>
      </c>
      <c r="L699" t="s">
        <v>74</v>
      </c>
      <c r="M699" t="s">
        <v>78</v>
      </c>
      <c r="N699" t="s">
        <v>79</v>
      </c>
      <c r="O699" t="s">
        <v>74</v>
      </c>
      <c r="P699" t="s">
        <v>74</v>
      </c>
      <c r="Q699" t="s">
        <v>74</v>
      </c>
      <c r="R699" t="s">
        <v>74</v>
      </c>
      <c r="S699" t="s">
        <v>74</v>
      </c>
      <c r="T699" t="s">
        <v>13218</v>
      </c>
      <c r="U699" t="s">
        <v>13219</v>
      </c>
      <c r="V699" t="s">
        <v>13220</v>
      </c>
      <c r="W699" t="s">
        <v>13221</v>
      </c>
      <c r="X699" t="s">
        <v>13222</v>
      </c>
      <c r="Y699" t="s">
        <v>13223</v>
      </c>
      <c r="Z699" t="s">
        <v>13224</v>
      </c>
      <c r="AA699" t="s">
        <v>74</v>
      </c>
      <c r="AB699" t="s">
        <v>13225</v>
      </c>
      <c r="AC699" t="s">
        <v>13226</v>
      </c>
      <c r="AD699" t="s">
        <v>13227</v>
      </c>
      <c r="AE699" t="s">
        <v>13228</v>
      </c>
      <c r="AF699" t="s">
        <v>74</v>
      </c>
      <c r="AG699">
        <v>30</v>
      </c>
      <c r="AH699">
        <v>32</v>
      </c>
      <c r="AI699">
        <v>35</v>
      </c>
      <c r="AJ699">
        <v>2</v>
      </c>
      <c r="AK699">
        <v>17</v>
      </c>
      <c r="AL699" t="s">
        <v>5925</v>
      </c>
      <c r="AM699" t="s">
        <v>5926</v>
      </c>
      <c r="AN699" t="s">
        <v>13229</v>
      </c>
      <c r="AO699" t="s">
        <v>5928</v>
      </c>
      <c r="AP699" t="s">
        <v>5929</v>
      </c>
      <c r="AQ699" t="s">
        <v>74</v>
      </c>
      <c r="AR699" t="s">
        <v>5913</v>
      </c>
      <c r="AS699" t="s">
        <v>5930</v>
      </c>
      <c r="AT699" t="s">
        <v>12439</v>
      </c>
      <c r="AU699">
        <v>2017</v>
      </c>
      <c r="AV699">
        <v>21</v>
      </c>
      <c r="AW699">
        <v>2</v>
      </c>
      <c r="AX699" t="s">
        <v>74</v>
      </c>
      <c r="AY699" t="s">
        <v>74</v>
      </c>
      <c r="AZ699" t="s">
        <v>74</v>
      </c>
      <c r="BA699" t="s">
        <v>74</v>
      </c>
      <c r="BB699">
        <v>259</v>
      </c>
      <c r="BC699">
        <v>269</v>
      </c>
      <c r="BD699" t="s">
        <v>74</v>
      </c>
      <c r="BE699" t="s">
        <v>13230</v>
      </c>
      <c r="BF699" t="str">
        <f>HYPERLINK("http://dx.doi.org/10.1007/s00792-016-0895-x","http://dx.doi.org/10.1007/s00792-016-0895-x")</f>
        <v>http://dx.doi.org/10.1007/s00792-016-0895-x</v>
      </c>
      <c r="BG699" t="s">
        <v>74</v>
      </c>
      <c r="BH699" t="s">
        <v>74</v>
      </c>
      <c r="BI699">
        <v>11</v>
      </c>
      <c r="BJ699" t="s">
        <v>5932</v>
      </c>
      <c r="BK699" t="s">
        <v>103</v>
      </c>
      <c r="BL699" t="s">
        <v>5932</v>
      </c>
      <c r="BM699" t="s">
        <v>13231</v>
      </c>
      <c r="BN699">
        <v>27900476</v>
      </c>
      <c r="BO699" t="s">
        <v>74</v>
      </c>
      <c r="BP699" t="s">
        <v>74</v>
      </c>
      <c r="BQ699" t="s">
        <v>74</v>
      </c>
      <c r="BR699" t="s">
        <v>106</v>
      </c>
      <c r="BS699" t="s">
        <v>13232</v>
      </c>
      <c r="BT699" t="str">
        <f>HYPERLINK("https%3A%2F%2Fwww.webofscience.com%2Fwos%2Fwoscc%2Ffull-record%2FWOS:000397971100003","View Full Record in Web of Science")</f>
        <v>View Full Record in Web of Science</v>
      </c>
    </row>
    <row r="700" spans="1:72" x14ac:dyDescent="0.15">
      <c r="A700" t="s">
        <v>72</v>
      </c>
      <c r="B700" t="s">
        <v>13233</v>
      </c>
      <c r="C700" t="s">
        <v>74</v>
      </c>
      <c r="D700" t="s">
        <v>74</v>
      </c>
      <c r="E700" t="s">
        <v>74</v>
      </c>
      <c r="F700" t="s">
        <v>13234</v>
      </c>
      <c r="G700" t="s">
        <v>74</v>
      </c>
      <c r="H700" t="s">
        <v>74</v>
      </c>
      <c r="I700" t="s">
        <v>13235</v>
      </c>
      <c r="J700" t="s">
        <v>5913</v>
      </c>
      <c r="K700" t="s">
        <v>74</v>
      </c>
      <c r="L700" t="s">
        <v>74</v>
      </c>
      <c r="M700" t="s">
        <v>78</v>
      </c>
      <c r="N700" t="s">
        <v>79</v>
      </c>
      <c r="O700" t="s">
        <v>74</v>
      </c>
      <c r="P700" t="s">
        <v>74</v>
      </c>
      <c r="Q700" t="s">
        <v>74</v>
      </c>
      <c r="R700" t="s">
        <v>74</v>
      </c>
      <c r="S700" t="s">
        <v>74</v>
      </c>
      <c r="T700" t="s">
        <v>13236</v>
      </c>
      <c r="U700" t="s">
        <v>13237</v>
      </c>
      <c r="V700" t="s">
        <v>13238</v>
      </c>
      <c r="W700" t="s">
        <v>13239</v>
      </c>
      <c r="X700" t="s">
        <v>13240</v>
      </c>
      <c r="Y700" t="s">
        <v>13241</v>
      </c>
      <c r="Z700" t="s">
        <v>13242</v>
      </c>
      <c r="AA700" t="s">
        <v>13243</v>
      </c>
      <c r="AB700" t="s">
        <v>13244</v>
      </c>
      <c r="AC700" t="s">
        <v>13245</v>
      </c>
      <c r="AD700" t="s">
        <v>13246</v>
      </c>
      <c r="AE700" t="s">
        <v>13247</v>
      </c>
      <c r="AF700" t="s">
        <v>74</v>
      </c>
      <c r="AG700">
        <v>44</v>
      </c>
      <c r="AH700">
        <v>6</v>
      </c>
      <c r="AI700">
        <v>6</v>
      </c>
      <c r="AJ700">
        <v>0</v>
      </c>
      <c r="AK700">
        <v>22</v>
      </c>
      <c r="AL700" t="s">
        <v>5925</v>
      </c>
      <c r="AM700" t="s">
        <v>5926</v>
      </c>
      <c r="AN700" t="s">
        <v>13229</v>
      </c>
      <c r="AO700" t="s">
        <v>5928</v>
      </c>
      <c r="AP700" t="s">
        <v>5929</v>
      </c>
      <c r="AQ700" t="s">
        <v>74</v>
      </c>
      <c r="AR700" t="s">
        <v>5913</v>
      </c>
      <c r="AS700" t="s">
        <v>5930</v>
      </c>
      <c r="AT700" t="s">
        <v>12439</v>
      </c>
      <c r="AU700">
        <v>2017</v>
      </c>
      <c r="AV700">
        <v>21</v>
      </c>
      <c r="AW700">
        <v>2</v>
      </c>
      <c r="AX700" t="s">
        <v>74</v>
      </c>
      <c r="AY700" t="s">
        <v>74</v>
      </c>
      <c r="AZ700" t="s">
        <v>74</v>
      </c>
      <c r="BA700" t="s">
        <v>74</v>
      </c>
      <c r="BB700">
        <v>331</v>
      </c>
      <c r="BC700">
        <v>343</v>
      </c>
      <c r="BD700" t="s">
        <v>74</v>
      </c>
      <c r="BE700" t="s">
        <v>13248</v>
      </c>
      <c r="BF700" t="str">
        <f>HYPERLINK("http://dx.doi.org/10.1007/s00792-016-0905-z","http://dx.doi.org/10.1007/s00792-016-0905-z")</f>
        <v>http://dx.doi.org/10.1007/s00792-016-0905-z</v>
      </c>
      <c r="BG700" t="s">
        <v>74</v>
      </c>
      <c r="BH700" t="s">
        <v>74</v>
      </c>
      <c r="BI700">
        <v>13</v>
      </c>
      <c r="BJ700" t="s">
        <v>5932</v>
      </c>
      <c r="BK700" t="s">
        <v>103</v>
      </c>
      <c r="BL700" t="s">
        <v>5932</v>
      </c>
      <c r="BM700" t="s">
        <v>13231</v>
      </c>
      <c r="BN700">
        <v>28000023</v>
      </c>
      <c r="BO700" t="s">
        <v>74</v>
      </c>
      <c r="BP700" t="s">
        <v>74</v>
      </c>
      <c r="BQ700" t="s">
        <v>74</v>
      </c>
      <c r="BR700" t="s">
        <v>106</v>
      </c>
      <c r="BS700" t="s">
        <v>13249</v>
      </c>
      <c r="BT700" t="str">
        <f>HYPERLINK("https%3A%2F%2Fwww.webofscience.com%2Fwos%2Fwoscc%2Ffull-record%2FWOS:000397971100009","View Full Record in Web of Science")</f>
        <v>View Full Record in Web of Science</v>
      </c>
    </row>
    <row r="701" spans="1:72" x14ac:dyDescent="0.15">
      <c r="A701" t="s">
        <v>72</v>
      </c>
      <c r="B701" t="s">
        <v>13250</v>
      </c>
      <c r="C701" t="s">
        <v>74</v>
      </c>
      <c r="D701" t="s">
        <v>74</v>
      </c>
      <c r="E701" t="s">
        <v>74</v>
      </c>
      <c r="F701" t="s">
        <v>13251</v>
      </c>
      <c r="G701" t="s">
        <v>74</v>
      </c>
      <c r="H701" t="s">
        <v>74</v>
      </c>
      <c r="I701" t="s">
        <v>13252</v>
      </c>
      <c r="J701" t="s">
        <v>13253</v>
      </c>
      <c r="K701" t="s">
        <v>74</v>
      </c>
      <c r="L701" t="s">
        <v>74</v>
      </c>
      <c r="M701" t="s">
        <v>78</v>
      </c>
      <c r="N701" t="s">
        <v>79</v>
      </c>
      <c r="O701" t="s">
        <v>74</v>
      </c>
      <c r="P701" t="s">
        <v>74</v>
      </c>
      <c r="Q701" t="s">
        <v>74</v>
      </c>
      <c r="R701" t="s">
        <v>74</v>
      </c>
      <c r="S701" t="s">
        <v>74</v>
      </c>
      <c r="T701" t="s">
        <v>13254</v>
      </c>
      <c r="U701" t="s">
        <v>13255</v>
      </c>
      <c r="V701" t="s">
        <v>13256</v>
      </c>
      <c r="W701" t="s">
        <v>13257</v>
      </c>
      <c r="X701" t="s">
        <v>13258</v>
      </c>
      <c r="Y701" t="s">
        <v>13259</v>
      </c>
      <c r="Z701" t="s">
        <v>13260</v>
      </c>
      <c r="AA701" t="s">
        <v>11545</v>
      </c>
      <c r="AB701" t="s">
        <v>13261</v>
      </c>
      <c r="AC701" t="s">
        <v>74</v>
      </c>
      <c r="AD701" t="s">
        <v>74</v>
      </c>
      <c r="AE701" t="s">
        <v>74</v>
      </c>
      <c r="AF701" t="s">
        <v>74</v>
      </c>
      <c r="AG701">
        <v>66</v>
      </c>
      <c r="AH701">
        <v>47</v>
      </c>
      <c r="AI701">
        <v>49</v>
      </c>
      <c r="AJ701">
        <v>1</v>
      </c>
      <c r="AK701">
        <v>38</v>
      </c>
      <c r="AL701" t="s">
        <v>681</v>
      </c>
      <c r="AM701" t="s">
        <v>682</v>
      </c>
      <c r="AN701" t="s">
        <v>683</v>
      </c>
      <c r="AO701" t="s">
        <v>13262</v>
      </c>
      <c r="AP701" t="s">
        <v>13263</v>
      </c>
      <c r="AQ701" t="s">
        <v>74</v>
      </c>
      <c r="AR701" t="s">
        <v>13264</v>
      </c>
      <c r="AS701" t="s">
        <v>13265</v>
      </c>
      <c r="AT701" t="s">
        <v>12439</v>
      </c>
      <c r="AU701">
        <v>2017</v>
      </c>
      <c r="AV701">
        <v>86</v>
      </c>
      <c r="AW701">
        <v>2</v>
      </c>
      <c r="AX701" t="s">
        <v>74</v>
      </c>
      <c r="AY701" t="s">
        <v>74</v>
      </c>
      <c r="AZ701" t="s">
        <v>74</v>
      </c>
      <c r="BA701" t="s">
        <v>74</v>
      </c>
      <c r="BB701">
        <v>359</v>
      </c>
      <c r="BC701">
        <v>370</v>
      </c>
      <c r="BD701" t="s">
        <v>74</v>
      </c>
      <c r="BE701" t="s">
        <v>13266</v>
      </c>
      <c r="BF701" t="str">
        <f>HYPERLINK("http://dx.doi.org/10.1111/1365-2656.12611","http://dx.doi.org/10.1111/1365-2656.12611")</f>
        <v>http://dx.doi.org/10.1111/1365-2656.12611</v>
      </c>
      <c r="BG701" t="s">
        <v>74</v>
      </c>
      <c r="BH701" t="s">
        <v>74</v>
      </c>
      <c r="BI701">
        <v>12</v>
      </c>
      <c r="BJ701" t="s">
        <v>1171</v>
      </c>
      <c r="BK701" t="s">
        <v>103</v>
      </c>
      <c r="BL701" t="s">
        <v>1172</v>
      </c>
      <c r="BM701" t="s">
        <v>13267</v>
      </c>
      <c r="BN701">
        <v>27859273</v>
      </c>
      <c r="BO701" t="s">
        <v>412</v>
      </c>
      <c r="BP701" t="s">
        <v>74</v>
      </c>
      <c r="BQ701" t="s">
        <v>74</v>
      </c>
      <c r="BR701" t="s">
        <v>106</v>
      </c>
      <c r="BS701" t="s">
        <v>13268</v>
      </c>
      <c r="BT701" t="str">
        <f>HYPERLINK("https%3A%2F%2Fwww.webofscience.com%2Fwos%2Fwoscc%2Ffull-record%2FWOS:000397968700019","View Full Record in Web of Science")</f>
        <v>View Full Record in Web of Science</v>
      </c>
    </row>
    <row r="702" spans="1:72" x14ac:dyDescent="0.15">
      <c r="A702" t="s">
        <v>72</v>
      </c>
      <c r="B702" t="s">
        <v>13269</v>
      </c>
      <c r="C702" t="s">
        <v>74</v>
      </c>
      <c r="D702" t="s">
        <v>74</v>
      </c>
      <c r="E702" t="s">
        <v>74</v>
      </c>
      <c r="F702" t="s">
        <v>13270</v>
      </c>
      <c r="G702" t="s">
        <v>74</v>
      </c>
      <c r="H702" t="s">
        <v>74</v>
      </c>
      <c r="I702" t="s">
        <v>13271</v>
      </c>
      <c r="J702" t="s">
        <v>1521</v>
      </c>
      <c r="K702" t="s">
        <v>74</v>
      </c>
      <c r="L702" t="s">
        <v>74</v>
      </c>
      <c r="M702" t="s">
        <v>78</v>
      </c>
      <c r="N702" t="s">
        <v>79</v>
      </c>
      <c r="O702" t="s">
        <v>74</v>
      </c>
      <c r="P702" t="s">
        <v>74</v>
      </c>
      <c r="Q702" t="s">
        <v>74</v>
      </c>
      <c r="R702" t="s">
        <v>74</v>
      </c>
      <c r="S702" t="s">
        <v>74</v>
      </c>
      <c r="T702" t="s">
        <v>74</v>
      </c>
      <c r="U702" t="s">
        <v>13272</v>
      </c>
      <c r="V702" t="s">
        <v>13273</v>
      </c>
      <c r="W702" t="s">
        <v>13274</v>
      </c>
      <c r="X702" t="s">
        <v>13275</v>
      </c>
      <c r="Y702" t="s">
        <v>13276</v>
      </c>
      <c r="Z702" t="s">
        <v>13277</v>
      </c>
      <c r="AA702" t="s">
        <v>13278</v>
      </c>
      <c r="AB702" t="s">
        <v>13279</v>
      </c>
      <c r="AC702" t="s">
        <v>13280</v>
      </c>
      <c r="AD702" t="s">
        <v>13281</v>
      </c>
      <c r="AE702" t="s">
        <v>13282</v>
      </c>
      <c r="AF702" t="s">
        <v>74</v>
      </c>
      <c r="AG702">
        <v>44</v>
      </c>
      <c r="AH702">
        <v>41</v>
      </c>
      <c r="AI702">
        <v>47</v>
      </c>
      <c r="AJ702">
        <v>0</v>
      </c>
      <c r="AK702">
        <v>13</v>
      </c>
      <c r="AL702" t="s">
        <v>1115</v>
      </c>
      <c r="AM702" t="s">
        <v>1116</v>
      </c>
      <c r="AN702" t="s">
        <v>1117</v>
      </c>
      <c r="AO702" t="s">
        <v>1532</v>
      </c>
      <c r="AP702" t="s">
        <v>1533</v>
      </c>
      <c r="AQ702" t="s">
        <v>74</v>
      </c>
      <c r="AR702" t="s">
        <v>1534</v>
      </c>
      <c r="AS702" t="s">
        <v>1535</v>
      </c>
      <c r="AT702" t="s">
        <v>12439</v>
      </c>
      <c r="AU702">
        <v>2017</v>
      </c>
      <c r="AV702">
        <v>30</v>
      </c>
      <c r="AW702">
        <v>6</v>
      </c>
      <c r="AX702" t="s">
        <v>74</v>
      </c>
      <c r="AY702" t="s">
        <v>74</v>
      </c>
      <c r="AZ702" t="s">
        <v>74</v>
      </c>
      <c r="BA702" t="s">
        <v>74</v>
      </c>
      <c r="BB702">
        <v>1881</v>
      </c>
      <c r="BC702">
        <v>1892</v>
      </c>
      <c r="BD702" t="s">
        <v>74</v>
      </c>
      <c r="BE702" t="s">
        <v>13283</v>
      </c>
      <c r="BF702" t="str">
        <f>HYPERLINK("http://dx.doi.org/10.1175/JCLI-D-16-0388.1","http://dx.doi.org/10.1175/JCLI-D-16-0388.1")</f>
        <v>http://dx.doi.org/10.1175/JCLI-D-16-0388.1</v>
      </c>
      <c r="BG702" t="s">
        <v>74</v>
      </c>
      <c r="BH702" t="s">
        <v>74</v>
      </c>
      <c r="BI702">
        <v>12</v>
      </c>
      <c r="BJ702" t="s">
        <v>1261</v>
      </c>
      <c r="BK702" t="s">
        <v>103</v>
      </c>
      <c r="BL702" t="s">
        <v>1261</v>
      </c>
      <c r="BM702" t="s">
        <v>13284</v>
      </c>
      <c r="BN702" t="s">
        <v>74</v>
      </c>
      <c r="BO702" t="s">
        <v>6720</v>
      </c>
      <c r="BP702" t="s">
        <v>74</v>
      </c>
      <c r="BQ702" t="s">
        <v>74</v>
      </c>
      <c r="BR702" t="s">
        <v>106</v>
      </c>
      <c r="BS702" t="s">
        <v>13285</v>
      </c>
      <c r="BT702" t="str">
        <f>HYPERLINK("https%3A%2F%2Fwww.webofscience.com%2Fwos%2Fwoscc%2Ffull-record%2FWOS:000395765900001","View Full Record in Web of Science")</f>
        <v>View Full Record in Web of Science</v>
      </c>
    </row>
    <row r="703" spans="1:72" x14ac:dyDescent="0.15">
      <c r="A703" t="s">
        <v>72</v>
      </c>
      <c r="B703" t="s">
        <v>13286</v>
      </c>
      <c r="C703" t="s">
        <v>74</v>
      </c>
      <c r="D703" t="s">
        <v>74</v>
      </c>
      <c r="E703" t="s">
        <v>74</v>
      </c>
      <c r="F703" t="s">
        <v>13287</v>
      </c>
      <c r="G703" t="s">
        <v>74</v>
      </c>
      <c r="H703" t="s">
        <v>74</v>
      </c>
      <c r="I703" t="s">
        <v>13288</v>
      </c>
      <c r="J703" t="s">
        <v>13289</v>
      </c>
      <c r="K703" t="s">
        <v>74</v>
      </c>
      <c r="L703" t="s">
        <v>74</v>
      </c>
      <c r="M703" t="s">
        <v>78</v>
      </c>
      <c r="N703" t="s">
        <v>79</v>
      </c>
      <c r="O703" t="s">
        <v>74</v>
      </c>
      <c r="P703" t="s">
        <v>74</v>
      </c>
      <c r="Q703" t="s">
        <v>74</v>
      </c>
      <c r="R703" t="s">
        <v>74</v>
      </c>
      <c r="S703" t="s">
        <v>74</v>
      </c>
      <c r="T703" t="s">
        <v>13290</v>
      </c>
      <c r="U703" t="s">
        <v>13291</v>
      </c>
      <c r="V703" t="s">
        <v>13292</v>
      </c>
      <c r="W703" t="s">
        <v>13293</v>
      </c>
      <c r="X703" t="s">
        <v>13294</v>
      </c>
      <c r="Y703" t="s">
        <v>13295</v>
      </c>
      <c r="Z703" t="s">
        <v>13296</v>
      </c>
      <c r="AA703" t="s">
        <v>13297</v>
      </c>
      <c r="AB703" t="s">
        <v>13298</v>
      </c>
      <c r="AC703" t="s">
        <v>13299</v>
      </c>
      <c r="AD703" t="s">
        <v>13300</v>
      </c>
      <c r="AE703" t="s">
        <v>13301</v>
      </c>
      <c r="AF703" t="s">
        <v>74</v>
      </c>
      <c r="AG703">
        <v>49</v>
      </c>
      <c r="AH703">
        <v>4</v>
      </c>
      <c r="AI703">
        <v>4</v>
      </c>
      <c r="AJ703">
        <v>0</v>
      </c>
      <c r="AK703">
        <v>11</v>
      </c>
      <c r="AL703" t="s">
        <v>3295</v>
      </c>
      <c r="AM703" t="s">
        <v>3296</v>
      </c>
      <c r="AN703" t="s">
        <v>3297</v>
      </c>
      <c r="AO703" t="s">
        <v>13302</v>
      </c>
      <c r="AP703" t="s">
        <v>13303</v>
      </c>
      <c r="AQ703" t="s">
        <v>74</v>
      </c>
      <c r="AR703" t="s">
        <v>13304</v>
      </c>
      <c r="AS703" t="s">
        <v>13305</v>
      </c>
      <c r="AT703" t="s">
        <v>12439</v>
      </c>
      <c r="AU703">
        <v>2017</v>
      </c>
      <c r="AV703">
        <v>197</v>
      </c>
      <c r="AW703">
        <v>3</v>
      </c>
      <c r="AX703" t="s">
        <v>74</v>
      </c>
      <c r="AY703" t="s">
        <v>74</v>
      </c>
      <c r="AZ703" t="s">
        <v>74</v>
      </c>
      <c r="BA703" t="s">
        <v>74</v>
      </c>
      <c r="BB703">
        <v>201</v>
      </c>
      <c r="BC703">
        <v>209</v>
      </c>
      <c r="BD703" t="s">
        <v>74</v>
      </c>
      <c r="BE703" t="s">
        <v>13306</v>
      </c>
      <c r="BF703" t="str">
        <f>HYPERLINK("http://dx.doi.org/10.1016/j.jsb.2016.10.010","http://dx.doi.org/10.1016/j.jsb.2016.10.010")</f>
        <v>http://dx.doi.org/10.1016/j.jsb.2016.10.010</v>
      </c>
      <c r="BG703" t="s">
        <v>74</v>
      </c>
      <c r="BH703" t="s">
        <v>74</v>
      </c>
      <c r="BI703">
        <v>9</v>
      </c>
      <c r="BJ703" t="s">
        <v>13307</v>
      </c>
      <c r="BK703" t="s">
        <v>103</v>
      </c>
      <c r="BL703" t="s">
        <v>13307</v>
      </c>
      <c r="BM703" t="s">
        <v>13308</v>
      </c>
      <c r="BN703">
        <v>27810564</v>
      </c>
      <c r="BO703" t="s">
        <v>74</v>
      </c>
      <c r="BP703" t="s">
        <v>74</v>
      </c>
      <c r="BQ703" t="s">
        <v>74</v>
      </c>
      <c r="BR703" t="s">
        <v>106</v>
      </c>
      <c r="BS703" t="s">
        <v>13309</v>
      </c>
      <c r="BT703" t="str">
        <f>HYPERLINK("https%3A%2F%2Fwww.webofscience.com%2Fwos%2Fwoscc%2Ffull-record%2FWOS:000397702300001","View Full Record in Web of Science")</f>
        <v>View Full Record in Web of Science</v>
      </c>
    </row>
    <row r="704" spans="1:72" x14ac:dyDescent="0.15">
      <c r="A704" t="s">
        <v>72</v>
      </c>
      <c r="B704" t="s">
        <v>13310</v>
      </c>
      <c r="C704" t="s">
        <v>74</v>
      </c>
      <c r="D704" t="s">
        <v>74</v>
      </c>
      <c r="E704" t="s">
        <v>74</v>
      </c>
      <c r="F704" t="s">
        <v>13311</v>
      </c>
      <c r="G704" t="s">
        <v>74</v>
      </c>
      <c r="H704" t="s">
        <v>74</v>
      </c>
      <c r="I704" t="s">
        <v>13312</v>
      </c>
      <c r="J704" t="s">
        <v>5062</v>
      </c>
      <c r="K704" t="s">
        <v>74</v>
      </c>
      <c r="L704" t="s">
        <v>74</v>
      </c>
      <c r="M704" t="s">
        <v>78</v>
      </c>
      <c r="N704" t="s">
        <v>79</v>
      </c>
      <c r="O704" t="s">
        <v>74</v>
      </c>
      <c r="P704" t="s">
        <v>74</v>
      </c>
      <c r="Q704" t="s">
        <v>74</v>
      </c>
      <c r="R704" t="s">
        <v>74</v>
      </c>
      <c r="S704" t="s">
        <v>74</v>
      </c>
      <c r="T704" t="s">
        <v>74</v>
      </c>
      <c r="U704" t="s">
        <v>13313</v>
      </c>
      <c r="V704" t="s">
        <v>13314</v>
      </c>
      <c r="W704" t="s">
        <v>13315</v>
      </c>
      <c r="X704" t="s">
        <v>13316</v>
      </c>
      <c r="Y704" t="s">
        <v>13317</v>
      </c>
      <c r="Z704" t="s">
        <v>13318</v>
      </c>
      <c r="AA704" t="s">
        <v>74</v>
      </c>
      <c r="AB704" t="s">
        <v>74</v>
      </c>
      <c r="AC704" t="s">
        <v>13319</v>
      </c>
      <c r="AD704" t="s">
        <v>13320</v>
      </c>
      <c r="AE704" t="s">
        <v>13321</v>
      </c>
      <c r="AF704" t="s">
        <v>74</v>
      </c>
      <c r="AG704">
        <v>70</v>
      </c>
      <c r="AH704">
        <v>12</v>
      </c>
      <c r="AI704">
        <v>14</v>
      </c>
      <c r="AJ704">
        <v>0</v>
      </c>
      <c r="AK704">
        <v>22</v>
      </c>
      <c r="AL704" t="s">
        <v>681</v>
      </c>
      <c r="AM704" t="s">
        <v>682</v>
      </c>
      <c r="AN704" t="s">
        <v>683</v>
      </c>
      <c r="AO704" t="s">
        <v>5074</v>
      </c>
      <c r="AP704" t="s">
        <v>5075</v>
      </c>
      <c r="AQ704" t="s">
        <v>74</v>
      </c>
      <c r="AR704" t="s">
        <v>5076</v>
      </c>
      <c r="AS704" t="s">
        <v>5077</v>
      </c>
      <c r="AT704" t="s">
        <v>12439</v>
      </c>
      <c r="AU704">
        <v>2017</v>
      </c>
      <c r="AV704">
        <v>62</v>
      </c>
      <c r="AW704">
        <v>2</v>
      </c>
      <c r="AX704" t="s">
        <v>74</v>
      </c>
      <c r="AY704" t="s">
        <v>74</v>
      </c>
      <c r="AZ704" t="s">
        <v>74</v>
      </c>
      <c r="BA704" t="s">
        <v>74</v>
      </c>
      <c r="BB704">
        <v>421</v>
      </c>
      <c r="BC704">
        <v>436</v>
      </c>
      <c r="BD704" t="s">
        <v>74</v>
      </c>
      <c r="BE704" t="s">
        <v>13322</v>
      </c>
      <c r="BF704" t="str">
        <f>HYPERLINK("http://dx.doi.org/10.1002/lno.10432","http://dx.doi.org/10.1002/lno.10432")</f>
        <v>http://dx.doi.org/10.1002/lno.10432</v>
      </c>
      <c r="BG704" t="s">
        <v>74</v>
      </c>
      <c r="BH704" t="s">
        <v>74</v>
      </c>
      <c r="BI704">
        <v>16</v>
      </c>
      <c r="BJ704" t="s">
        <v>5079</v>
      </c>
      <c r="BK704" t="s">
        <v>103</v>
      </c>
      <c r="BL704" t="s">
        <v>4165</v>
      </c>
      <c r="BM704" t="s">
        <v>13323</v>
      </c>
      <c r="BN704" t="s">
        <v>74</v>
      </c>
      <c r="BO704" t="s">
        <v>412</v>
      </c>
      <c r="BP704" t="s">
        <v>74</v>
      </c>
      <c r="BQ704" t="s">
        <v>74</v>
      </c>
      <c r="BR704" t="s">
        <v>106</v>
      </c>
      <c r="BS704" t="s">
        <v>13324</v>
      </c>
      <c r="BT704" t="str">
        <f>HYPERLINK("https%3A%2F%2Fwww.webofscience.com%2Fwos%2Fwoscc%2Ffull-record%2FWOS:000397875700003","View Full Record in Web of Science")</f>
        <v>View Full Record in Web of Science</v>
      </c>
    </row>
    <row r="705" spans="1:72" x14ac:dyDescent="0.15">
      <c r="A705" t="s">
        <v>72</v>
      </c>
      <c r="B705" t="s">
        <v>13325</v>
      </c>
      <c r="C705" t="s">
        <v>74</v>
      </c>
      <c r="D705" t="s">
        <v>74</v>
      </c>
      <c r="E705" t="s">
        <v>74</v>
      </c>
      <c r="F705" t="s">
        <v>13326</v>
      </c>
      <c r="G705" t="s">
        <v>74</v>
      </c>
      <c r="H705" t="s">
        <v>74</v>
      </c>
      <c r="I705" t="s">
        <v>13327</v>
      </c>
      <c r="J705" t="s">
        <v>5062</v>
      </c>
      <c r="K705" t="s">
        <v>74</v>
      </c>
      <c r="L705" t="s">
        <v>74</v>
      </c>
      <c r="M705" t="s">
        <v>78</v>
      </c>
      <c r="N705" t="s">
        <v>79</v>
      </c>
      <c r="O705" t="s">
        <v>74</v>
      </c>
      <c r="P705" t="s">
        <v>74</v>
      </c>
      <c r="Q705" t="s">
        <v>74</v>
      </c>
      <c r="R705" t="s">
        <v>74</v>
      </c>
      <c r="S705" t="s">
        <v>74</v>
      </c>
      <c r="T705" t="s">
        <v>74</v>
      </c>
      <c r="U705" t="s">
        <v>13328</v>
      </c>
      <c r="V705" t="s">
        <v>13329</v>
      </c>
      <c r="W705" t="s">
        <v>13330</v>
      </c>
      <c r="X705" t="s">
        <v>13331</v>
      </c>
      <c r="Y705" t="s">
        <v>13332</v>
      </c>
      <c r="Z705" t="s">
        <v>13333</v>
      </c>
      <c r="AA705" t="s">
        <v>13334</v>
      </c>
      <c r="AB705" t="s">
        <v>13335</v>
      </c>
      <c r="AC705" t="s">
        <v>13336</v>
      </c>
      <c r="AD705" t="s">
        <v>13337</v>
      </c>
      <c r="AE705" t="s">
        <v>13338</v>
      </c>
      <c r="AF705" t="s">
        <v>74</v>
      </c>
      <c r="AG705">
        <v>126</v>
      </c>
      <c r="AH705">
        <v>52</v>
      </c>
      <c r="AI705">
        <v>58</v>
      </c>
      <c r="AJ705">
        <v>1</v>
      </c>
      <c r="AK705">
        <v>53</v>
      </c>
      <c r="AL705" t="s">
        <v>681</v>
      </c>
      <c r="AM705" t="s">
        <v>682</v>
      </c>
      <c r="AN705" t="s">
        <v>683</v>
      </c>
      <c r="AO705" t="s">
        <v>5074</v>
      </c>
      <c r="AP705" t="s">
        <v>5075</v>
      </c>
      <c r="AQ705" t="s">
        <v>74</v>
      </c>
      <c r="AR705" t="s">
        <v>5076</v>
      </c>
      <c r="AS705" t="s">
        <v>5077</v>
      </c>
      <c r="AT705" t="s">
        <v>12439</v>
      </c>
      <c r="AU705">
        <v>2017</v>
      </c>
      <c r="AV705">
        <v>62</v>
      </c>
      <c r="AW705">
        <v>2</v>
      </c>
      <c r="AX705" t="s">
        <v>74</v>
      </c>
      <c r="AY705" t="s">
        <v>74</v>
      </c>
      <c r="AZ705" t="s">
        <v>74</v>
      </c>
      <c r="BA705" t="s">
        <v>74</v>
      </c>
      <c r="BB705">
        <v>519</v>
      </c>
      <c r="BC705">
        <v>540</v>
      </c>
      <c r="BD705" t="s">
        <v>74</v>
      </c>
      <c r="BE705" t="s">
        <v>13339</v>
      </c>
      <c r="BF705" t="str">
        <f>HYPERLINK("http://dx.doi.org/10.1002/lno.10442","http://dx.doi.org/10.1002/lno.10442")</f>
        <v>http://dx.doi.org/10.1002/lno.10442</v>
      </c>
      <c r="BG705" t="s">
        <v>74</v>
      </c>
      <c r="BH705" t="s">
        <v>74</v>
      </c>
      <c r="BI705">
        <v>22</v>
      </c>
      <c r="BJ705" t="s">
        <v>5079</v>
      </c>
      <c r="BK705" t="s">
        <v>103</v>
      </c>
      <c r="BL705" t="s">
        <v>4165</v>
      </c>
      <c r="BM705" t="s">
        <v>13323</v>
      </c>
      <c r="BN705" t="s">
        <v>74</v>
      </c>
      <c r="BO705" t="s">
        <v>13340</v>
      </c>
      <c r="BP705" t="s">
        <v>74</v>
      </c>
      <c r="BQ705" t="s">
        <v>74</v>
      </c>
      <c r="BR705" t="s">
        <v>106</v>
      </c>
      <c r="BS705" t="s">
        <v>13341</v>
      </c>
      <c r="BT705" t="str">
        <f>HYPERLINK("https%3A%2F%2Fwww.webofscience.com%2Fwos%2Fwoscc%2Ffull-record%2FWOS:000397875700009","View Full Record in Web of Science")</f>
        <v>View Full Record in Web of Science</v>
      </c>
    </row>
    <row r="706" spans="1:72" x14ac:dyDescent="0.15">
      <c r="A706" t="s">
        <v>72</v>
      </c>
      <c r="B706" t="s">
        <v>13342</v>
      </c>
      <c r="C706" t="s">
        <v>74</v>
      </c>
      <c r="D706" t="s">
        <v>74</v>
      </c>
      <c r="E706" t="s">
        <v>74</v>
      </c>
      <c r="F706" t="s">
        <v>13343</v>
      </c>
      <c r="G706" t="s">
        <v>74</v>
      </c>
      <c r="H706" t="s">
        <v>74</v>
      </c>
      <c r="I706" t="s">
        <v>13344</v>
      </c>
      <c r="J706" t="s">
        <v>13345</v>
      </c>
      <c r="K706" t="s">
        <v>74</v>
      </c>
      <c r="L706" t="s">
        <v>74</v>
      </c>
      <c r="M706" t="s">
        <v>78</v>
      </c>
      <c r="N706" t="s">
        <v>79</v>
      </c>
      <c r="O706" t="s">
        <v>74</v>
      </c>
      <c r="P706" t="s">
        <v>74</v>
      </c>
      <c r="Q706" t="s">
        <v>74</v>
      </c>
      <c r="R706" t="s">
        <v>74</v>
      </c>
      <c r="S706" t="s">
        <v>74</v>
      </c>
      <c r="T706" t="s">
        <v>74</v>
      </c>
      <c r="U706" t="s">
        <v>13346</v>
      </c>
      <c r="V706" t="s">
        <v>13347</v>
      </c>
      <c r="W706" t="s">
        <v>13348</v>
      </c>
      <c r="X706" t="s">
        <v>13349</v>
      </c>
      <c r="Y706" t="s">
        <v>13350</v>
      </c>
      <c r="Z706" t="s">
        <v>13351</v>
      </c>
      <c r="AA706" t="s">
        <v>74</v>
      </c>
      <c r="AB706" t="s">
        <v>13352</v>
      </c>
      <c r="AC706" t="s">
        <v>74</v>
      </c>
      <c r="AD706" t="s">
        <v>74</v>
      </c>
      <c r="AE706" t="s">
        <v>74</v>
      </c>
      <c r="AF706" t="s">
        <v>74</v>
      </c>
      <c r="AG706">
        <v>169</v>
      </c>
      <c r="AH706">
        <v>6</v>
      </c>
      <c r="AI706">
        <v>6</v>
      </c>
      <c r="AJ706">
        <v>1</v>
      </c>
      <c r="AK706">
        <v>7</v>
      </c>
      <c r="AL706" t="s">
        <v>5157</v>
      </c>
      <c r="AM706" t="s">
        <v>5158</v>
      </c>
      <c r="AN706" t="s">
        <v>5159</v>
      </c>
      <c r="AO706" t="s">
        <v>13353</v>
      </c>
      <c r="AP706" t="s">
        <v>13354</v>
      </c>
      <c r="AQ706" t="s">
        <v>74</v>
      </c>
      <c r="AR706" t="s">
        <v>13355</v>
      </c>
      <c r="AS706" t="s">
        <v>13356</v>
      </c>
      <c r="AT706" t="s">
        <v>12439</v>
      </c>
      <c r="AU706">
        <v>2017</v>
      </c>
      <c r="AV706">
        <v>52</v>
      </c>
      <c r="AW706">
        <v>2</v>
      </c>
      <c r="AX706" t="s">
        <v>74</v>
      </c>
      <c r="AY706" t="s">
        <v>74</v>
      </c>
      <c r="AZ706" t="s">
        <v>74</v>
      </c>
      <c r="BA706" t="s">
        <v>74</v>
      </c>
      <c r="BB706">
        <v>125</v>
      </c>
      <c r="BC706">
        <v>146</v>
      </c>
      <c r="BD706" t="s">
        <v>74</v>
      </c>
      <c r="BE706" t="s">
        <v>13357</v>
      </c>
      <c r="BF706" t="str">
        <f>HYPERLINK("http://dx.doi.org/10.1134/S0024490217010023","http://dx.doi.org/10.1134/S0024490217010023")</f>
        <v>http://dx.doi.org/10.1134/S0024490217010023</v>
      </c>
      <c r="BG706" t="s">
        <v>74</v>
      </c>
      <c r="BH706" t="s">
        <v>74</v>
      </c>
      <c r="BI706">
        <v>22</v>
      </c>
      <c r="BJ706" t="s">
        <v>13358</v>
      </c>
      <c r="BK706" t="s">
        <v>103</v>
      </c>
      <c r="BL706" t="s">
        <v>13358</v>
      </c>
      <c r="BM706" t="s">
        <v>13359</v>
      </c>
      <c r="BN706" t="s">
        <v>74</v>
      </c>
      <c r="BO706" t="s">
        <v>74</v>
      </c>
      <c r="BP706" t="s">
        <v>74</v>
      </c>
      <c r="BQ706" t="s">
        <v>74</v>
      </c>
      <c r="BR706" t="s">
        <v>106</v>
      </c>
      <c r="BS706" t="s">
        <v>13360</v>
      </c>
      <c r="BT706" t="str">
        <f>HYPERLINK("https%3A%2F%2Fwww.webofscience.com%2Fwos%2Fwoscc%2Ffull-record%2FWOS:000397995200004","View Full Record in Web of Science")</f>
        <v>View Full Record in Web of Science</v>
      </c>
    </row>
    <row r="707" spans="1:72" x14ac:dyDescent="0.15">
      <c r="A707" t="s">
        <v>72</v>
      </c>
      <c r="B707" t="s">
        <v>13361</v>
      </c>
      <c r="C707" t="s">
        <v>74</v>
      </c>
      <c r="D707" t="s">
        <v>74</v>
      </c>
      <c r="E707" t="s">
        <v>74</v>
      </c>
      <c r="F707" t="s">
        <v>13362</v>
      </c>
      <c r="G707" t="s">
        <v>74</v>
      </c>
      <c r="H707" t="s">
        <v>74</v>
      </c>
      <c r="I707" t="s">
        <v>13363</v>
      </c>
      <c r="J707" t="s">
        <v>13364</v>
      </c>
      <c r="K707" t="s">
        <v>74</v>
      </c>
      <c r="L707" t="s">
        <v>74</v>
      </c>
      <c r="M707" t="s">
        <v>78</v>
      </c>
      <c r="N707" t="s">
        <v>79</v>
      </c>
      <c r="O707" t="s">
        <v>74</v>
      </c>
      <c r="P707" t="s">
        <v>74</v>
      </c>
      <c r="Q707" t="s">
        <v>74</v>
      </c>
      <c r="R707" t="s">
        <v>74</v>
      </c>
      <c r="S707" t="s">
        <v>74</v>
      </c>
      <c r="T707" t="s">
        <v>13365</v>
      </c>
      <c r="U707" t="s">
        <v>13366</v>
      </c>
      <c r="V707" t="s">
        <v>13367</v>
      </c>
      <c r="W707" t="s">
        <v>13368</v>
      </c>
      <c r="X707" t="s">
        <v>13369</v>
      </c>
      <c r="Y707" t="s">
        <v>5198</v>
      </c>
      <c r="Z707" t="s">
        <v>5199</v>
      </c>
      <c r="AA707" t="s">
        <v>13370</v>
      </c>
      <c r="AB707" t="s">
        <v>13371</v>
      </c>
      <c r="AC707" t="s">
        <v>13372</v>
      </c>
      <c r="AD707" t="s">
        <v>13373</v>
      </c>
      <c r="AE707" t="s">
        <v>13374</v>
      </c>
      <c r="AF707" t="s">
        <v>74</v>
      </c>
      <c r="AG707">
        <v>43</v>
      </c>
      <c r="AH707">
        <v>10</v>
      </c>
      <c r="AI707">
        <v>10</v>
      </c>
      <c r="AJ707">
        <v>0</v>
      </c>
      <c r="AK707">
        <v>16</v>
      </c>
      <c r="AL707" t="s">
        <v>729</v>
      </c>
      <c r="AM707" t="s">
        <v>730</v>
      </c>
      <c r="AN707" t="s">
        <v>731</v>
      </c>
      <c r="AO707" t="s">
        <v>13375</v>
      </c>
      <c r="AP707" t="s">
        <v>13376</v>
      </c>
      <c r="AQ707" t="s">
        <v>74</v>
      </c>
      <c r="AR707" t="s">
        <v>13377</v>
      </c>
      <c r="AS707" t="s">
        <v>13378</v>
      </c>
      <c r="AT707" t="s">
        <v>12439</v>
      </c>
      <c r="AU707">
        <v>2017</v>
      </c>
      <c r="AV707">
        <v>17</v>
      </c>
      <c r="AW707">
        <v>1</v>
      </c>
      <c r="AX707" t="s">
        <v>74</v>
      </c>
      <c r="AY707" t="s">
        <v>74</v>
      </c>
      <c r="AZ707" t="s">
        <v>74</v>
      </c>
      <c r="BA707" t="s">
        <v>74</v>
      </c>
      <c r="BB707">
        <v>101</v>
      </c>
      <c r="BC707">
        <v>109</v>
      </c>
      <c r="BD707" t="s">
        <v>74</v>
      </c>
      <c r="BE707" t="s">
        <v>13379</v>
      </c>
      <c r="BF707" t="str">
        <f>HYPERLINK("http://dx.doi.org/10.1007/s13127-016-0309-z","http://dx.doi.org/10.1007/s13127-016-0309-z")</f>
        <v>http://dx.doi.org/10.1007/s13127-016-0309-z</v>
      </c>
      <c r="BG707" t="s">
        <v>74</v>
      </c>
      <c r="BH707" t="s">
        <v>74</v>
      </c>
      <c r="BI707">
        <v>9</v>
      </c>
      <c r="BJ707" t="s">
        <v>13380</v>
      </c>
      <c r="BK707" t="s">
        <v>103</v>
      </c>
      <c r="BL707" t="s">
        <v>13380</v>
      </c>
      <c r="BM707" t="s">
        <v>13381</v>
      </c>
      <c r="BN707" t="s">
        <v>74</v>
      </c>
      <c r="BO707" t="s">
        <v>1538</v>
      </c>
      <c r="BP707" t="s">
        <v>74</v>
      </c>
      <c r="BQ707" t="s">
        <v>74</v>
      </c>
      <c r="BR707" t="s">
        <v>106</v>
      </c>
      <c r="BS707" t="s">
        <v>13382</v>
      </c>
      <c r="BT707" t="str">
        <f>HYPERLINK("https%3A%2F%2Fwww.webofscience.com%2Fwos%2Fwoscc%2Ffull-record%2FWOS:000396042400008","View Full Record in Web of Science")</f>
        <v>View Full Record in Web of Science</v>
      </c>
    </row>
    <row r="708" spans="1:72" x14ac:dyDescent="0.15">
      <c r="A708" t="s">
        <v>72</v>
      </c>
      <c r="B708" t="s">
        <v>13383</v>
      </c>
      <c r="C708" t="s">
        <v>74</v>
      </c>
      <c r="D708" t="s">
        <v>74</v>
      </c>
      <c r="E708" t="s">
        <v>74</v>
      </c>
      <c r="F708" t="s">
        <v>13384</v>
      </c>
      <c r="G708" t="s">
        <v>74</v>
      </c>
      <c r="H708" t="s">
        <v>74</v>
      </c>
      <c r="I708" t="s">
        <v>13385</v>
      </c>
      <c r="J708" t="s">
        <v>13364</v>
      </c>
      <c r="K708" t="s">
        <v>74</v>
      </c>
      <c r="L708" t="s">
        <v>74</v>
      </c>
      <c r="M708" t="s">
        <v>78</v>
      </c>
      <c r="N708" t="s">
        <v>79</v>
      </c>
      <c r="O708" t="s">
        <v>74</v>
      </c>
      <c r="P708" t="s">
        <v>74</v>
      </c>
      <c r="Q708" t="s">
        <v>74</v>
      </c>
      <c r="R708" t="s">
        <v>74</v>
      </c>
      <c r="S708" t="s">
        <v>74</v>
      </c>
      <c r="T708" t="s">
        <v>13386</v>
      </c>
      <c r="U708" t="s">
        <v>13387</v>
      </c>
      <c r="V708" t="s">
        <v>13388</v>
      </c>
      <c r="W708" t="s">
        <v>13389</v>
      </c>
      <c r="X708" t="s">
        <v>13390</v>
      </c>
      <c r="Y708" t="s">
        <v>13391</v>
      </c>
      <c r="Z708" t="s">
        <v>13392</v>
      </c>
      <c r="AA708" t="s">
        <v>13393</v>
      </c>
      <c r="AB708" t="s">
        <v>13394</v>
      </c>
      <c r="AC708" t="s">
        <v>13395</v>
      </c>
      <c r="AD708" t="s">
        <v>13396</v>
      </c>
      <c r="AE708" t="s">
        <v>13397</v>
      </c>
      <c r="AF708" t="s">
        <v>74</v>
      </c>
      <c r="AG708">
        <v>31</v>
      </c>
      <c r="AH708">
        <v>10</v>
      </c>
      <c r="AI708">
        <v>11</v>
      </c>
      <c r="AJ708">
        <v>0</v>
      </c>
      <c r="AK708">
        <v>15</v>
      </c>
      <c r="AL708" t="s">
        <v>729</v>
      </c>
      <c r="AM708" t="s">
        <v>730</v>
      </c>
      <c r="AN708" t="s">
        <v>731</v>
      </c>
      <c r="AO708" t="s">
        <v>13375</v>
      </c>
      <c r="AP708" t="s">
        <v>13376</v>
      </c>
      <c r="AQ708" t="s">
        <v>74</v>
      </c>
      <c r="AR708" t="s">
        <v>13377</v>
      </c>
      <c r="AS708" t="s">
        <v>13378</v>
      </c>
      <c r="AT708" t="s">
        <v>12439</v>
      </c>
      <c r="AU708">
        <v>2017</v>
      </c>
      <c r="AV708">
        <v>17</v>
      </c>
      <c r="AW708">
        <v>1</v>
      </c>
      <c r="AX708" t="s">
        <v>74</v>
      </c>
      <c r="AY708" t="s">
        <v>74</v>
      </c>
      <c r="AZ708" t="s">
        <v>74</v>
      </c>
      <c r="BA708" t="s">
        <v>74</v>
      </c>
      <c r="BB708">
        <v>121</v>
      </c>
      <c r="BC708">
        <v>135</v>
      </c>
      <c r="BD708" t="s">
        <v>74</v>
      </c>
      <c r="BE708" t="s">
        <v>13398</v>
      </c>
      <c r="BF708" t="str">
        <f>HYPERLINK("http://dx.doi.org/10.1007/s13127-016-0310-6","http://dx.doi.org/10.1007/s13127-016-0310-6")</f>
        <v>http://dx.doi.org/10.1007/s13127-016-0310-6</v>
      </c>
      <c r="BG708" t="s">
        <v>74</v>
      </c>
      <c r="BH708" t="s">
        <v>74</v>
      </c>
      <c r="BI708">
        <v>15</v>
      </c>
      <c r="BJ708" t="s">
        <v>13380</v>
      </c>
      <c r="BK708" t="s">
        <v>103</v>
      </c>
      <c r="BL708" t="s">
        <v>13380</v>
      </c>
      <c r="BM708" t="s">
        <v>13381</v>
      </c>
      <c r="BN708" t="s">
        <v>74</v>
      </c>
      <c r="BO708" t="s">
        <v>74</v>
      </c>
      <c r="BP708" t="s">
        <v>74</v>
      </c>
      <c r="BQ708" t="s">
        <v>74</v>
      </c>
      <c r="BR708" t="s">
        <v>106</v>
      </c>
      <c r="BS708" t="s">
        <v>13399</v>
      </c>
      <c r="BT708" t="str">
        <f>HYPERLINK("https%3A%2F%2Fwww.webofscience.com%2Fwos%2Fwoscc%2Ffull-record%2FWOS:000396042400010","View Full Record in Web of Science")</f>
        <v>View Full Record in Web of Science</v>
      </c>
    </row>
    <row r="709" spans="1:72" x14ac:dyDescent="0.15">
      <c r="A709" t="s">
        <v>72</v>
      </c>
      <c r="B709" t="s">
        <v>13400</v>
      </c>
      <c r="C709" t="s">
        <v>74</v>
      </c>
      <c r="D709" t="s">
        <v>74</v>
      </c>
      <c r="E709" t="s">
        <v>74</v>
      </c>
      <c r="F709" t="s">
        <v>13401</v>
      </c>
      <c r="G709" t="s">
        <v>74</v>
      </c>
      <c r="H709" t="s">
        <v>74</v>
      </c>
      <c r="I709" t="s">
        <v>13402</v>
      </c>
      <c r="J709" t="s">
        <v>5255</v>
      </c>
      <c r="K709" t="s">
        <v>74</v>
      </c>
      <c r="L709" t="s">
        <v>74</v>
      </c>
      <c r="M709" t="s">
        <v>78</v>
      </c>
      <c r="N709" t="s">
        <v>79</v>
      </c>
      <c r="O709" t="s">
        <v>74</v>
      </c>
      <c r="P709" t="s">
        <v>74</v>
      </c>
      <c r="Q709" t="s">
        <v>74</v>
      </c>
      <c r="R709" t="s">
        <v>74</v>
      </c>
      <c r="S709" t="s">
        <v>74</v>
      </c>
      <c r="T709" t="s">
        <v>74</v>
      </c>
      <c r="U709" t="s">
        <v>13403</v>
      </c>
      <c r="V709" t="s">
        <v>13404</v>
      </c>
      <c r="W709" t="s">
        <v>13405</v>
      </c>
      <c r="X709" t="s">
        <v>13406</v>
      </c>
      <c r="Y709" t="s">
        <v>13407</v>
      </c>
      <c r="Z709" t="s">
        <v>13408</v>
      </c>
      <c r="AA709" t="s">
        <v>74</v>
      </c>
      <c r="AB709" t="s">
        <v>74</v>
      </c>
      <c r="AC709" t="s">
        <v>13409</v>
      </c>
      <c r="AD709" t="s">
        <v>13410</v>
      </c>
      <c r="AE709" t="s">
        <v>13411</v>
      </c>
      <c r="AF709" t="s">
        <v>74</v>
      </c>
      <c r="AG709">
        <v>81</v>
      </c>
      <c r="AH709">
        <v>20</v>
      </c>
      <c r="AI709">
        <v>20</v>
      </c>
      <c r="AJ709">
        <v>1</v>
      </c>
      <c r="AK709">
        <v>23</v>
      </c>
      <c r="AL709" t="s">
        <v>803</v>
      </c>
      <c r="AM709" t="s">
        <v>430</v>
      </c>
      <c r="AN709" t="s">
        <v>804</v>
      </c>
      <c r="AO709" t="s">
        <v>5261</v>
      </c>
      <c r="AP709" t="s">
        <v>5262</v>
      </c>
      <c r="AQ709" t="s">
        <v>74</v>
      </c>
      <c r="AR709" t="s">
        <v>5263</v>
      </c>
      <c r="AS709" t="s">
        <v>5264</v>
      </c>
      <c r="AT709" t="s">
        <v>12439</v>
      </c>
      <c r="AU709">
        <v>2017</v>
      </c>
      <c r="AV709">
        <v>53</v>
      </c>
      <c r="AW709">
        <v>2</v>
      </c>
      <c r="AX709" t="s">
        <v>74</v>
      </c>
      <c r="AY709" t="s">
        <v>74</v>
      </c>
      <c r="AZ709" t="s">
        <v>74</v>
      </c>
      <c r="BA709" t="s">
        <v>74</v>
      </c>
      <c r="BB709">
        <v>143</v>
      </c>
      <c r="BC709">
        <v>152</v>
      </c>
      <c r="BD709" t="s">
        <v>74</v>
      </c>
      <c r="BE709" t="s">
        <v>13412</v>
      </c>
      <c r="BF709" t="str">
        <f>HYPERLINK("http://dx.doi.org/10.1017/S0032247416000875","http://dx.doi.org/10.1017/S0032247416000875")</f>
        <v>http://dx.doi.org/10.1017/S0032247416000875</v>
      </c>
      <c r="BG709" t="s">
        <v>74</v>
      </c>
      <c r="BH709" t="s">
        <v>74</v>
      </c>
      <c r="BI709">
        <v>10</v>
      </c>
      <c r="BJ709" t="s">
        <v>2339</v>
      </c>
      <c r="BK709" t="s">
        <v>103</v>
      </c>
      <c r="BL709" t="s">
        <v>993</v>
      </c>
      <c r="BM709" t="s">
        <v>13413</v>
      </c>
      <c r="BN709" t="s">
        <v>74</v>
      </c>
      <c r="BO709" t="s">
        <v>74</v>
      </c>
      <c r="BP709" t="s">
        <v>74</v>
      </c>
      <c r="BQ709" t="s">
        <v>74</v>
      </c>
      <c r="BR709" t="s">
        <v>106</v>
      </c>
      <c r="BS709" t="s">
        <v>13414</v>
      </c>
      <c r="BT709" t="str">
        <f>HYPERLINK("https%3A%2F%2Fwww.webofscience.com%2Fwos%2Fwoscc%2Ffull-record%2FWOS:000398224700003","View Full Record in Web of Science")</f>
        <v>View Full Record in Web of Science</v>
      </c>
    </row>
    <row r="710" spans="1:72" x14ac:dyDescent="0.15">
      <c r="A710" t="s">
        <v>72</v>
      </c>
      <c r="B710" t="s">
        <v>13415</v>
      </c>
      <c r="C710" t="s">
        <v>74</v>
      </c>
      <c r="D710" t="s">
        <v>74</v>
      </c>
      <c r="E710" t="s">
        <v>74</v>
      </c>
      <c r="F710" t="s">
        <v>13416</v>
      </c>
      <c r="G710" t="s">
        <v>74</v>
      </c>
      <c r="H710" t="s">
        <v>74</v>
      </c>
      <c r="I710" t="s">
        <v>13417</v>
      </c>
      <c r="J710" t="s">
        <v>5255</v>
      </c>
      <c r="K710" t="s">
        <v>74</v>
      </c>
      <c r="L710" t="s">
        <v>74</v>
      </c>
      <c r="M710" t="s">
        <v>78</v>
      </c>
      <c r="N710" t="s">
        <v>79</v>
      </c>
      <c r="O710" t="s">
        <v>74</v>
      </c>
      <c r="P710" t="s">
        <v>74</v>
      </c>
      <c r="Q710" t="s">
        <v>74</v>
      </c>
      <c r="R710" t="s">
        <v>74</v>
      </c>
      <c r="S710" t="s">
        <v>74</v>
      </c>
      <c r="T710" t="s">
        <v>74</v>
      </c>
      <c r="U710" t="s">
        <v>74</v>
      </c>
      <c r="V710" t="s">
        <v>13418</v>
      </c>
      <c r="W710" t="s">
        <v>13419</v>
      </c>
      <c r="X710" t="s">
        <v>13420</v>
      </c>
      <c r="Y710" t="s">
        <v>13421</v>
      </c>
      <c r="Z710" t="s">
        <v>13422</v>
      </c>
      <c r="AA710" t="s">
        <v>74</v>
      </c>
      <c r="AB710" t="s">
        <v>74</v>
      </c>
      <c r="AC710" t="s">
        <v>13423</v>
      </c>
      <c r="AD710" t="s">
        <v>13423</v>
      </c>
      <c r="AE710" t="s">
        <v>13424</v>
      </c>
      <c r="AF710" t="s">
        <v>74</v>
      </c>
      <c r="AG710">
        <v>33</v>
      </c>
      <c r="AH710">
        <v>8</v>
      </c>
      <c r="AI710">
        <v>10</v>
      </c>
      <c r="AJ710">
        <v>1</v>
      </c>
      <c r="AK710">
        <v>6</v>
      </c>
      <c r="AL710" t="s">
        <v>803</v>
      </c>
      <c r="AM710" t="s">
        <v>430</v>
      </c>
      <c r="AN710" t="s">
        <v>804</v>
      </c>
      <c r="AO710" t="s">
        <v>5261</v>
      </c>
      <c r="AP710" t="s">
        <v>5262</v>
      </c>
      <c r="AQ710" t="s">
        <v>74</v>
      </c>
      <c r="AR710" t="s">
        <v>5263</v>
      </c>
      <c r="AS710" t="s">
        <v>5264</v>
      </c>
      <c r="AT710" t="s">
        <v>12439</v>
      </c>
      <c r="AU710">
        <v>2017</v>
      </c>
      <c r="AV710">
        <v>53</v>
      </c>
      <c r="AW710">
        <v>2</v>
      </c>
      <c r="AX710" t="s">
        <v>74</v>
      </c>
      <c r="AY710" t="s">
        <v>74</v>
      </c>
      <c r="AZ710" t="s">
        <v>74</v>
      </c>
      <c r="BA710" t="s">
        <v>74</v>
      </c>
      <c r="BB710">
        <v>167</v>
      </c>
      <c r="BC710">
        <v>185</v>
      </c>
      <c r="BD710" t="s">
        <v>74</v>
      </c>
      <c r="BE710" t="s">
        <v>13425</v>
      </c>
      <c r="BF710" t="str">
        <f>HYPERLINK("http://dx.doi.org/10.1017/S0032247416000747","http://dx.doi.org/10.1017/S0032247416000747")</f>
        <v>http://dx.doi.org/10.1017/S0032247416000747</v>
      </c>
      <c r="BG710" t="s">
        <v>74</v>
      </c>
      <c r="BH710" t="s">
        <v>74</v>
      </c>
      <c r="BI710">
        <v>19</v>
      </c>
      <c r="BJ710" t="s">
        <v>2339</v>
      </c>
      <c r="BK710" t="s">
        <v>1358</v>
      </c>
      <c r="BL710" t="s">
        <v>993</v>
      </c>
      <c r="BM710" t="s">
        <v>13413</v>
      </c>
      <c r="BN710" t="s">
        <v>74</v>
      </c>
      <c r="BO710" t="s">
        <v>412</v>
      </c>
      <c r="BP710" t="s">
        <v>74</v>
      </c>
      <c r="BQ710" t="s">
        <v>74</v>
      </c>
      <c r="BR710" t="s">
        <v>106</v>
      </c>
      <c r="BS710" t="s">
        <v>13426</v>
      </c>
      <c r="BT710" t="str">
        <f>HYPERLINK("https%3A%2F%2Fwww.webofscience.com%2Fwos%2Fwoscc%2Ffull-record%2FWOS:000398224700006","View Full Record in Web of Science")</f>
        <v>View Full Record in Web of Science</v>
      </c>
    </row>
    <row r="711" spans="1:72" x14ac:dyDescent="0.15">
      <c r="A711" t="s">
        <v>72</v>
      </c>
      <c r="B711" t="s">
        <v>13427</v>
      </c>
      <c r="C711" t="s">
        <v>74</v>
      </c>
      <c r="D711" t="s">
        <v>74</v>
      </c>
      <c r="E711" t="s">
        <v>74</v>
      </c>
      <c r="F711" t="s">
        <v>13428</v>
      </c>
      <c r="G711" t="s">
        <v>74</v>
      </c>
      <c r="H711" t="s">
        <v>74</v>
      </c>
      <c r="I711" t="s">
        <v>13429</v>
      </c>
      <c r="J711" t="s">
        <v>5255</v>
      </c>
      <c r="K711" t="s">
        <v>74</v>
      </c>
      <c r="L711" t="s">
        <v>74</v>
      </c>
      <c r="M711" t="s">
        <v>78</v>
      </c>
      <c r="N711" t="s">
        <v>79</v>
      </c>
      <c r="O711" t="s">
        <v>74</v>
      </c>
      <c r="P711" t="s">
        <v>74</v>
      </c>
      <c r="Q711" t="s">
        <v>74</v>
      </c>
      <c r="R711" t="s">
        <v>74</v>
      </c>
      <c r="S711" t="s">
        <v>74</v>
      </c>
      <c r="T711" t="s">
        <v>74</v>
      </c>
      <c r="U711" t="s">
        <v>74</v>
      </c>
      <c r="V711" t="s">
        <v>13430</v>
      </c>
      <c r="W711" t="s">
        <v>13431</v>
      </c>
      <c r="X711" t="s">
        <v>74</v>
      </c>
      <c r="Y711" t="s">
        <v>13432</v>
      </c>
      <c r="Z711" t="s">
        <v>13433</v>
      </c>
      <c r="AA711" t="s">
        <v>74</v>
      </c>
      <c r="AB711" t="s">
        <v>13434</v>
      </c>
      <c r="AC711" t="s">
        <v>74</v>
      </c>
      <c r="AD711" t="s">
        <v>74</v>
      </c>
      <c r="AE711" t="s">
        <v>74</v>
      </c>
      <c r="AF711" t="s">
        <v>74</v>
      </c>
      <c r="AG711">
        <v>48</v>
      </c>
      <c r="AH711">
        <v>0</v>
      </c>
      <c r="AI711">
        <v>0</v>
      </c>
      <c r="AJ711">
        <v>0</v>
      </c>
      <c r="AK711">
        <v>1</v>
      </c>
      <c r="AL711" t="s">
        <v>803</v>
      </c>
      <c r="AM711" t="s">
        <v>430</v>
      </c>
      <c r="AN711" t="s">
        <v>804</v>
      </c>
      <c r="AO711" t="s">
        <v>5261</v>
      </c>
      <c r="AP711" t="s">
        <v>5262</v>
      </c>
      <c r="AQ711" t="s">
        <v>74</v>
      </c>
      <c r="AR711" t="s">
        <v>5263</v>
      </c>
      <c r="AS711" t="s">
        <v>5264</v>
      </c>
      <c r="AT711" t="s">
        <v>12439</v>
      </c>
      <c r="AU711">
        <v>2017</v>
      </c>
      <c r="AV711">
        <v>53</v>
      </c>
      <c r="AW711">
        <v>2</v>
      </c>
      <c r="AX711" t="s">
        <v>74</v>
      </c>
      <c r="AY711" t="s">
        <v>74</v>
      </c>
      <c r="AZ711" t="s">
        <v>74</v>
      </c>
      <c r="BA711" t="s">
        <v>74</v>
      </c>
      <c r="BB711">
        <v>192</v>
      </c>
      <c r="BC711">
        <v>198</v>
      </c>
      <c r="BD711" t="s">
        <v>74</v>
      </c>
      <c r="BE711" t="s">
        <v>13435</v>
      </c>
      <c r="BF711" t="str">
        <f>HYPERLINK("http://dx.doi.org/10.1017/S0032247416000851","http://dx.doi.org/10.1017/S0032247416000851")</f>
        <v>http://dx.doi.org/10.1017/S0032247416000851</v>
      </c>
      <c r="BG711" t="s">
        <v>74</v>
      </c>
      <c r="BH711" t="s">
        <v>74</v>
      </c>
      <c r="BI711">
        <v>7</v>
      </c>
      <c r="BJ711" t="s">
        <v>2339</v>
      </c>
      <c r="BK711" t="s">
        <v>1358</v>
      </c>
      <c r="BL711" t="s">
        <v>993</v>
      </c>
      <c r="BM711" t="s">
        <v>13413</v>
      </c>
      <c r="BN711" t="s">
        <v>74</v>
      </c>
      <c r="BO711" t="s">
        <v>74</v>
      </c>
      <c r="BP711" t="s">
        <v>74</v>
      </c>
      <c r="BQ711" t="s">
        <v>74</v>
      </c>
      <c r="BR711" t="s">
        <v>106</v>
      </c>
      <c r="BS711" t="s">
        <v>13436</v>
      </c>
      <c r="BT711" t="str">
        <f>HYPERLINK("https%3A%2F%2Fwww.webofscience.com%2Fwos%2Fwoscc%2Ffull-record%2FWOS:000398224700008","View Full Record in Web of Science")</f>
        <v>View Full Record in Web of Science</v>
      </c>
    </row>
    <row r="712" spans="1:72" x14ac:dyDescent="0.15">
      <c r="A712" t="s">
        <v>72</v>
      </c>
      <c r="B712" t="s">
        <v>13437</v>
      </c>
      <c r="C712" t="s">
        <v>74</v>
      </c>
      <c r="D712" t="s">
        <v>74</v>
      </c>
      <c r="E712" t="s">
        <v>74</v>
      </c>
      <c r="F712" t="s">
        <v>13438</v>
      </c>
      <c r="G712" t="s">
        <v>74</v>
      </c>
      <c r="H712" t="s">
        <v>74</v>
      </c>
      <c r="I712" t="s">
        <v>13439</v>
      </c>
      <c r="J712" t="s">
        <v>13440</v>
      </c>
      <c r="K712" t="s">
        <v>74</v>
      </c>
      <c r="L712" t="s">
        <v>74</v>
      </c>
      <c r="M712" t="s">
        <v>78</v>
      </c>
      <c r="N712" t="s">
        <v>79</v>
      </c>
      <c r="O712" t="s">
        <v>74</v>
      </c>
      <c r="P712" t="s">
        <v>74</v>
      </c>
      <c r="Q712" t="s">
        <v>74</v>
      </c>
      <c r="R712" t="s">
        <v>74</v>
      </c>
      <c r="S712" t="s">
        <v>74</v>
      </c>
      <c r="T712" t="s">
        <v>13441</v>
      </c>
      <c r="U712" t="s">
        <v>13442</v>
      </c>
      <c r="V712" t="s">
        <v>13443</v>
      </c>
      <c r="W712" t="s">
        <v>13444</v>
      </c>
      <c r="X712" t="s">
        <v>13445</v>
      </c>
      <c r="Y712" t="s">
        <v>13446</v>
      </c>
      <c r="Z712" t="s">
        <v>13447</v>
      </c>
      <c r="AA712" t="s">
        <v>13448</v>
      </c>
      <c r="AB712" t="s">
        <v>13449</v>
      </c>
      <c r="AC712" t="s">
        <v>13450</v>
      </c>
      <c r="AD712" t="s">
        <v>5244</v>
      </c>
      <c r="AE712" t="s">
        <v>13451</v>
      </c>
      <c r="AF712" t="s">
        <v>74</v>
      </c>
      <c r="AG712">
        <v>33</v>
      </c>
      <c r="AH712">
        <v>0</v>
      </c>
      <c r="AI712">
        <v>0</v>
      </c>
      <c r="AJ712">
        <v>0</v>
      </c>
      <c r="AK712">
        <v>4</v>
      </c>
      <c r="AL712" t="s">
        <v>429</v>
      </c>
      <c r="AM712" t="s">
        <v>430</v>
      </c>
      <c r="AN712" t="s">
        <v>431</v>
      </c>
      <c r="AO712" t="s">
        <v>13452</v>
      </c>
      <c r="AP712" t="s">
        <v>13453</v>
      </c>
      <c r="AQ712" t="s">
        <v>74</v>
      </c>
      <c r="AR712" t="s">
        <v>13454</v>
      </c>
      <c r="AS712" t="s">
        <v>13455</v>
      </c>
      <c r="AT712" t="s">
        <v>12439</v>
      </c>
      <c r="AU712">
        <v>2017</v>
      </c>
      <c r="AV712">
        <v>44</v>
      </c>
      <c r="AW712">
        <v>2</v>
      </c>
      <c r="AX712" t="s">
        <v>74</v>
      </c>
      <c r="AY712" t="s">
        <v>74</v>
      </c>
      <c r="AZ712" t="s">
        <v>74</v>
      </c>
      <c r="BA712" t="s">
        <v>74</v>
      </c>
      <c r="BB712">
        <v>196</v>
      </c>
      <c r="BC712">
        <v>203</v>
      </c>
      <c r="BD712" t="s">
        <v>74</v>
      </c>
      <c r="BE712" t="s">
        <v>13456</v>
      </c>
      <c r="BF712" t="str">
        <f>HYPERLINK("http://dx.doi.org/10.1134/S0097807817020026","http://dx.doi.org/10.1134/S0097807817020026")</f>
        <v>http://dx.doi.org/10.1134/S0097807817020026</v>
      </c>
      <c r="BG712" t="s">
        <v>74</v>
      </c>
      <c r="BH712" t="s">
        <v>74</v>
      </c>
      <c r="BI712">
        <v>8</v>
      </c>
      <c r="BJ712" t="s">
        <v>13457</v>
      </c>
      <c r="BK712" t="s">
        <v>103</v>
      </c>
      <c r="BL712" t="s">
        <v>13457</v>
      </c>
      <c r="BM712" t="s">
        <v>13458</v>
      </c>
      <c r="BN712" t="s">
        <v>74</v>
      </c>
      <c r="BO712" t="s">
        <v>74</v>
      </c>
      <c r="BP712" t="s">
        <v>74</v>
      </c>
      <c r="BQ712" t="s">
        <v>74</v>
      </c>
      <c r="BR712" t="s">
        <v>106</v>
      </c>
      <c r="BS712" t="s">
        <v>13459</v>
      </c>
      <c r="BT712" t="str">
        <f>HYPERLINK("https%3A%2F%2Fwww.webofscience.com%2Fwos%2Fwoscc%2Ffull-record%2FWOS:000398107300004","View Full Record in Web of Science")</f>
        <v>View Full Record in Web of Science</v>
      </c>
    </row>
    <row r="713" spans="1:72" x14ac:dyDescent="0.15">
      <c r="A713" t="s">
        <v>72</v>
      </c>
      <c r="B713" t="s">
        <v>13460</v>
      </c>
      <c r="C713" t="s">
        <v>74</v>
      </c>
      <c r="D713" t="s">
        <v>74</v>
      </c>
      <c r="E713" t="s">
        <v>74</v>
      </c>
      <c r="F713" t="s">
        <v>13461</v>
      </c>
      <c r="G713" t="s">
        <v>74</v>
      </c>
      <c r="H713" t="s">
        <v>74</v>
      </c>
      <c r="I713" t="s">
        <v>13462</v>
      </c>
      <c r="J713" t="s">
        <v>13463</v>
      </c>
      <c r="K713" t="s">
        <v>74</v>
      </c>
      <c r="L713" t="s">
        <v>74</v>
      </c>
      <c r="M713" t="s">
        <v>78</v>
      </c>
      <c r="N713" t="s">
        <v>79</v>
      </c>
      <c r="O713" t="s">
        <v>74</v>
      </c>
      <c r="P713" t="s">
        <v>74</v>
      </c>
      <c r="Q713" t="s">
        <v>74</v>
      </c>
      <c r="R713" t="s">
        <v>74</v>
      </c>
      <c r="S713" t="s">
        <v>74</v>
      </c>
      <c r="T713" t="s">
        <v>13464</v>
      </c>
      <c r="U713" t="s">
        <v>13465</v>
      </c>
      <c r="V713" t="s">
        <v>13466</v>
      </c>
      <c r="W713" t="s">
        <v>13467</v>
      </c>
      <c r="X713" t="s">
        <v>13468</v>
      </c>
      <c r="Y713" t="s">
        <v>13469</v>
      </c>
      <c r="Z713" t="s">
        <v>13470</v>
      </c>
      <c r="AA713" t="s">
        <v>74</v>
      </c>
      <c r="AB713" t="s">
        <v>74</v>
      </c>
      <c r="AC713" t="s">
        <v>13471</v>
      </c>
      <c r="AD713" t="s">
        <v>13472</v>
      </c>
      <c r="AE713" t="s">
        <v>13473</v>
      </c>
      <c r="AF713" t="s">
        <v>74</v>
      </c>
      <c r="AG713">
        <v>88</v>
      </c>
      <c r="AH713">
        <v>5</v>
      </c>
      <c r="AI713">
        <v>5</v>
      </c>
      <c r="AJ713">
        <v>0</v>
      </c>
      <c r="AK713">
        <v>28</v>
      </c>
      <c r="AL713" t="s">
        <v>13474</v>
      </c>
      <c r="AM713" t="s">
        <v>13475</v>
      </c>
      <c r="AN713" t="s">
        <v>13476</v>
      </c>
      <c r="AO713" t="s">
        <v>13477</v>
      </c>
      <c r="AP713" t="s">
        <v>74</v>
      </c>
      <c r="AQ713" t="s">
        <v>74</v>
      </c>
      <c r="AR713" t="s">
        <v>13478</v>
      </c>
      <c r="AS713" t="s">
        <v>13479</v>
      </c>
      <c r="AT713" t="s">
        <v>12439</v>
      </c>
      <c r="AU713">
        <v>2017</v>
      </c>
      <c r="AV713">
        <v>8</v>
      </c>
      <c r="AW713">
        <v>2</v>
      </c>
      <c r="AX713" t="s">
        <v>74</v>
      </c>
      <c r="AY713" t="s">
        <v>74</v>
      </c>
      <c r="AZ713" t="s">
        <v>74</v>
      </c>
      <c r="BA713" t="s">
        <v>74</v>
      </c>
      <c r="BB713">
        <v>383</v>
      </c>
      <c r="BC713">
        <v>393</v>
      </c>
      <c r="BD713" t="s">
        <v>74</v>
      </c>
      <c r="BE713" t="s">
        <v>13480</v>
      </c>
      <c r="BF713" t="str">
        <f>HYPERLINK("http://dx.doi.org/10.1016/j.apr.2016.10.010","http://dx.doi.org/10.1016/j.apr.2016.10.010")</f>
        <v>http://dx.doi.org/10.1016/j.apr.2016.10.010</v>
      </c>
      <c r="BG713" t="s">
        <v>74</v>
      </c>
      <c r="BH713" t="s">
        <v>74</v>
      </c>
      <c r="BI713">
        <v>11</v>
      </c>
      <c r="BJ713" t="s">
        <v>2189</v>
      </c>
      <c r="BK713" t="s">
        <v>103</v>
      </c>
      <c r="BL713" t="s">
        <v>993</v>
      </c>
      <c r="BM713" t="s">
        <v>13481</v>
      </c>
      <c r="BN713" t="s">
        <v>74</v>
      </c>
      <c r="BO713" t="s">
        <v>384</v>
      </c>
      <c r="BP713" t="s">
        <v>74</v>
      </c>
      <c r="BQ713" t="s">
        <v>74</v>
      </c>
      <c r="BR713" t="s">
        <v>106</v>
      </c>
      <c r="BS713" t="s">
        <v>13482</v>
      </c>
      <c r="BT713" t="str">
        <f>HYPERLINK("https%3A%2F%2Fwww.webofscience.com%2Fwos%2Fwoscc%2Ffull-record%2FWOS:000397435600019","View Full Record in Web of Science")</f>
        <v>View Full Record in Web of Science</v>
      </c>
    </row>
    <row r="714" spans="1:72" x14ac:dyDescent="0.15">
      <c r="A714" t="s">
        <v>72</v>
      </c>
      <c r="B714" t="s">
        <v>13483</v>
      </c>
      <c r="C714" t="s">
        <v>74</v>
      </c>
      <c r="D714" t="s">
        <v>74</v>
      </c>
      <c r="E714" t="s">
        <v>74</v>
      </c>
      <c r="F714" t="s">
        <v>13484</v>
      </c>
      <c r="G714" t="s">
        <v>74</v>
      </c>
      <c r="H714" t="s">
        <v>74</v>
      </c>
      <c r="I714" t="s">
        <v>13485</v>
      </c>
      <c r="J714" t="s">
        <v>1000</v>
      </c>
      <c r="K714" t="s">
        <v>74</v>
      </c>
      <c r="L714" t="s">
        <v>74</v>
      </c>
      <c r="M714" t="s">
        <v>78</v>
      </c>
      <c r="N714" t="s">
        <v>79</v>
      </c>
      <c r="O714" t="s">
        <v>74</v>
      </c>
      <c r="P714" t="s">
        <v>74</v>
      </c>
      <c r="Q714" t="s">
        <v>74</v>
      </c>
      <c r="R714" t="s">
        <v>74</v>
      </c>
      <c r="S714" t="s">
        <v>74</v>
      </c>
      <c r="T714" t="s">
        <v>13486</v>
      </c>
      <c r="U714" t="s">
        <v>13487</v>
      </c>
      <c r="V714" t="s">
        <v>13488</v>
      </c>
      <c r="W714" t="s">
        <v>13489</v>
      </c>
      <c r="X714" t="s">
        <v>13490</v>
      </c>
      <c r="Y714" t="s">
        <v>13491</v>
      </c>
      <c r="Z714" t="s">
        <v>13492</v>
      </c>
      <c r="AA714" t="s">
        <v>13493</v>
      </c>
      <c r="AB714" t="s">
        <v>13494</v>
      </c>
      <c r="AC714" t="s">
        <v>13495</v>
      </c>
      <c r="AD714" t="s">
        <v>13496</v>
      </c>
      <c r="AE714" t="s">
        <v>13497</v>
      </c>
      <c r="AF714" t="s">
        <v>74</v>
      </c>
      <c r="AG714">
        <v>60</v>
      </c>
      <c r="AH714">
        <v>14</v>
      </c>
      <c r="AI714">
        <v>14</v>
      </c>
      <c r="AJ714">
        <v>4</v>
      </c>
      <c r="AK714">
        <v>27</v>
      </c>
      <c r="AL714" t="s">
        <v>986</v>
      </c>
      <c r="AM714" t="s">
        <v>430</v>
      </c>
      <c r="AN714" t="s">
        <v>1663</v>
      </c>
      <c r="AO714" t="s">
        <v>1013</v>
      </c>
      <c r="AP714" t="s">
        <v>1014</v>
      </c>
      <c r="AQ714" t="s">
        <v>74</v>
      </c>
      <c r="AR714" t="s">
        <v>1015</v>
      </c>
      <c r="AS714" t="s">
        <v>1016</v>
      </c>
      <c r="AT714" t="s">
        <v>12439</v>
      </c>
      <c r="AU714">
        <v>2017</v>
      </c>
      <c r="AV714">
        <v>40</v>
      </c>
      <c r="AW714">
        <v>3</v>
      </c>
      <c r="AX714" t="s">
        <v>74</v>
      </c>
      <c r="AY714" t="s">
        <v>74</v>
      </c>
      <c r="AZ714" t="s">
        <v>74</v>
      </c>
      <c r="BA714" t="s">
        <v>74</v>
      </c>
      <c r="BB714">
        <v>577</v>
      </c>
      <c r="BC714">
        <v>592</v>
      </c>
      <c r="BD714" t="s">
        <v>74</v>
      </c>
      <c r="BE714" t="s">
        <v>13498</v>
      </c>
      <c r="BF714" t="str">
        <f>HYPERLINK("http://dx.doi.org/10.1007/s00300-016-1980-4","http://dx.doi.org/10.1007/s00300-016-1980-4")</f>
        <v>http://dx.doi.org/10.1007/s00300-016-1980-4</v>
      </c>
      <c r="BG714" t="s">
        <v>74</v>
      </c>
      <c r="BH714" t="s">
        <v>74</v>
      </c>
      <c r="BI714">
        <v>16</v>
      </c>
      <c r="BJ714" t="s">
        <v>1018</v>
      </c>
      <c r="BK714" t="s">
        <v>103</v>
      </c>
      <c r="BL714" t="s">
        <v>326</v>
      </c>
      <c r="BM714" t="s">
        <v>13499</v>
      </c>
      <c r="BN714" t="s">
        <v>74</v>
      </c>
      <c r="BO714" t="s">
        <v>74</v>
      </c>
      <c r="BP714" t="s">
        <v>74</v>
      </c>
      <c r="BQ714" t="s">
        <v>74</v>
      </c>
      <c r="BR714" t="s">
        <v>106</v>
      </c>
      <c r="BS714" t="s">
        <v>13500</v>
      </c>
      <c r="BT714" t="str">
        <f>HYPERLINK("https%3A%2F%2Fwww.webofscience.com%2Fwos%2Fwoscc%2Ffull-record%2FWOS:000395177000007","View Full Record in Web of Science")</f>
        <v>View Full Record in Web of Science</v>
      </c>
    </row>
    <row r="715" spans="1:72" x14ac:dyDescent="0.15">
      <c r="A715" t="s">
        <v>72</v>
      </c>
      <c r="B715" t="s">
        <v>13501</v>
      </c>
      <c r="C715" t="s">
        <v>74</v>
      </c>
      <c r="D715" t="s">
        <v>74</v>
      </c>
      <c r="E715" t="s">
        <v>74</v>
      </c>
      <c r="F715" t="s">
        <v>13502</v>
      </c>
      <c r="G715" t="s">
        <v>74</v>
      </c>
      <c r="H715" t="s">
        <v>74</v>
      </c>
      <c r="I715" t="s">
        <v>13503</v>
      </c>
      <c r="J715" t="s">
        <v>1000</v>
      </c>
      <c r="K715" t="s">
        <v>74</v>
      </c>
      <c r="L715" t="s">
        <v>74</v>
      </c>
      <c r="M715" t="s">
        <v>78</v>
      </c>
      <c r="N715" t="s">
        <v>79</v>
      </c>
      <c r="O715" t="s">
        <v>74</v>
      </c>
      <c r="P715" t="s">
        <v>74</v>
      </c>
      <c r="Q715" t="s">
        <v>74</v>
      </c>
      <c r="R715" t="s">
        <v>74</v>
      </c>
      <c r="S715" t="s">
        <v>74</v>
      </c>
      <c r="T715" t="s">
        <v>13504</v>
      </c>
      <c r="U715" t="s">
        <v>13505</v>
      </c>
      <c r="V715" t="s">
        <v>13506</v>
      </c>
      <c r="W715" t="s">
        <v>13507</v>
      </c>
      <c r="X715" t="s">
        <v>13508</v>
      </c>
      <c r="Y715" t="s">
        <v>13509</v>
      </c>
      <c r="Z715" t="s">
        <v>13510</v>
      </c>
      <c r="AA715" t="s">
        <v>13511</v>
      </c>
      <c r="AB715" t="s">
        <v>74</v>
      </c>
      <c r="AC715" t="s">
        <v>13512</v>
      </c>
      <c r="AD715" t="s">
        <v>13513</v>
      </c>
      <c r="AE715" t="s">
        <v>13514</v>
      </c>
      <c r="AF715" t="s">
        <v>74</v>
      </c>
      <c r="AG715">
        <v>57</v>
      </c>
      <c r="AH715">
        <v>7</v>
      </c>
      <c r="AI715">
        <v>7</v>
      </c>
      <c r="AJ715">
        <v>3</v>
      </c>
      <c r="AK715">
        <v>29</v>
      </c>
      <c r="AL715" t="s">
        <v>986</v>
      </c>
      <c r="AM715" t="s">
        <v>430</v>
      </c>
      <c r="AN715" t="s">
        <v>1663</v>
      </c>
      <c r="AO715" t="s">
        <v>1013</v>
      </c>
      <c r="AP715" t="s">
        <v>1014</v>
      </c>
      <c r="AQ715" t="s">
        <v>74</v>
      </c>
      <c r="AR715" t="s">
        <v>1015</v>
      </c>
      <c r="AS715" t="s">
        <v>1016</v>
      </c>
      <c r="AT715" t="s">
        <v>12439</v>
      </c>
      <c r="AU715">
        <v>2017</v>
      </c>
      <c r="AV715">
        <v>40</v>
      </c>
      <c r="AW715">
        <v>3</v>
      </c>
      <c r="AX715" t="s">
        <v>74</v>
      </c>
      <c r="AY715" t="s">
        <v>74</v>
      </c>
      <c r="AZ715" t="s">
        <v>74</v>
      </c>
      <c r="BA715" t="s">
        <v>74</v>
      </c>
      <c r="BB715">
        <v>615</v>
      </c>
      <c r="BC715">
        <v>624</v>
      </c>
      <c r="BD715" t="s">
        <v>74</v>
      </c>
      <c r="BE715" t="s">
        <v>13515</v>
      </c>
      <c r="BF715" t="str">
        <f>HYPERLINK("http://dx.doi.org/10.1007/s00300-016-1984-0","http://dx.doi.org/10.1007/s00300-016-1984-0")</f>
        <v>http://dx.doi.org/10.1007/s00300-016-1984-0</v>
      </c>
      <c r="BG715" t="s">
        <v>74</v>
      </c>
      <c r="BH715" t="s">
        <v>74</v>
      </c>
      <c r="BI715">
        <v>10</v>
      </c>
      <c r="BJ715" t="s">
        <v>1018</v>
      </c>
      <c r="BK715" t="s">
        <v>103</v>
      </c>
      <c r="BL715" t="s">
        <v>326</v>
      </c>
      <c r="BM715" t="s">
        <v>13499</v>
      </c>
      <c r="BN715" t="s">
        <v>74</v>
      </c>
      <c r="BO715" t="s">
        <v>74</v>
      </c>
      <c r="BP715" t="s">
        <v>74</v>
      </c>
      <c r="BQ715" t="s">
        <v>74</v>
      </c>
      <c r="BR715" t="s">
        <v>106</v>
      </c>
      <c r="BS715" t="s">
        <v>13516</v>
      </c>
      <c r="BT715" t="str">
        <f>HYPERLINK("https%3A%2F%2Fwww.webofscience.com%2Fwos%2Fwoscc%2Ffull-record%2FWOS:000395177000010","View Full Record in Web of Science")</f>
        <v>View Full Record in Web of Science</v>
      </c>
    </row>
    <row r="716" spans="1:72" x14ac:dyDescent="0.15">
      <c r="A716" t="s">
        <v>72</v>
      </c>
      <c r="B716" t="s">
        <v>13517</v>
      </c>
      <c r="C716" t="s">
        <v>74</v>
      </c>
      <c r="D716" t="s">
        <v>74</v>
      </c>
      <c r="E716" t="s">
        <v>74</v>
      </c>
      <c r="F716" t="s">
        <v>13518</v>
      </c>
      <c r="G716" t="s">
        <v>74</v>
      </c>
      <c r="H716" t="s">
        <v>74</v>
      </c>
      <c r="I716" t="s">
        <v>13519</v>
      </c>
      <c r="J716" t="s">
        <v>1000</v>
      </c>
      <c r="K716" t="s">
        <v>74</v>
      </c>
      <c r="L716" t="s">
        <v>74</v>
      </c>
      <c r="M716" t="s">
        <v>78</v>
      </c>
      <c r="N716" t="s">
        <v>79</v>
      </c>
      <c r="O716" t="s">
        <v>74</v>
      </c>
      <c r="P716" t="s">
        <v>74</v>
      </c>
      <c r="Q716" t="s">
        <v>74</v>
      </c>
      <c r="R716" t="s">
        <v>74</v>
      </c>
      <c r="S716" t="s">
        <v>74</v>
      </c>
      <c r="T716" t="s">
        <v>13520</v>
      </c>
      <c r="U716" t="s">
        <v>13521</v>
      </c>
      <c r="V716" t="s">
        <v>13522</v>
      </c>
      <c r="W716" t="s">
        <v>13523</v>
      </c>
      <c r="X716" t="s">
        <v>5505</v>
      </c>
      <c r="Y716" t="s">
        <v>13524</v>
      </c>
      <c r="Z716" t="s">
        <v>13525</v>
      </c>
      <c r="AA716" t="s">
        <v>74</v>
      </c>
      <c r="AB716" t="s">
        <v>74</v>
      </c>
      <c r="AC716" t="s">
        <v>13526</v>
      </c>
      <c r="AD716" t="s">
        <v>13526</v>
      </c>
      <c r="AE716" t="s">
        <v>13527</v>
      </c>
      <c r="AF716" t="s">
        <v>74</v>
      </c>
      <c r="AG716">
        <v>67</v>
      </c>
      <c r="AH716">
        <v>22</v>
      </c>
      <c r="AI716">
        <v>22</v>
      </c>
      <c r="AJ716">
        <v>0</v>
      </c>
      <c r="AK716">
        <v>28</v>
      </c>
      <c r="AL716" t="s">
        <v>986</v>
      </c>
      <c r="AM716" t="s">
        <v>430</v>
      </c>
      <c r="AN716" t="s">
        <v>987</v>
      </c>
      <c r="AO716" t="s">
        <v>1013</v>
      </c>
      <c r="AP716" t="s">
        <v>1014</v>
      </c>
      <c r="AQ716" t="s">
        <v>74</v>
      </c>
      <c r="AR716" t="s">
        <v>1015</v>
      </c>
      <c r="AS716" t="s">
        <v>1016</v>
      </c>
      <c r="AT716" t="s">
        <v>12439</v>
      </c>
      <c r="AU716">
        <v>2017</v>
      </c>
      <c r="AV716">
        <v>40</v>
      </c>
      <c r="AW716">
        <v>3</v>
      </c>
      <c r="AX716" t="s">
        <v>74</v>
      </c>
      <c r="AY716" t="s">
        <v>74</v>
      </c>
      <c r="AZ716" t="s">
        <v>74</v>
      </c>
      <c r="BA716" t="s">
        <v>74</v>
      </c>
      <c r="BB716">
        <v>625</v>
      </c>
      <c r="BC716">
        <v>637</v>
      </c>
      <c r="BD716" t="s">
        <v>74</v>
      </c>
      <c r="BE716" t="s">
        <v>13528</v>
      </c>
      <c r="BF716" t="str">
        <f>HYPERLINK("http://dx.doi.org/10.1007/s00300-016-1985-z","http://dx.doi.org/10.1007/s00300-016-1985-z")</f>
        <v>http://dx.doi.org/10.1007/s00300-016-1985-z</v>
      </c>
      <c r="BG716" t="s">
        <v>74</v>
      </c>
      <c r="BH716" t="s">
        <v>74</v>
      </c>
      <c r="BI716">
        <v>13</v>
      </c>
      <c r="BJ716" t="s">
        <v>1018</v>
      </c>
      <c r="BK716" t="s">
        <v>103</v>
      </c>
      <c r="BL716" t="s">
        <v>326</v>
      </c>
      <c r="BM716" t="s">
        <v>13499</v>
      </c>
      <c r="BN716" t="s">
        <v>74</v>
      </c>
      <c r="BO716" t="s">
        <v>74</v>
      </c>
      <c r="BP716" t="s">
        <v>74</v>
      </c>
      <c r="BQ716" t="s">
        <v>74</v>
      </c>
      <c r="BR716" t="s">
        <v>106</v>
      </c>
      <c r="BS716" t="s">
        <v>13529</v>
      </c>
      <c r="BT716" t="str">
        <f>HYPERLINK("https%3A%2F%2Fwww.webofscience.com%2Fwos%2Fwoscc%2Ffull-record%2FWOS:000395177000011","View Full Record in Web of Science")</f>
        <v>View Full Record in Web of Science</v>
      </c>
    </row>
    <row r="717" spans="1:72" x14ac:dyDescent="0.15">
      <c r="A717" t="s">
        <v>72</v>
      </c>
      <c r="B717" t="s">
        <v>13530</v>
      </c>
      <c r="C717" t="s">
        <v>74</v>
      </c>
      <c r="D717" t="s">
        <v>74</v>
      </c>
      <c r="E717" t="s">
        <v>74</v>
      </c>
      <c r="F717" t="s">
        <v>13531</v>
      </c>
      <c r="G717" t="s">
        <v>74</v>
      </c>
      <c r="H717" t="s">
        <v>74</v>
      </c>
      <c r="I717" t="s">
        <v>13532</v>
      </c>
      <c r="J717" t="s">
        <v>1000</v>
      </c>
      <c r="K717" t="s">
        <v>74</v>
      </c>
      <c r="L717" t="s">
        <v>74</v>
      </c>
      <c r="M717" t="s">
        <v>78</v>
      </c>
      <c r="N717" t="s">
        <v>79</v>
      </c>
      <c r="O717" t="s">
        <v>74</v>
      </c>
      <c r="P717" t="s">
        <v>74</v>
      </c>
      <c r="Q717" t="s">
        <v>74</v>
      </c>
      <c r="R717" t="s">
        <v>74</v>
      </c>
      <c r="S717" t="s">
        <v>74</v>
      </c>
      <c r="T717" t="s">
        <v>13533</v>
      </c>
      <c r="U717" t="s">
        <v>13534</v>
      </c>
      <c r="V717" t="s">
        <v>13535</v>
      </c>
      <c r="W717" t="s">
        <v>13536</v>
      </c>
      <c r="X717" t="s">
        <v>13537</v>
      </c>
      <c r="Y717" t="s">
        <v>13538</v>
      </c>
      <c r="Z717" t="s">
        <v>13539</v>
      </c>
      <c r="AA717" t="s">
        <v>74</v>
      </c>
      <c r="AB717" t="s">
        <v>13540</v>
      </c>
      <c r="AC717" t="s">
        <v>13541</v>
      </c>
      <c r="AD717" t="s">
        <v>13542</v>
      </c>
      <c r="AE717" t="s">
        <v>13543</v>
      </c>
      <c r="AF717" t="s">
        <v>74</v>
      </c>
      <c r="AG717">
        <v>36</v>
      </c>
      <c r="AH717">
        <v>4</v>
      </c>
      <c r="AI717">
        <v>4</v>
      </c>
      <c r="AJ717">
        <v>0</v>
      </c>
      <c r="AK717">
        <v>11</v>
      </c>
      <c r="AL717" t="s">
        <v>986</v>
      </c>
      <c r="AM717" t="s">
        <v>430</v>
      </c>
      <c r="AN717" t="s">
        <v>987</v>
      </c>
      <c r="AO717" t="s">
        <v>1013</v>
      </c>
      <c r="AP717" t="s">
        <v>1014</v>
      </c>
      <c r="AQ717" t="s">
        <v>74</v>
      </c>
      <c r="AR717" t="s">
        <v>1015</v>
      </c>
      <c r="AS717" t="s">
        <v>1016</v>
      </c>
      <c r="AT717" t="s">
        <v>12439</v>
      </c>
      <c r="AU717">
        <v>2017</v>
      </c>
      <c r="AV717">
        <v>40</v>
      </c>
      <c r="AW717">
        <v>3</v>
      </c>
      <c r="AX717" t="s">
        <v>74</v>
      </c>
      <c r="AY717" t="s">
        <v>74</v>
      </c>
      <c r="AZ717" t="s">
        <v>74</v>
      </c>
      <c r="BA717" t="s">
        <v>74</v>
      </c>
      <c r="BB717">
        <v>639</v>
      </c>
      <c r="BC717">
        <v>647</v>
      </c>
      <c r="BD717" t="s">
        <v>74</v>
      </c>
      <c r="BE717" t="s">
        <v>13544</v>
      </c>
      <c r="BF717" t="str">
        <f>HYPERLINK("http://dx.doi.org/10.1007/s00300-016-1986-y","http://dx.doi.org/10.1007/s00300-016-1986-y")</f>
        <v>http://dx.doi.org/10.1007/s00300-016-1986-y</v>
      </c>
      <c r="BG717" t="s">
        <v>74</v>
      </c>
      <c r="BH717" t="s">
        <v>74</v>
      </c>
      <c r="BI717">
        <v>9</v>
      </c>
      <c r="BJ717" t="s">
        <v>1018</v>
      </c>
      <c r="BK717" t="s">
        <v>103</v>
      </c>
      <c r="BL717" t="s">
        <v>326</v>
      </c>
      <c r="BM717" t="s">
        <v>13499</v>
      </c>
      <c r="BN717" t="s">
        <v>74</v>
      </c>
      <c r="BO717" t="s">
        <v>74</v>
      </c>
      <c r="BP717" t="s">
        <v>74</v>
      </c>
      <c r="BQ717" t="s">
        <v>74</v>
      </c>
      <c r="BR717" t="s">
        <v>106</v>
      </c>
      <c r="BS717" t="s">
        <v>13545</v>
      </c>
      <c r="BT717" t="str">
        <f>HYPERLINK("https%3A%2F%2Fwww.webofscience.com%2Fwos%2Fwoscc%2Ffull-record%2FWOS:000395177000012","View Full Record in Web of Science")</f>
        <v>View Full Record in Web of Science</v>
      </c>
    </row>
    <row r="718" spans="1:72" x14ac:dyDescent="0.15">
      <c r="A718" t="s">
        <v>72</v>
      </c>
      <c r="B718" t="s">
        <v>13546</v>
      </c>
      <c r="C718" t="s">
        <v>74</v>
      </c>
      <c r="D718" t="s">
        <v>74</v>
      </c>
      <c r="E718" t="s">
        <v>74</v>
      </c>
      <c r="F718" t="s">
        <v>13547</v>
      </c>
      <c r="G718" t="s">
        <v>74</v>
      </c>
      <c r="H718" t="s">
        <v>74</v>
      </c>
      <c r="I718" t="s">
        <v>13548</v>
      </c>
      <c r="J718" t="s">
        <v>1000</v>
      </c>
      <c r="K718" t="s">
        <v>74</v>
      </c>
      <c r="L718" t="s">
        <v>74</v>
      </c>
      <c r="M718" t="s">
        <v>78</v>
      </c>
      <c r="N718" t="s">
        <v>79</v>
      </c>
      <c r="O718" t="s">
        <v>74</v>
      </c>
      <c r="P718" t="s">
        <v>74</v>
      </c>
      <c r="Q718" t="s">
        <v>74</v>
      </c>
      <c r="R718" t="s">
        <v>74</v>
      </c>
      <c r="S718" t="s">
        <v>74</v>
      </c>
      <c r="T718" t="s">
        <v>13549</v>
      </c>
      <c r="U718" t="s">
        <v>13550</v>
      </c>
      <c r="V718" t="s">
        <v>13551</v>
      </c>
      <c r="W718" t="s">
        <v>13552</v>
      </c>
      <c r="X718" t="s">
        <v>4590</v>
      </c>
      <c r="Y718" t="s">
        <v>13553</v>
      </c>
      <c r="Z718" t="s">
        <v>13554</v>
      </c>
      <c r="AA718" t="s">
        <v>13555</v>
      </c>
      <c r="AB718" t="s">
        <v>13556</v>
      </c>
      <c r="AC718" t="s">
        <v>13557</v>
      </c>
      <c r="AD718" t="s">
        <v>13558</v>
      </c>
      <c r="AE718" t="s">
        <v>13559</v>
      </c>
      <c r="AF718" t="s">
        <v>74</v>
      </c>
      <c r="AG718">
        <v>68</v>
      </c>
      <c r="AH718">
        <v>17</v>
      </c>
      <c r="AI718">
        <v>19</v>
      </c>
      <c r="AJ718">
        <v>0</v>
      </c>
      <c r="AK718">
        <v>22</v>
      </c>
      <c r="AL718" t="s">
        <v>986</v>
      </c>
      <c r="AM718" t="s">
        <v>430</v>
      </c>
      <c r="AN718" t="s">
        <v>1663</v>
      </c>
      <c r="AO718" t="s">
        <v>1013</v>
      </c>
      <c r="AP718" t="s">
        <v>1014</v>
      </c>
      <c r="AQ718" t="s">
        <v>74</v>
      </c>
      <c r="AR718" t="s">
        <v>1015</v>
      </c>
      <c r="AS718" t="s">
        <v>1016</v>
      </c>
      <c r="AT718" t="s">
        <v>12439</v>
      </c>
      <c r="AU718">
        <v>2017</v>
      </c>
      <c r="AV718">
        <v>40</v>
      </c>
      <c r="AW718">
        <v>3</v>
      </c>
      <c r="AX718" t="s">
        <v>74</v>
      </c>
      <c r="AY718" t="s">
        <v>74</v>
      </c>
      <c r="AZ718" t="s">
        <v>74</v>
      </c>
      <c r="BA718" t="s">
        <v>74</v>
      </c>
      <c r="BB718">
        <v>649</v>
      </c>
      <c r="BC718">
        <v>658</v>
      </c>
      <c r="BD718" t="s">
        <v>74</v>
      </c>
      <c r="BE718" t="s">
        <v>13560</v>
      </c>
      <c r="BF718" t="str">
        <f>HYPERLINK("http://dx.doi.org/10.1007/s00300-016-1988-9","http://dx.doi.org/10.1007/s00300-016-1988-9")</f>
        <v>http://dx.doi.org/10.1007/s00300-016-1988-9</v>
      </c>
      <c r="BG718" t="s">
        <v>74</v>
      </c>
      <c r="BH718" t="s">
        <v>74</v>
      </c>
      <c r="BI718">
        <v>10</v>
      </c>
      <c r="BJ718" t="s">
        <v>1018</v>
      </c>
      <c r="BK718" t="s">
        <v>103</v>
      </c>
      <c r="BL718" t="s">
        <v>326</v>
      </c>
      <c r="BM718" t="s">
        <v>13499</v>
      </c>
      <c r="BN718" t="s">
        <v>74</v>
      </c>
      <c r="BO718" t="s">
        <v>74</v>
      </c>
      <c r="BP718" t="s">
        <v>74</v>
      </c>
      <c r="BQ718" t="s">
        <v>74</v>
      </c>
      <c r="BR718" t="s">
        <v>106</v>
      </c>
      <c r="BS718" t="s">
        <v>13561</v>
      </c>
      <c r="BT718" t="str">
        <f>HYPERLINK("https%3A%2F%2Fwww.webofscience.com%2Fwos%2Fwoscc%2Ffull-record%2FWOS:000395177000013","View Full Record in Web of Science")</f>
        <v>View Full Record in Web of Science</v>
      </c>
    </row>
    <row r="719" spans="1:72" x14ac:dyDescent="0.15">
      <c r="A719" t="s">
        <v>72</v>
      </c>
      <c r="B719" t="s">
        <v>13562</v>
      </c>
      <c r="C719" t="s">
        <v>74</v>
      </c>
      <c r="D719" t="s">
        <v>74</v>
      </c>
      <c r="E719" t="s">
        <v>74</v>
      </c>
      <c r="F719" t="s">
        <v>13563</v>
      </c>
      <c r="G719" t="s">
        <v>74</v>
      </c>
      <c r="H719" t="s">
        <v>74</v>
      </c>
      <c r="I719" t="s">
        <v>13564</v>
      </c>
      <c r="J719" t="s">
        <v>1000</v>
      </c>
      <c r="K719" t="s">
        <v>74</v>
      </c>
      <c r="L719" t="s">
        <v>74</v>
      </c>
      <c r="M719" t="s">
        <v>78</v>
      </c>
      <c r="N719" t="s">
        <v>79</v>
      </c>
      <c r="O719" t="s">
        <v>74</v>
      </c>
      <c r="P719" t="s">
        <v>74</v>
      </c>
      <c r="Q719" t="s">
        <v>74</v>
      </c>
      <c r="R719" t="s">
        <v>74</v>
      </c>
      <c r="S719" t="s">
        <v>74</v>
      </c>
      <c r="T719" t="s">
        <v>13565</v>
      </c>
      <c r="U719" t="s">
        <v>13566</v>
      </c>
      <c r="V719" t="s">
        <v>13567</v>
      </c>
      <c r="W719" t="s">
        <v>13568</v>
      </c>
      <c r="X719" t="s">
        <v>12093</v>
      </c>
      <c r="Y719" t="s">
        <v>13569</v>
      </c>
      <c r="Z719" t="s">
        <v>13570</v>
      </c>
      <c r="AA719" t="s">
        <v>74</v>
      </c>
      <c r="AB719" t="s">
        <v>13571</v>
      </c>
      <c r="AC719" t="s">
        <v>13572</v>
      </c>
      <c r="AD719" t="s">
        <v>13573</v>
      </c>
      <c r="AE719" t="s">
        <v>13574</v>
      </c>
      <c r="AF719" t="s">
        <v>74</v>
      </c>
      <c r="AG719">
        <v>66</v>
      </c>
      <c r="AH719">
        <v>8</v>
      </c>
      <c r="AI719">
        <v>8</v>
      </c>
      <c r="AJ719">
        <v>0</v>
      </c>
      <c r="AK719">
        <v>26</v>
      </c>
      <c r="AL719" t="s">
        <v>986</v>
      </c>
      <c r="AM719" t="s">
        <v>430</v>
      </c>
      <c r="AN719" t="s">
        <v>1663</v>
      </c>
      <c r="AO719" t="s">
        <v>1013</v>
      </c>
      <c r="AP719" t="s">
        <v>1014</v>
      </c>
      <c r="AQ719" t="s">
        <v>74</v>
      </c>
      <c r="AR719" t="s">
        <v>1015</v>
      </c>
      <c r="AS719" t="s">
        <v>1016</v>
      </c>
      <c r="AT719" t="s">
        <v>12439</v>
      </c>
      <c r="AU719">
        <v>2017</v>
      </c>
      <c r="AV719">
        <v>40</v>
      </c>
      <c r="AW719">
        <v>3</v>
      </c>
      <c r="AX719" t="s">
        <v>74</v>
      </c>
      <c r="AY719" t="s">
        <v>74</v>
      </c>
      <c r="AZ719" t="s">
        <v>74</v>
      </c>
      <c r="BA719" t="s">
        <v>74</v>
      </c>
      <c r="BB719">
        <v>697</v>
      </c>
      <c r="BC719">
        <v>711</v>
      </c>
      <c r="BD719" t="s">
        <v>74</v>
      </c>
      <c r="BE719" t="s">
        <v>13575</v>
      </c>
      <c r="BF719" t="str">
        <f>HYPERLINK("http://dx.doi.org/10.1007/s00300-016-1994-y","http://dx.doi.org/10.1007/s00300-016-1994-y")</f>
        <v>http://dx.doi.org/10.1007/s00300-016-1994-y</v>
      </c>
      <c r="BG719" t="s">
        <v>74</v>
      </c>
      <c r="BH719" t="s">
        <v>74</v>
      </c>
      <c r="BI719">
        <v>15</v>
      </c>
      <c r="BJ719" t="s">
        <v>1018</v>
      </c>
      <c r="BK719" t="s">
        <v>103</v>
      </c>
      <c r="BL719" t="s">
        <v>326</v>
      </c>
      <c r="BM719" t="s">
        <v>13499</v>
      </c>
      <c r="BN719" t="s">
        <v>74</v>
      </c>
      <c r="BO719" t="s">
        <v>74</v>
      </c>
      <c r="BP719" t="s">
        <v>74</v>
      </c>
      <c r="BQ719" t="s">
        <v>74</v>
      </c>
      <c r="BR719" t="s">
        <v>106</v>
      </c>
      <c r="BS719" t="s">
        <v>13576</v>
      </c>
      <c r="BT719" t="str">
        <f>HYPERLINK("https%3A%2F%2Fwww.webofscience.com%2Fwos%2Fwoscc%2Ffull-record%2FWOS:000395177000017","View Full Record in Web of Science")</f>
        <v>View Full Record in Web of Science</v>
      </c>
    </row>
    <row r="720" spans="1:72" x14ac:dyDescent="0.15">
      <c r="A720" t="s">
        <v>72</v>
      </c>
      <c r="B720" t="s">
        <v>13577</v>
      </c>
      <c r="C720" t="s">
        <v>74</v>
      </c>
      <c r="D720" t="s">
        <v>74</v>
      </c>
      <c r="E720" t="s">
        <v>74</v>
      </c>
      <c r="F720" t="s">
        <v>13578</v>
      </c>
      <c r="G720" t="s">
        <v>74</v>
      </c>
      <c r="H720" t="s">
        <v>74</v>
      </c>
      <c r="I720" t="s">
        <v>13579</v>
      </c>
      <c r="J720" t="s">
        <v>1000</v>
      </c>
      <c r="K720" t="s">
        <v>74</v>
      </c>
      <c r="L720" t="s">
        <v>74</v>
      </c>
      <c r="M720" t="s">
        <v>78</v>
      </c>
      <c r="N720" t="s">
        <v>79</v>
      </c>
      <c r="O720" t="s">
        <v>74</v>
      </c>
      <c r="P720" t="s">
        <v>74</v>
      </c>
      <c r="Q720" t="s">
        <v>74</v>
      </c>
      <c r="R720" t="s">
        <v>74</v>
      </c>
      <c r="S720" t="s">
        <v>74</v>
      </c>
      <c r="T720" t="s">
        <v>13580</v>
      </c>
      <c r="U720" t="s">
        <v>13581</v>
      </c>
      <c r="V720" t="s">
        <v>13582</v>
      </c>
      <c r="W720" t="s">
        <v>13583</v>
      </c>
      <c r="X720" t="s">
        <v>13584</v>
      </c>
      <c r="Y720" t="s">
        <v>13585</v>
      </c>
      <c r="Z720" t="s">
        <v>12615</v>
      </c>
      <c r="AA720" t="s">
        <v>13586</v>
      </c>
      <c r="AB720" t="s">
        <v>12617</v>
      </c>
      <c r="AC720" t="s">
        <v>13587</v>
      </c>
      <c r="AD720" t="s">
        <v>13588</v>
      </c>
      <c r="AE720" t="s">
        <v>13589</v>
      </c>
      <c r="AF720" t="s">
        <v>74</v>
      </c>
      <c r="AG720">
        <v>36</v>
      </c>
      <c r="AH720">
        <v>27</v>
      </c>
      <c r="AI720">
        <v>28</v>
      </c>
      <c r="AJ720">
        <v>1</v>
      </c>
      <c r="AK720">
        <v>42</v>
      </c>
      <c r="AL720" t="s">
        <v>986</v>
      </c>
      <c r="AM720" t="s">
        <v>430</v>
      </c>
      <c r="AN720" t="s">
        <v>987</v>
      </c>
      <c r="AO720" t="s">
        <v>1013</v>
      </c>
      <c r="AP720" t="s">
        <v>1014</v>
      </c>
      <c r="AQ720" t="s">
        <v>74</v>
      </c>
      <c r="AR720" t="s">
        <v>1015</v>
      </c>
      <c r="AS720" t="s">
        <v>1016</v>
      </c>
      <c r="AT720" t="s">
        <v>12439</v>
      </c>
      <c r="AU720">
        <v>2017</v>
      </c>
      <c r="AV720">
        <v>40</v>
      </c>
      <c r="AW720">
        <v>3</v>
      </c>
      <c r="AX720" t="s">
        <v>74</v>
      </c>
      <c r="AY720" t="s">
        <v>74</v>
      </c>
      <c r="AZ720" t="s">
        <v>74</v>
      </c>
      <c r="BA720" t="s">
        <v>74</v>
      </c>
      <c r="BB720">
        <v>719</v>
      </c>
      <c r="BC720">
        <v>726</v>
      </c>
      <c r="BD720" t="s">
        <v>74</v>
      </c>
      <c r="BE720" t="s">
        <v>13590</v>
      </c>
      <c r="BF720" t="str">
        <f>HYPERLINK("http://dx.doi.org/10.1007/s00300-016-1977-z","http://dx.doi.org/10.1007/s00300-016-1977-z")</f>
        <v>http://dx.doi.org/10.1007/s00300-016-1977-z</v>
      </c>
      <c r="BG720" t="s">
        <v>74</v>
      </c>
      <c r="BH720" t="s">
        <v>74</v>
      </c>
      <c r="BI720">
        <v>8</v>
      </c>
      <c r="BJ720" t="s">
        <v>1018</v>
      </c>
      <c r="BK720" t="s">
        <v>103</v>
      </c>
      <c r="BL720" t="s">
        <v>326</v>
      </c>
      <c r="BM720" t="s">
        <v>13499</v>
      </c>
      <c r="BN720" t="s">
        <v>74</v>
      </c>
      <c r="BO720" t="s">
        <v>74</v>
      </c>
      <c r="BP720" t="s">
        <v>74</v>
      </c>
      <c r="BQ720" t="s">
        <v>74</v>
      </c>
      <c r="BR720" t="s">
        <v>106</v>
      </c>
      <c r="BS720" t="s">
        <v>13591</v>
      </c>
      <c r="BT720" t="str">
        <f>HYPERLINK("https%3A%2F%2Fwww.webofscience.com%2Fwos%2Fwoscc%2Ffull-record%2FWOS:000395177000019","View Full Record in Web of Science")</f>
        <v>View Full Record in Web of Science</v>
      </c>
    </row>
    <row r="721" spans="1:72" x14ac:dyDescent="0.15">
      <c r="A721" t="s">
        <v>72</v>
      </c>
      <c r="B721" t="s">
        <v>13592</v>
      </c>
      <c r="C721" t="s">
        <v>74</v>
      </c>
      <c r="D721" t="s">
        <v>74</v>
      </c>
      <c r="E721" t="s">
        <v>74</v>
      </c>
      <c r="F721" t="s">
        <v>13593</v>
      </c>
      <c r="G721" t="s">
        <v>74</v>
      </c>
      <c r="H721" t="s">
        <v>74</v>
      </c>
      <c r="I721" t="s">
        <v>13594</v>
      </c>
      <c r="J721" t="s">
        <v>1000</v>
      </c>
      <c r="K721" t="s">
        <v>74</v>
      </c>
      <c r="L721" t="s">
        <v>74</v>
      </c>
      <c r="M721" t="s">
        <v>78</v>
      </c>
      <c r="N721" t="s">
        <v>79</v>
      </c>
      <c r="O721" t="s">
        <v>74</v>
      </c>
      <c r="P721" t="s">
        <v>74</v>
      </c>
      <c r="Q721" t="s">
        <v>74</v>
      </c>
      <c r="R721" t="s">
        <v>74</v>
      </c>
      <c r="S721" t="s">
        <v>74</v>
      </c>
      <c r="T721" t="s">
        <v>13595</v>
      </c>
      <c r="U721" t="s">
        <v>13596</v>
      </c>
      <c r="V721" t="s">
        <v>13597</v>
      </c>
      <c r="W721" t="s">
        <v>13598</v>
      </c>
      <c r="X721" t="s">
        <v>13599</v>
      </c>
      <c r="Y721" t="s">
        <v>13600</v>
      </c>
      <c r="Z721" t="s">
        <v>13601</v>
      </c>
      <c r="AA721" t="s">
        <v>13602</v>
      </c>
      <c r="AB721" t="s">
        <v>13603</v>
      </c>
      <c r="AC721" t="s">
        <v>13604</v>
      </c>
      <c r="AD721" t="s">
        <v>13605</v>
      </c>
      <c r="AE721" t="s">
        <v>13606</v>
      </c>
      <c r="AF721" t="s">
        <v>74</v>
      </c>
      <c r="AG721">
        <v>42</v>
      </c>
      <c r="AH721">
        <v>0</v>
      </c>
      <c r="AI721">
        <v>0</v>
      </c>
      <c r="AJ721">
        <v>0</v>
      </c>
      <c r="AK721">
        <v>22</v>
      </c>
      <c r="AL721" t="s">
        <v>986</v>
      </c>
      <c r="AM721" t="s">
        <v>430</v>
      </c>
      <c r="AN721" t="s">
        <v>1663</v>
      </c>
      <c r="AO721" t="s">
        <v>1013</v>
      </c>
      <c r="AP721" t="s">
        <v>1014</v>
      </c>
      <c r="AQ721" t="s">
        <v>74</v>
      </c>
      <c r="AR721" t="s">
        <v>1015</v>
      </c>
      <c r="AS721" t="s">
        <v>1016</v>
      </c>
      <c r="AT721" t="s">
        <v>12439</v>
      </c>
      <c r="AU721">
        <v>2017</v>
      </c>
      <c r="AV721">
        <v>40</v>
      </c>
      <c r="AW721">
        <v>3</v>
      </c>
      <c r="AX721" t="s">
        <v>74</v>
      </c>
      <c r="AY721" t="s">
        <v>74</v>
      </c>
      <c r="AZ721" t="s">
        <v>74</v>
      </c>
      <c r="BA721" t="s">
        <v>74</v>
      </c>
      <c r="BB721">
        <v>727</v>
      </c>
      <c r="BC721">
        <v>734</v>
      </c>
      <c r="BD721" t="s">
        <v>74</v>
      </c>
      <c r="BE721" t="s">
        <v>13607</v>
      </c>
      <c r="BF721" t="str">
        <f>HYPERLINK("http://dx.doi.org/10.1007/s00300-016-1989-8","http://dx.doi.org/10.1007/s00300-016-1989-8")</f>
        <v>http://dx.doi.org/10.1007/s00300-016-1989-8</v>
      </c>
      <c r="BG721" t="s">
        <v>74</v>
      </c>
      <c r="BH721" t="s">
        <v>74</v>
      </c>
      <c r="BI721">
        <v>8</v>
      </c>
      <c r="BJ721" t="s">
        <v>1018</v>
      </c>
      <c r="BK721" t="s">
        <v>103</v>
      </c>
      <c r="BL721" t="s">
        <v>326</v>
      </c>
      <c r="BM721" t="s">
        <v>13499</v>
      </c>
      <c r="BN721" t="s">
        <v>74</v>
      </c>
      <c r="BO721" t="s">
        <v>74</v>
      </c>
      <c r="BP721" t="s">
        <v>74</v>
      </c>
      <c r="BQ721" t="s">
        <v>74</v>
      </c>
      <c r="BR721" t="s">
        <v>106</v>
      </c>
      <c r="BS721" t="s">
        <v>13608</v>
      </c>
      <c r="BT721" t="str">
        <f>HYPERLINK("https%3A%2F%2Fwww.webofscience.com%2Fwos%2Fwoscc%2Ffull-record%2FWOS:000395177000020","View Full Record in Web of Science")</f>
        <v>View Full Record in Web of Science</v>
      </c>
    </row>
    <row r="722" spans="1:72" x14ac:dyDescent="0.15">
      <c r="A722" t="s">
        <v>72</v>
      </c>
      <c r="B722" t="s">
        <v>13609</v>
      </c>
      <c r="C722" t="s">
        <v>74</v>
      </c>
      <c r="D722" t="s">
        <v>74</v>
      </c>
      <c r="E722" t="s">
        <v>74</v>
      </c>
      <c r="F722" t="s">
        <v>13610</v>
      </c>
      <c r="G722" t="s">
        <v>74</v>
      </c>
      <c r="H722" t="s">
        <v>74</v>
      </c>
      <c r="I722" t="s">
        <v>13611</v>
      </c>
      <c r="J722" t="s">
        <v>13612</v>
      </c>
      <c r="K722" t="s">
        <v>74</v>
      </c>
      <c r="L722" t="s">
        <v>74</v>
      </c>
      <c r="M722" t="s">
        <v>78</v>
      </c>
      <c r="N722" t="s">
        <v>79</v>
      </c>
      <c r="O722" t="s">
        <v>74</v>
      </c>
      <c r="P722" t="s">
        <v>74</v>
      </c>
      <c r="Q722" t="s">
        <v>74</v>
      </c>
      <c r="R722" t="s">
        <v>74</v>
      </c>
      <c r="S722" t="s">
        <v>74</v>
      </c>
      <c r="T722" t="s">
        <v>74</v>
      </c>
      <c r="U722" t="s">
        <v>13613</v>
      </c>
      <c r="V722" t="s">
        <v>13614</v>
      </c>
      <c r="W722" t="s">
        <v>13615</v>
      </c>
      <c r="X722" t="s">
        <v>13616</v>
      </c>
      <c r="Y722" t="s">
        <v>13617</v>
      </c>
      <c r="Z722" t="s">
        <v>13618</v>
      </c>
      <c r="AA722" t="s">
        <v>13619</v>
      </c>
      <c r="AB722" t="s">
        <v>13620</v>
      </c>
      <c r="AC722" t="s">
        <v>13621</v>
      </c>
      <c r="AD722" t="s">
        <v>13622</v>
      </c>
      <c r="AE722" t="s">
        <v>13623</v>
      </c>
      <c r="AF722" t="s">
        <v>74</v>
      </c>
      <c r="AG722">
        <v>63</v>
      </c>
      <c r="AH722">
        <v>12</v>
      </c>
      <c r="AI722">
        <v>13</v>
      </c>
      <c r="AJ722">
        <v>0</v>
      </c>
      <c r="AK722">
        <v>9</v>
      </c>
      <c r="AL722" t="s">
        <v>681</v>
      </c>
      <c r="AM722" t="s">
        <v>682</v>
      </c>
      <c r="AN722" t="s">
        <v>683</v>
      </c>
      <c r="AO722" t="s">
        <v>13624</v>
      </c>
      <c r="AP722" t="s">
        <v>13625</v>
      </c>
      <c r="AQ722" t="s">
        <v>74</v>
      </c>
      <c r="AR722" t="s">
        <v>13626</v>
      </c>
      <c r="AS722" t="s">
        <v>13627</v>
      </c>
      <c r="AT722" t="s">
        <v>12439</v>
      </c>
      <c r="AU722">
        <v>2017</v>
      </c>
      <c r="AV722">
        <v>46</v>
      </c>
      <c r="AW722">
        <v>2</v>
      </c>
      <c r="AX722" t="s">
        <v>74</v>
      </c>
      <c r="AY722" t="s">
        <v>74</v>
      </c>
      <c r="AZ722" t="s">
        <v>74</v>
      </c>
      <c r="BA722" t="s">
        <v>74</v>
      </c>
      <c r="BB722">
        <v>127</v>
      </c>
      <c r="BC722">
        <v>137</v>
      </c>
      <c r="BD722" t="s">
        <v>74</v>
      </c>
      <c r="BE722" t="s">
        <v>13628</v>
      </c>
      <c r="BF722" t="str">
        <f>HYPERLINK("http://dx.doi.org/10.1111/zsc.12199","http://dx.doi.org/10.1111/zsc.12199")</f>
        <v>http://dx.doi.org/10.1111/zsc.12199</v>
      </c>
      <c r="BG722" t="s">
        <v>74</v>
      </c>
      <c r="BH722" t="s">
        <v>74</v>
      </c>
      <c r="BI722">
        <v>11</v>
      </c>
      <c r="BJ722" t="s">
        <v>13380</v>
      </c>
      <c r="BK722" t="s">
        <v>103</v>
      </c>
      <c r="BL722" t="s">
        <v>13380</v>
      </c>
      <c r="BM722" t="s">
        <v>13629</v>
      </c>
      <c r="BN722" t="s">
        <v>74</v>
      </c>
      <c r="BO722" t="s">
        <v>74</v>
      </c>
      <c r="BP722" t="s">
        <v>74</v>
      </c>
      <c r="BQ722" t="s">
        <v>74</v>
      </c>
      <c r="BR722" t="s">
        <v>106</v>
      </c>
      <c r="BS722" t="s">
        <v>13630</v>
      </c>
      <c r="BT722" t="str">
        <f>HYPERLINK("https%3A%2F%2Fwww.webofscience.com%2Fwos%2Fwoscc%2Ffull-record%2FWOS:000395084200001","View Full Record in Web of Science")</f>
        <v>View Full Record in Web of Science</v>
      </c>
    </row>
    <row r="723" spans="1:72" x14ac:dyDescent="0.15">
      <c r="A723" t="s">
        <v>72</v>
      </c>
      <c r="B723" t="s">
        <v>13631</v>
      </c>
      <c r="C723" t="s">
        <v>74</v>
      </c>
      <c r="D723" t="s">
        <v>74</v>
      </c>
      <c r="E723" t="s">
        <v>74</v>
      </c>
      <c r="F723" t="s">
        <v>13632</v>
      </c>
      <c r="G723" t="s">
        <v>74</v>
      </c>
      <c r="H723" t="s">
        <v>74</v>
      </c>
      <c r="I723" t="s">
        <v>13633</v>
      </c>
      <c r="J723" t="s">
        <v>13612</v>
      </c>
      <c r="K723" t="s">
        <v>74</v>
      </c>
      <c r="L723" t="s">
        <v>74</v>
      </c>
      <c r="M723" t="s">
        <v>78</v>
      </c>
      <c r="N723" t="s">
        <v>79</v>
      </c>
      <c r="O723" t="s">
        <v>74</v>
      </c>
      <c r="P723" t="s">
        <v>74</v>
      </c>
      <c r="Q723" t="s">
        <v>74</v>
      </c>
      <c r="R723" t="s">
        <v>74</v>
      </c>
      <c r="S723" t="s">
        <v>74</v>
      </c>
      <c r="T723" t="s">
        <v>74</v>
      </c>
      <c r="U723" t="s">
        <v>13634</v>
      </c>
      <c r="V723" t="s">
        <v>13635</v>
      </c>
      <c r="W723" t="s">
        <v>13636</v>
      </c>
      <c r="X723" t="s">
        <v>13637</v>
      </c>
      <c r="Y723" t="s">
        <v>13638</v>
      </c>
      <c r="Z723" t="s">
        <v>13639</v>
      </c>
      <c r="AA723" t="s">
        <v>13640</v>
      </c>
      <c r="AB723" t="s">
        <v>74</v>
      </c>
      <c r="AC723" t="s">
        <v>13641</v>
      </c>
      <c r="AD723" t="s">
        <v>13642</v>
      </c>
      <c r="AE723" t="s">
        <v>13643</v>
      </c>
      <c r="AF723" t="s">
        <v>74</v>
      </c>
      <c r="AG723">
        <v>28</v>
      </c>
      <c r="AH723">
        <v>14</v>
      </c>
      <c r="AI723">
        <v>14</v>
      </c>
      <c r="AJ723">
        <v>0</v>
      </c>
      <c r="AK723">
        <v>12</v>
      </c>
      <c r="AL723" t="s">
        <v>681</v>
      </c>
      <c r="AM723" t="s">
        <v>682</v>
      </c>
      <c r="AN723" t="s">
        <v>683</v>
      </c>
      <c r="AO723" t="s">
        <v>13624</v>
      </c>
      <c r="AP723" t="s">
        <v>13625</v>
      </c>
      <c r="AQ723" t="s">
        <v>74</v>
      </c>
      <c r="AR723" t="s">
        <v>13626</v>
      </c>
      <c r="AS723" t="s">
        <v>13627</v>
      </c>
      <c r="AT723" t="s">
        <v>12439</v>
      </c>
      <c r="AU723">
        <v>2017</v>
      </c>
      <c r="AV723">
        <v>46</v>
      </c>
      <c r="AW723">
        <v>2</v>
      </c>
      <c r="AX723" t="s">
        <v>74</v>
      </c>
      <c r="AY723" t="s">
        <v>74</v>
      </c>
      <c r="AZ723" t="s">
        <v>74</v>
      </c>
      <c r="BA723" t="s">
        <v>74</v>
      </c>
      <c r="BB723">
        <v>180</v>
      </c>
      <c r="BC723">
        <v>187</v>
      </c>
      <c r="BD723" t="s">
        <v>74</v>
      </c>
      <c r="BE723" t="s">
        <v>13644</v>
      </c>
      <c r="BF723" t="str">
        <f>HYPERLINK("http://dx.doi.org/10.1111/zsc.12204","http://dx.doi.org/10.1111/zsc.12204")</f>
        <v>http://dx.doi.org/10.1111/zsc.12204</v>
      </c>
      <c r="BG723" t="s">
        <v>74</v>
      </c>
      <c r="BH723" t="s">
        <v>74</v>
      </c>
      <c r="BI723">
        <v>8</v>
      </c>
      <c r="BJ723" t="s">
        <v>13380</v>
      </c>
      <c r="BK723" t="s">
        <v>103</v>
      </c>
      <c r="BL723" t="s">
        <v>13380</v>
      </c>
      <c r="BM723" t="s">
        <v>13629</v>
      </c>
      <c r="BN723" t="s">
        <v>74</v>
      </c>
      <c r="BO723" t="s">
        <v>74</v>
      </c>
      <c r="BP723" t="s">
        <v>74</v>
      </c>
      <c r="BQ723" t="s">
        <v>74</v>
      </c>
      <c r="BR723" t="s">
        <v>106</v>
      </c>
      <c r="BS723" t="s">
        <v>13645</v>
      </c>
      <c r="BT723" t="str">
        <f>HYPERLINK("https%3A%2F%2Fwww.webofscience.com%2Fwos%2Fwoscc%2Ffull-record%2FWOS:000395084200005","View Full Record in Web of Science")</f>
        <v>View Full Record in Web of Science</v>
      </c>
    </row>
    <row r="724" spans="1:72" x14ac:dyDescent="0.15">
      <c r="A724" t="s">
        <v>72</v>
      </c>
      <c r="B724" t="s">
        <v>13646</v>
      </c>
      <c r="C724" t="s">
        <v>74</v>
      </c>
      <c r="D724" t="s">
        <v>74</v>
      </c>
      <c r="E724" t="s">
        <v>74</v>
      </c>
      <c r="F724" t="s">
        <v>13647</v>
      </c>
      <c r="G724" t="s">
        <v>74</v>
      </c>
      <c r="H724" t="s">
        <v>74</v>
      </c>
      <c r="I724" t="s">
        <v>13648</v>
      </c>
      <c r="J724" t="s">
        <v>13649</v>
      </c>
      <c r="K724" t="s">
        <v>74</v>
      </c>
      <c r="L724" t="s">
        <v>74</v>
      </c>
      <c r="M724" t="s">
        <v>78</v>
      </c>
      <c r="N724" t="s">
        <v>79</v>
      </c>
      <c r="O724" t="s">
        <v>74</v>
      </c>
      <c r="P724" t="s">
        <v>74</v>
      </c>
      <c r="Q724" t="s">
        <v>74</v>
      </c>
      <c r="R724" t="s">
        <v>74</v>
      </c>
      <c r="S724" t="s">
        <v>74</v>
      </c>
      <c r="T724" t="s">
        <v>74</v>
      </c>
      <c r="U724" t="s">
        <v>13650</v>
      </c>
      <c r="V724" t="s">
        <v>13651</v>
      </c>
      <c r="W724" t="s">
        <v>13652</v>
      </c>
      <c r="X724" t="s">
        <v>13653</v>
      </c>
      <c r="Y724" t="s">
        <v>13654</v>
      </c>
      <c r="Z724" t="s">
        <v>13655</v>
      </c>
      <c r="AA724" t="s">
        <v>13656</v>
      </c>
      <c r="AB724" t="s">
        <v>13657</v>
      </c>
      <c r="AC724" t="s">
        <v>13658</v>
      </c>
      <c r="AD724" t="s">
        <v>13659</v>
      </c>
      <c r="AE724" t="s">
        <v>13660</v>
      </c>
      <c r="AF724" t="s">
        <v>74</v>
      </c>
      <c r="AG724">
        <v>27</v>
      </c>
      <c r="AH724">
        <v>21</v>
      </c>
      <c r="AI724">
        <v>24</v>
      </c>
      <c r="AJ724">
        <v>0</v>
      </c>
      <c r="AK724">
        <v>14</v>
      </c>
      <c r="AL724" t="s">
        <v>13661</v>
      </c>
      <c r="AM724" t="s">
        <v>223</v>
      </c>
      <c r="AN724" t="s">
        <v>13662</v>
      </c>
      <c r="AO724" t="s">
        <v>13663</v>
      </c>
      <c r="AP724" t="s">
        <v>13664</v>
      </c>
      <c r="AQ724" t="s">
        <v>74</v>
      </c>
      <c r="AR724" t="s">
        <v>13665</v>
      </c>
      <c r="AS724" t="s">
        <v>13666</v>
      </c>
      <c r="AT724" t="s">
        <v>12516</v>
      </c>
      <c r="AU724">
        <v>2017</v>
      </c>
      <c r="AV724">
        <v>34</v>
      </c>
      <c r="AW724">
        <v>3</v>
      </c>
      <c r="AX724" t="s">
        <v>74</v>
      </c>
      <c r="AY724" t="s">
        <v>74</v>
      </c>
      <c r="AZ724" t="s">
        <v>74</v>
      </c>
      <c r="BA724" t="s">
        <v>74</v>
      </c>
      <c r="BB724">
        <v>395</v>
      </c>
      <c r="BC724">
        <v>409</v>
      </c>
      <c r="BD724" t="s">
        <v>74</v>
      </c>
      <c r="BE724" t="s">
        <v>13667</v>
      </c>
      <c r="BF724" t="str">
        <f>HYPERLINK("http://dx.doi.org/10.1364/JOSAA.34.000395","http://dx.doi.org/10.1364/JOSAA.34.000395")</f>
        <v>http://dx.doi.org/10.1364/JOSAA.34.000395</v>
      </c>
      <c r="BG724" t="s">
        <v>74</v>
      </c>
      <c r="BH724" t="s">
        <v>74</v>
      </c>
      <c r="BI724">
        <v>15</v>
      </c>
      <c r="BJ724" t="s">
        <v>13668</v>
      </c>
      <c r="BK724" t="s">
        <v>103</v>
      </c>
      <c r="BL724" t="s">
        <v>13668</v>
      </c>
      <c r="BM724" t="s">
        <v>13669</v>
      </c>
      <c r="BN724">
        <v>28248366</v>
      </c>
      <c r="BO724" t="s">
        <v>74</v>
      </c>
      <c r="BP724" t="s">
        <v>74</v>
      </c>
      <c r="BQ724" t="s">
        <v>74</v>
      </c>
      <c r="BR724" t="s">
        <v>106</v>
      </c>
      <c r="BS724" t="s">
        <v>13670</v>
      </c>
      <c r="BT724" t="str">
        <f>HYPERLINK("https%3A%2F%2Fwww.webofscience.com%2Fwos%2Fwoscc%2Ffull-record%2FWOS:000395691700013","View Full Record in Web of Science")</f>
        <v>View Full Record in Web of Science</v>
      </c>
    </row>
    <row r="725" spans="1:72" x14ac:dyDescent="0.15">
      <c r="A725" t="s">
        <v>72</v>
      </c>
      <c r="B725" t="s">
        <v>13671</v>
      </c>
      <c r="C725" t="s">
        <v>74</v>
      </c>
      <c r="D725" t="s">
        <v>74</v>
      </c>
      <c r="E725" t="s">
        <v>74</v>
      </c>
      <c r="F725" t="s">
        <v>13672</v>
      </c>
      <c r="G725" t="s">
        <v>74</v>
      </c>
      <c r="H725" t="s">
        <v>74</v>
      </c>
      <c r="I725" t="s">
        <v>13673</v>
      </c>
      <c r="J725" t="s">
        <v>13674</v>
      </c>
      <c r="K725" t="s">
        <v>74</v>
      </c>
      <c r="L725" t="s">
        <v>74</v>
      </c>
      <c r="M725" t="s">
        <v>78</v>
      </c>
      <c r="N725" t="s">
        <v>79</v>
      </c>
      <c r="O725" t="s">
        <v>74</v>
      </c>
      <c r="P725" t="s">
        <v>74</v>
      </c>
      <c r="Q725" t="s">
        <v>74</v>
      </c>
      <c r="R725" t="s">
        <v>74</v>
      </c>
      <c r="S725" t="s">
        <v>74</v>
      </c>
      <c r="T725" t="s">
        <v>74</v>
      </c>
      <c r="U725" t="s">
        <v>13675</v>
      </c>
      <c r="V725" t="s">
        <v>13676</v>
      </c>
      <c r="W725" t="s">
        <v>13677</v>
      </c>
      <c r="X725" t="s">
        <v>3423</v>
      </c>
      <c r="Y725" t="s">
        <v>13678</v>
      </c>
      <c r="Z725" t="s">
        <v>13679</v>
      </c>
      <c r="AA725" t="s">
        <v>74</v>
      </c>
      <c r="AB725" t="s">
        <v>13680</v>
      </c>
      <c r="AC725" t="s">
        <v>13681</v>
      </c>
      <c r="AD725" t="s">
        <v>13682</v>
      </c>
      <c r="AE725" t="s">
        <v>13683</v>
      </c>
      <c r="AF725" t="s">
        <v>74</v>
      </c>
      <c r="AG725">
        <v>26</v>
      </c>
      <c r="AH725">
        <v>6</v>
      </c>
      <c r="AI725">
        <v>6</v>
      </c>
      <c r="AJ725">
        <v>0</v>
      </c>
      <c r="AK725">
        <v>16</v>
      </c>
      <c r="AL725" t="s">
        <v>681</v>
      </c>
      <c r="AM725" t="s">
        <v>682</v>
      </c>
      <c r="AN725" t="s">
        <v>683</v>
      </c>
      <c r="AO725" t="s">
        <v>13684</v>
      </c>
      <c r="AP725" t="s">
        <v>74</v>
      </c>
      <c r="AQ725" t="s">
        <v>74</v>
      </c>
      <c r="AR725" t="s">
        <v>13685</v>
      </c>
      <c r="AS725" t="s">
        <v>13686</v>
      </c>
      <c r="AT725" t="s">
        <v>12439</v>
      </c>
      <c r="AU725">
        <v>2017</v>
      </c>
      <c r="AV725">
        <v>15</v>
      </c>
      <c r="AW725">
        <v>3</v>
      </c>
      <c r="AX725" t="s">
        <v>74</v>
      </c>
      <c r="AY725" t="s">
        <v>74</v>
      </c>
      <c r="AZ725" t="s">
        <v>74</v>
      </c>
      <c r="BA725" t="s">
        <v>74</v>
      </c>
      <c r="BB725">
        <v>264</v>
      </c>
      <c r="BC725">
        <v>275</v>
      </c>
      <c r="BD725" t="s">
        <v>74</v>
      </c>
      <c r="BE725" t="s">
        <v>13687</v>
      </c>
      <c r="BF725" t="str">
        <f>HYPERLINK("http://dx.doi.org/10.1002/lom3.10154","http://dx.doi.org/10.1002/lom3.10154")</f>
        <v>http://dx.doi.org/10.1002/lom3.10154</v>
      </c>
      <c r="BG725" t="s">
        <v>74</v>
      </c>
      <c r="BH725" t="s">
        <v>74</v>
      </c>
      <c r="BI725">
        <v>12</v>
      </c>
      <c r="BJ725" t="s">
        <v>5079</v>
      </c>
      <c r="BK725" t="s">
        <v>103</v>
      </c>
      <c r="BL725" t="s">
        <v>4165</v>
      </c>
      <c r="BM725" t="s">
        <v>13688</v>
      </c>
      <c r="BN725" t="s">
        <v>74</v>
      </c>
      <c r="BO725" t="s">
        <v>384</v>
      </c>
      <c r="BP725" t="s">
        <v>74</v>
      </c>
      <c r="BQ725" t="s">
        <v>74</v>
      </c>
      <c r="BR725" t="s">
        <v>106</v>
      </c>
      <c r="BS725" t="s">
        <v>13689</v>
      </c>
      <c r="BT725" t="str">
        <f>HYPERLINK("https%3A%2F%2Fwww.webofscience.com%2Fwos%2Fwoscc%2Ffull-record%2FWOS:000397732400003","View Full Record in Web of Science")</f>
        <v>View Full Record in Web of Science</v>
      </c>
    </row>
    <row r="726" spans="1:72" x14ac:dyDescent="0.15">
      <c r="A726" t="s">
        <v>72</v>
      </c>
      <c r="B726" t="s">
        <v>13690</v>
      </c>
      <c r="C726" t="s">
        <v>74</v>
      </c>
      <c r="D726" t="s">
        <v>74</v>
      </c>
      <c r="E726" t="s">
        <v>74</v>
      </c>
      <c r="F726" t="s">
        <v>13691</v>
      </c>
      <c r="G726" t="s">
        <v>74</v>
      </c>
      <c r="H726" t="s">
        <v>74</v>
      </c>
      <c r="I726" t="s">
        <v>13692</v>
      </c>
      <c r="J726" t="s">
        <v>13693</v>
      </c>
      <c r="K726" t="s">
        <v>74</v>
      </c>
      <c r="L726" t="s">
        <v>74</v>
      </c>
      <c r="M726" t="s">
        <v>78</v>
      </c>
      <c r="N726" t="s">
        <v>79</v>
      </c>
      <c r="O726" t="s">
        <v>74</v>
      </c>
      <c r="P726" t="s">
        <v>74</v>
      </c>
      <c r="Q726" t="s">
        <v>74</v>
      </c>
      <c r="R726" t="s">
        <v>74</v>
      </c>
      <c r="S726" t="s">
        <v>74</v>
      </c>
      <c r="T726" t="s">
        <v>13694</v>
      </c>
      <c r="U726" t="s">
        <v>13695</v>
      </c>
      <c r="V726" t="s">
        <v>13696</v>
      </c>
      <c r="W726" t="s">
        <v>13697</v>
      </c>
      <c r="X726" t="s">
        <v>13698</v>
      </c>
      <c r="Y726" t="s">
        <v>13699</v>
      </c>
      <c r="Z726" t="s">
        <v>13700</v>
      </c>
      <c r="AA726" t="s">
        <v>13701</v>
      </c>
      <c r="AB726" t="s">
        <v>13702</v>
      </c>
      <c r="AC726" t="s">
        <v>13703</v>
      </c>
      <c r="AD726" t="s">
        <v>13704</v>
      </c>
      <c r="AE726" t="s">
        <v>13705</v>
      </c>
      <c r="AF726" t="s">
        <v>74</v>
      </c>
      <c r="AG726">
        <v>25</v>
      </c>
      <c r="AH726">
        <v>23</v>
      </c>
      <c r="AI726">
        <v>26</v>
      </c>
      <c r="AJ726">
        <v>0</v>
      </c>
      <c r="AK726">
        <v>6</v>
      </c>
      <c r="AL726" t="s">
        <v>1141</v>
      </c>
      <c r="AM726" t="s">
        <v>318</v>
      </c>
      <c r="AN726" t="s">
        <v>1142</v>
      </c>
      <c r="AO726" t="s">
        <v>13706</v>
      </c>
      <c r="AP726" t="s">
        <v>13707</v>
      </c>
      <c r="AQ726" t="s">
        <v>74</v>
      </c>
      <c r="AR726" t="s">
        <v>13693</v>
      </c>
      <c r="AS726" t="s">
        <v>13708</v>
      </c>
      <c r="AT726" t="s">
        <v>12439</v>
      </c>
      <c r="AU726">
        <v>2017</v>
      </c>
      <c r="AV726">
        <v>58</v>
      </c>
      <c r="AW726">
        <v>2</v>
      </c>
      <c r="AX726" t="s">
        <v>74</v>
      </c>
      <c r="AY726" t="s">
        <v>74</v>
      </c>
      <c r="AZ726" t="s">
        <v>74</v>
      </c>
      <c r="BA726" t="s">
        <v>74</v>
      </c>
      <c r="BB726">
        <v>103</v>
      </c>
      <c r="BC726">
        <v>110</v>
      </c>
      <c r="BD726" t="s">
        <v>74</v>
      </c>
      <c r="BE726" t="s">
        <v>13709</v>
      </c>
      <c r="BF726" t="str">
        <f>HYPERLINK("http://dx.doi.org/10.1016/j.myc.2016.11.002","http://dx.doi.org/10.1016/j.myc.2016.11.002")</f>
        <v>http://dx.doi.org/10.1016/j.myc.2016.11.002</v>
      </c>
      <c r="BG726" t="s">
        <v>74</v>
      </c>
      <c r="BH726" t="s">
        <v>74</v>
      </c>
      <c r="BI726">
        <v>8</v>
      </c>
      <c r="BJ726" t="s">
        <v>13710</v>
      </c>
      <c r="BK726" t="s">
        <v>103</v>
      </c>
      <c r="BL726" t="s">
        <v>13710</v>
      </c>
      <c r="BM726" t="s">
        <v>13711</v>
      </c>
      <c r="BN726" t="s">
        <v>74</v>
      </c>
      <c r="BO726" t="s">
        <v>74</v>
      </c>
      <c r="BP726" t="s">
        <v>74</v>
      </c>
      <c r="BQ726" t="s">
        <v>74</v>
      </c>
      <c r="BR726" t="s">
        <v>106</v>
      </c>
      <c r="BS726" t="s">
        <v>13712</v>
      </c>
      <c r="BT726" t="str">
        <f>HYPERLINK("https%3A%2F%2Fwww.webofscience.com%2Fwos%2Fwoscc%2Ffull-record%2FWOS:000395502600005","View Full Record in Web of Science")</f>
        <v>View Full Record in Web of Science</v>
      </c>
    </row>
    <row r="727" spans="1:72" x14ac:dyDescent="0.15">
      <c r="A727" t="s">
        <v>72</v>
      </c>
      <c r="B727" t="s">
        <v>13713</v>
      </c>
      <c r="C727" t="s">
        <v>74</v>
      </c>
      <c r="D727" t="s">
        <v>74</v>
      </c>
      <c r="E727" t="s">
        <v>74</v>
      </c>
      <c r="F727" t="s">
        <v>13714</v>
      </c>
      <c r="G727" t="s">
        <v>74</v>
      </c>
      <c r="H727" t="s">
        <v>74</v>
      </c>
      <c r="I727" t="s">
        <v>13715</v>
      </c>
      <c r="J727" t="s">
        <v>1675</v>
      </c>
      <c r="K727" t="s">
        <v>74</v>
      </c>
      <c r="L727" t="s">
        <v>74</v>
      </c>
      <c r="M727" t="s">
        <v>78</v>
      </c>
      <c r="N727" t="s">
        <v>79</v>
      </c>
      <c r="O727" t="s">
        <v>74</v>
      </c>
      <c r="P727" t="s">
        <v>74</v>
      </c>
      <c r="Q727" t="s">
        <v>74</v>
      </c>
      <c r="R727" t="s">
        <v>74</v>
      </c>
      <c r="S727" t="s">
        <v>74</v>
      </c>
      <c r="T727" t="s">
        <v>13716</v>
      </c>
      <c r="U727" t="s">
        <v>13717</v>
      </c>
      <c r="V727" t="s">
        <v>13718</v>
      </c>
      <c r="W727" t="s">
        <v>13719</v>
      </c>
      <c r="X727" t="s">
        <v>13720</v>
      </c>
      <c r="Y727" t="s">
        <v>13721</v>
      </c>
      <c r="Z727" t="s">
        <v>13722</v>
      </c>
      <c r="AA727" t="s">
        <v>13723</v>
      </c>
      <c r="AB727" t="s">
        <v>13724</v>
      </c>
      <c r="AC727" t="s">
        <v>13725</v>
      </c>
      <c r="AD727" t="s">
        <v>13726</v>
      </c>
      <c r="AE727" t="s">
        <v>13727</v>
      </c>
      <c r="AF727" t="s">
        <v>74</v>
      </c>
      <c r="AG727">
        <v>39</v>
      </c>
      <c r="AH727">
        <v>5</v>
      </c>
      <c r="AI727">
        <v>5</v>
      </c>
      <c r="AJ727">
        <v>0</v>
      </c>
      <c r="AK727">
        <v>20</v>
      </c>
      <c r="AL727" t="s">
        <v>317</v>
      </c>
      <c r="AM727" t="s">
        <v>318</v>
      </c>
      <c r="AN727" t="s">
        <v>319</v>
      </c>
      <c r="AO727" t="s">
        <v>1688</v>
      </c>
      <c r="AP727" t="s">
        <v>1689</v>
      </c>
      <c r="AQ727" t="s">
        <v>74</v>
      </c>
      <c r="AR727" t="s">
        <v>1690</v>
      </c>
      <c r="AS727" t="s">
        <v>1691</v>
      </c>
      <c r="AT727" t="s">
        <v>12439</v>
      </c>
      <c r="AU727">
        <v>2017</v>
      </c>
      <c r="AV727">
        <v>11</v>
      </c>
      <c r="AW727" t="s">
        <v>74</v>
      </c>
      <c r="AX727" t="s">
        <v>74</v>
      </c>
      <c r="AY727" t="s">
        <v>74</v>
      </c>
      <c r="AZ727" t="s">
        <v>74</v>
      </c>
      <c r="BA727" t="s">
        <v>74</v>
      </c>
      <c r="BB727">
        <v>11</v>
      </c>
      <c r="BC727">
        <v>18</v>
      </c>
      <c r="BD727" t="s">
        <v>74</v>
      </c>
      <c r="BE727" t="s">
        <v>13728</v>
      </c>
      <c r="BF727" t="str">
        <f>HYPERLINK("http://dx.doi.org/10.1016/j.polar.2016.11.003","http://dx.doi.org/10.1016/j.polar.2016.11.003")</f>
        <v>http://dx.doi.org/10.1016/j.polar.2016.11.003</v>
      </c>
      <c r="BG727" t="s">
        <v>74</v>
      </c>
      <c r="BH727" t="s">
        <v>74</v>
      </c>
      <c r="BI727">
        <v>8</v>
      </c>
      <c r="BJ727" t="s">
        <v>1693</v>
      </c>
      <c r="BK727" t="s">
        <v>103</v>
      </c>
      <c r="BL727" t="s">
        <v>270</v>
      </c>
      <c r="BM727" t="s">
        <v>13729</v>
      </c>
      <c r="BN727" t="s">
        <v>74</v>
      </c>
      <c r="BO727" t="s">
        <v>384</v>
      </c>
      <c r="BP727" t="s">
        <v>74</v>
      </c>
      <c r="BQ727" t="s">
        <v>74</v>
      </c>
      <c r="BR727" t="s">
        <v>106</v>
      </c>
      <c r="BS727" t="s">
        <v>13730</v>
      </c>
      <c r="BT727" t="str">
        <f>HYPERLINK("https%3A%2F%2Fwww.webofscience.com%2Fwos%2Fwoscc%2Ffull-record%2FWOS:000395455800002","View Full Record in Web of Science")</f>
        <v>View Full Record in Web of Science</v>
      </c>
    </row>
    <row r="728" spans="1:72" x14ac:dyDescent="0.15">
      <c r="A728" t="s">
        <v>72</v>
      </c>
      <c r="B728" t="s">
        <v>13731</v>
      </c>
      <c r="C728" t="s">
        <v>74</v>
      </c>
      <c r="D728" t="s">
        <v>74</v>
      </c>
      <c r="E728" t="s">
        <v>74</v>
      </c>
      <c r="F728" t="s">
        <v>13732</v>
      </c>
      <c r="G728" t="s">
        <v>74</v>
      </c>
      <c r="H728" t="s">
        <v>74</v>
      </c>
      <c r="I728" t="s">
        <v>13733</v>
      </c>
      <c r="J728" t="s">
        <v>1675</v>
      </c>
      <c r="K728" t="s">
        <v>74</v>
      </c>
      <c r="L728" t="s">
        <v>74</v>
      </c>
      <c r="M728" t="s">
        <v>78</v>
      </c>
      <c r="N728" t="s">
        <v>79</v>
      </c>
      <c r="O728" t="s">
        <v>74</v>
      </c>
      <c r="P728" t="s">
        <v>74</v>
      </c>
      <c r="Q728" t="s">
        <v>74</v>
      </c>
      <c r="R728" t="s">
        <v>74</v>
      </c>
      <c r="S728" t="s">
        <v>74</v>
      </c>
      <c r="T728" t="s">
        <v>13734</v>
      </c>
      <c r="U728" t="s">
        <v>13735</v>
      </c>
      <c r="V728" t="s">
        <v>13736</v>
      </c>
      <c r="W728" t="s">
        <v>13737</v>
      </c>
      <c r="X728" t="s">
        <v>1781</v>
      </c>
      <c r="Y728" t="s">
        <v>13738</v>
      </c>
      <c r="Z728" t="s">
        <v>13739</v>
      </c>
      <c r="AA728" t="s">
        <v>13740</v>
      </c>
      <c r="AB728" t="s">
        <v>13741</v>
      </c>
      <c r="AC728" t="s">
        <v>74</v>
      </c>
      <c r="AD728" t="s">
        <v>74</v>
      </c>
      <c r="AE728" t="s">
        <v>74</v>
      </c>
      <c r="AF728" t="s">
        <v>74</v>
      </c>
      <c r="AG728">
        <v>48</v>
      </c>
      <c r="AH728">
        <v>21</v>
      </c>
      <c r="AI728">
        <v>21</v>
      </c>
      <c r="AJ728">
        <v>1</v>
      </c>
      <c r="AK728">
        <v>11</v>
      </c>
      <c r="AL728" t="s">
        <v>317</v>
      </c>
      <c r="AM728" t="s">
        <v>318</v>
      </c>
      <c r="AN728" t="s">
        <v>319</v>
      </c>
      <c r="AO728" t="s">
        <v>1688</v>
      </c>
      <c r="AP728" t="s">
        <v>1689</v>
      </c>
      <c r="AQ728" t="s">
        <v>74</v>
      </c>
      <c r="AR728" t="s">
        <v>1690</v>
      </c>
      <c r="AS728" t="s">
        <v>1691</v>
      </c>
      <c r="AT728" t="s">
        <v>12439</v>
      </c>
      <c r="AU728">
        <v>2017</v>
      </c>
      <c r="AV728">
        <v>11</v>
      </c>
      <c r="AW728" t="s">
        <v>74</v>
      </c>
      <c r="AX728" t="s">
        <v>74</v>
      </c>
      <c r="AY728" t="s">
        <v>74</v>
      </c>
      <c r="AZ728" t="s">
        <v>74</v>
      </c>
      <c r="BA728" t="s">
        <v>74</v>
      </c>
      <c r="BB728">
        <v>30</v>
      </c>
      <c r="BC728">
        <v>41</v>
      </c>
      <c r="BD728" t="s">
        <v>74</v>
      </c>
      <c r="BE728" t="s">
        <v>13742</v>
      </c>
      <c r="BF728" t="str">
        <f>HYPERLINK("http://dx.doi.org/10.1016/j.polar.2016.11.004","http://dx.doi.org/10.1016/j.polar.2016.11.004")</f>
        <v>http://dx.doi.org/10.1016/j.polar.2016.11.004</v>
      </c>
      <c r="BG728" t="s">
        <v>74</v>
      </c>
      <c r="BH728" t="s">
        <v>74</v>
      </c>
      <c r="BI728">
        <v>12</v>
      </c>
      <c r="BJ728" t="s">
        <v>1693</v>
      </c>
      <c r="BK728" t="s">
        <v>103</v>
      </c>
      <c r="BL728" t="s">
        <v>270</v>
      </c>
      <c r="BM728" t="s">
        <v>13729</v>
      </c>
      <c r="BN728" t="s">
        <v>74</v>
      </c>
      <c r="BO728" t="s">
        <v>74</v>
      </c>
      <c r="BP728" t="s">
        <v>74</v>
      </c>
      <c r="BQ728" t="s">
        <v>74</v>
      </c>
      <c r="BR728" t="s">
        <v>106</v>
      </c>
      <c r="BS728" t="s">
        <v>13743</v>
      </c>
      <c r="BT728" t="str">
        <f>HYPERLINK("https%3A%2F%2Fwww.webofscience.com%2Fwos%2Fwoscc%2Ffull-record%2FWOS:000395455800004","View Full Record in Web of Science")</f>
        <v>View Full Record in Web of Science</v>
      </c>
    </row>
    <row r="729" spans="1:72" x14ac:dyDescent="0.15">
      <c r="A729" t="s">
        <v>72</v>
      </c>
      <c r="B729" t="s">
        <v>13744</v>
      </c>
      <c r="C729" t="s">
        <v>74</v>
      </c>
      <c r="D729" t="s">
        <v>74</v>
      </c>
      <c r="E729" t="s">
        <v>74</v>
      </c>
      <c r="F729" t="s">
        <v>13745</v>
      </c>
      <c r="G729" t="s">
        <v>74</v>
      </c>
      <c r="H729" t="s">
        <v>74</v>
      </c>
      <c r="I729" t="s">
        <v>13746</v>
      </c>
      <c r="J729" t="s">
        <v>1675</v>
      </c>
      <c r="K729" t="s">
        <v>74</v>
      </c>
      <c r="L729" t="s">
        <v>74</v>
      </c>
      <c r="M729" t="s">
        <v>78</v>
      </c>
      <c r="N729" t="s">
        <v>79</v>
      </c>
      <c r="O729" t="s">
        <v>74</v>
      </c>
      <c r="P729" t="s">
        <v>74</v>
      </c>
      <c r="Q729" t="s">
        <v>74</v>
      </c>
      <c r="R729" t="s">
        <v>74</v>
      </c>
      <c r="S729" t="s">
        <v>74</v>
      </c>
      <c r="T729" t="s">
        <v>13747</v>
      </c>
      <c r="U729" t="s">
        <v>13748</v>
      </c>
      <c r="V729" t="s">
        <v>13749</v>
      </c>
      <c r="W729" t="s">
        <v>13750</v>
      </c>
      <c r="X729" t="s">
        <v>13751</v>
      </c>
      <c r="Y729" t="s">
        <v>13752</v>
      </c>
      <c r="Z729" t="s">
        <v>13753</v>
      </c>
      <c r="AA729" t="s">
        <v>13754</v>
      </c>
      <c r="AB729" t="s">
        <v>13755</v>
      </c>
      <c r="AC729" t="s">
        <v>13756</v>
      </c>
      <c r="AD729" t="s">
        <v>13757</v>
      </c>
      <c r="AE729" t="s">
        <v>13758</v>
      </c>
      <c r="AF729" t="s">
        <v>74</v>
      </c>
      <c r="AG729">
        <v>62</v>
      </c>
      <c r="AH729">
        <v>11</v>
      </c>
      <c r="AI729">
        <v>11</v>
      </c>
      <c r="AJ729">
        <v>0</v>
      </c>
      <c r="AK729">
        <v>18</v>
      </c>
      <c r="AL729" t="s">
        <v>1141</v>
      </c>
      <c r="AM729" t="s">
        <v>318</v>
      </c>
      <c r="AN729" t="s">
        <v>1142</v>
      </c>
      <c r="AO729" t="s">
        <v>1688</v>
      </c>
      <c r="AP729" t="s">
        <v>1689</v>
      </c>
      <c r="AQ729" t="s">
        <v>74</v>
      </c>
      <c r="AR729" t="s">
        <v>1690</v>
      </c>
      <c r="AS729" t="s">
        <v>1691</v>
      </c>
      <c r="AT729" t="s">
        <v>12439</v>
      </c>
      <c r="AU729">
        <v>2017</v>
      </c>
      <c r="AV729">
        <v>11</v>
      </c>
      <c r="AW729" t="s">
        <v>74</v>
      </c>
      <c r="AX729" t="s">
        <v>74</v>
      </c>
      <c r="AY729" t="s">
        <v>74</v>
      </c>
      <c r="AZ729" t="s">
        <v>74</v>
      </c>
      <c r="BA729" t="s">
        <v>74</v>
      </c>
      <c r="BB729">
        <v>72</v>
      </c>
      <c r="BC729">
        <v>82</v>
      </c>
      <c r="BD729" t="s">
        <v>74</v>
      </c>
      <c r="BE729" t="s">
        <v>13759</v>
      </c>
      <c r="BF729" t="str">
        <f>HYPERLINK("http://dx.doi.org/10.1016/j.polar.2017.01.001","http://dx.doi.org/10.1016/j.polar.2017.01.001")</f>
        <v>http://dx.doi.org/10.1016/j.polar.2017.01.001</v>
      </c>
      <c r="BG729" t="s">
        <v>74</v>
      </c>
      <c r="BH729" t="s">
        <v>74</v>
      </c>
      <c r="BI729">
        <v>11</v>
      </c>
      <c r="BJ729" t="s">
        <v>1693</v>
      </c>
      <c r="BK729" t="s">
        <v>103</v>
      </c>
      <c r="BL729" t="s">
        <v>270</v>
      </c>
      <c r="BM729" t="s">
        <v>13729</v>
      </c>
      <c r="BN729" t="s">
        <v>74</v>
      </c>
      <c r="BO729" t="s">
        <v>74</v>
      </c>
      <c r="BP729" t="s">
        <v>74</v>
      </c>
      <c r="BQ729" t="s">
        <v>74</v>
      </c>
      <c r="BR729" t="s">
        <v>106</v>
      </c>
      <c r="BS729" t="s">
        <v>13760</v>
      </c>
      <c r="BT729" t="str">
        <f>HYPERLINK("https%3A%2F%2Fwww.webofscience.com%2Fwos%2Fwoscc%2Ffull-record%2FWOS:000395455800007","View Full Record in Web of Science")</f>
        <v>View Full Record in Web of Science</v>
      </c>
    </row>
    <row r="730" spans="1:72" x14ac:dyDescent="0.15">
      <c r="A730" t="s">
        <v>72</v>
      </c>
      <c r="B730" t="s">
        <v>13761</v>
      </c>
      <c r="C730" t="s">
        <v>74</v>
      </c>
      <c r="D730" t="s">
        <v>74</v>
      </c>
      <c r="E730" t="s">
        <v>74</v>
      </c>
      <c r="F730" t="s">
        <v>13762</v>
      </c>
      <c r="G730" t="s">
        <v>74</v>
      </c>
      <c r="H730" t="s">
        <v>74</v>
      </c>
      <c r="I730" t="s">
        <v>13763</v>
      </c>
      <c r="J730" t="s">
        <v>1322</v>
      </c>
      <c r="K730" t="s">
        <v>74</v>
      </c>
      <c r="L730" t="s">
        <v>74</v>
      </c>
      <c r="M730" t="s">
        <v>78</v>
      </c>
      <c r="N730" t="s">
        <v>79</v>
      </c>
      <c r="O730" t="s">
        <v>74</v>
      </c>
      <c r="P730" t="s">
        <v>74</v>
      </c>
      <c r="Q730" t="s">
        <v>74</v>
      </c>
      <c r="R730" t="s">
        <v>74</v>
      </c>
      <c r="S730" t="s">
        <v>74</v>
      </c>
      <c r="T730" t="s">
        <v>13764</v>
      </c>
      <c r="U730" t="s">
        <v>13765</v>
      </c>
      <c r="V730" t="s">
        <v>13766</v>
      </c>
      <c r="W730" t="s">
        <v>13767</v>
      </c>
      <c r="X730" t="s">
        <v>13768</v>
      </c>
      <c r="Y730" t="s">
        <v>13769</v>
      </c>
      <c r="Z730" t="s">
        <v>11954</v>
      </c>
      <c r="AA730" t="s">
        <v>13770</v>
      </c>
      <c r="AB730" t="s">
        <v>13771</v>
      </c>
      <c r="AC730" t="s">
        <v>13772</v>
      </c>
      <c r="AD730" t="s">
        <v>13773</v>
      </c>
      <c r="AE730" t="s">
        <v>13774</v>
      </c>
      <c r="AF730" t="s">
        <v>74</v>
      </c>
      <c r="AG730">
        <v>68</v>
      </c>
      <c r="AH730">
        <v>19</v>
      </c>
      <c r="AI730">
        <v>19</v>
      </c>
      <c r="AJ730">
        <v>0</v>
      </c>
      <c r="AK730">
        <v>23</v>
      </c>
      <c r="AL730" t="s">
        <v>656</v>
      </c>
      <c r="AM730" t="s">
        <v>93</v>
      </c>
      <c r="AN730" t="s">
        <v>657</v>
      </c>
      <c r="AO730" t="s">
        <v>1334</v>
      </c>
      <c r="AP730" t="s">
        <v>74</v>
      </c>
      <c r="AQ730" t="s">
        <v>74</v>
      </c>
      <c r="AR730" t="s">
        <v>1335</v>
      </c>
      <c r="AS730" t="s">
        <v>1336</v>
      </c>
      <c r="AT730" t="s">
        <v>12516</v>
      </c>
      <c r="AU730">
        <v>2017</v>
      </c>
      <c r="AV730">
        <v>159</v>
      </c>
      <c r="AW730" t="s">
        <v>74</v>
      </c>
      <c r="AX730" t="s">
        <v>74</v>
      </c>
      <c r="AY730" t="s">
        <v>74</v>
      </c>
      <c r="AZ730" t="s">
        <v>74</v>
      </c>
      <c r="BA730" t="s">
        <v>74</v>
      </c>
      <c r="BB730">
        <v>77</v>
      </c>
      <c r="BC730">
        <v>87</v>
      </c>
      <c r="BD730" t="s">
        <v>74</v>
      </c>
      <c r="BE730" t="s">
        <v>13775</v>
      </c>
      <c r="BF730" t="str">
        <f>HYPERLINK("http://dx.doi.org/10.1016/j.quascirev.2016.12.017","http://dx.doi.org/10.1016/j.quascirev.2016.12.017")</f>
        <v>http://dx.doi.org/10.1016/j.quascirev.2016.12.017</v>
      </c>
      <c r="BG730" t="s">
        <v>74</v>
      </c>
      <c r="BH730" t="s">
        <v>74</v>
      </c>
      <c r="BI730">
        <v>11</v>
      </c>
      <c r="BJ730" t="s">
        <v>1338</v>
      </c>
      <c r="BK730" t="s">
        <v>103</v>
      </c>
      <c r="BL730" t="s">
        <v>1339</v>
      </c>
      <c r="BM730" t="s">
        <v>13776</v>
      </c>
      <c r="BN730" t="s">
        <v>74</v>
      </c>
      <c r="BO730" t="s">
        <v>74</v>
      </c>
      <c r="BP730" t="s">
        <v>74</v>
      </c>
      <c r="BQ730" t="s">
        <v>74</v>
      </c>
      <c r="BR730" t="s">
        <v>106</v>
      </c>
      <c r="BS730" t="s">
        <v>13777</v>
      </c>
      <c r="BT730" t="str">
        <f>HYPERLINK("https%3A%2F%2Fwww.webofscience.com%2Fwos%2Fwoscc%2Ffull-record%2FWOS:000395609300006","View Full Record in Web of Science")</f>
        <v>View Full Record in Web of Science</v>
      </c>
    </row>
    <row r="731" spans="1:72" x14ac:dyDescent="0.15">
      <c r="A731" t="s">
        <v>72</v>
      </c>
      <c r="B731" t="s">
        <v>13778</v>
      </c>
      <c r="C731" t="s">
        <v>74</v>
      </c>
      <c r="D731" t="s">
        <v>74</v>
      </c>
      <c r="E731" t="s">
        <v>74</v>
      </c>
      <c r="F731" t="s">
        <v>13779</v>
      </c>
      <c r="G731" t="s">
        <v>74</v>
      </c>
      <c r="H731" t="s">
        <v>74</v>
      </c>
      <c r="I731" t="s">
        <v>13780</v>
      </c>
      <c r="J731" t="s">
        <v>1322</v>
      </c>
      <c r="K731" t="s">
        <v>74</v>
      </c>
      <c r="L731" t="s">
        <v>74</v>
      </c>
      <c r="M731" t="s">
        <v>78</v>
      </c>
      <c r="N731" t="s">
        <v>79</v>
      </c>
      <c r="O731" t="s">
        <v>74</v>
      </c>
      <c r="P731" t="s">
        <v>74</v>
      </c>
      <c r="Q731" t="s">
        <v>74</v>
      </c>
      <c r="R731" t="s">
        <v>74</v>
      </c>
      <c r="S731" t="s">
        <v>74</v>
      </c>
      <c r="T731" t="s">
        <v>13781</v>
      </c>
      <c r="U731" t="s">
        <v>13782</v>
      </c>
      <c r="V731" t="s">
        <v>13783</v>
      </c>
      <c r="W731" t="s">
        <v>13784</v>
      </c>
      <c r="X731" t="s">
        <v>4214</v>
      </c>
      <c r="Y731" t="s">
        <v>4215</v>
      </c>
      <c r="Z731" t="s">
        <v>4216</v>
      </c>
      <c r="AA731" t="s">
        <v>13785</v>
      </c>
      <c r="AB731" t="s">
        <v>13786</v>
      </c>
      <c r="AC731" t="s">
        <v>13787</v>
      </c>
      <c r="AD731" t="s">
        <v>13788</v>
      </c>
      <c r="AE731" t="s">
        <v>13789</v>
      </c>
      <c r="AF731" t="s">
        <v>74</v>
      </c>
      <c r="AG731">
        <v>55</v>
      </c>
      <c r="AH731">
        <v>23</v>
      </c>
      <c r="AI731">
        <v>24</v>
      </c>
      <c r="AJ731">
        <v>1</v>
      </c>
      <c r="AK731">
        <v>10</v>
      </c>
      <c r="AL731" t="s">
        <v>656</v>
      </c>
      <c r="AM731" t="s">
        <v>93</v>
      </c>
      <c r="AN731" t="s">
        <v>657</v>
      </c>
      <c r="AO731" t="s">
        <v>1334</v>
      </c>
      <c r="AP731" t="s">
        <v>74</v>
      </c>
      <c r="AQ731" t="s">
        <v>74</v>
      </c>
      <c r="AR731" t="s">
        <v>1335</v>
      </c>
      <c r="AS731" t="s">
        <v>1336</v>
      </c>
      <c r="AT731" t="s">
        <v>12516</v>
      </c>
      <c r="AU731">
        <v>2017</v>
      </c>
      <c r="AV731">
        <v>159</v>
      </c>
      <c r="AW731" t="s">
        <v>74</v>
      </c>
      <c r="AX731" t="s">
        <v>74</v>
      </c>
      <c r="AY731" t="s">
        <v>74</v>
      </c>
      <c r="AZ731" t="s">
        <v>74</v>
      </c>
      <c r="BA731" t="s">
        <v>74</v>
      </c>
      <c r="BB731">
        <v>88</v>
      </c>
      <c r="BC731">
        <v>102</v>
      </c>
      <c r="BD731" t="s">
        <v>74</v>
      </c>
      <c r="BE731" t="s">
        <v>13790</v>
      </c>
      <c r="BF731" t="str">
        <f>HYPERLINK("http://dx.doi.org/10.1016/j.quascirev.2016.12.005","http://dx.doi.org/10.1016/j.quascirev.2016.12.005")</f>
        <v>http://dx.doi.org/10.1016/j.quascirev.2016.12.005</v>
      </c>
      <c r="BG731" t="s">
        <v>74</v>
      </c>
      <c r="BH731" t="s">
        <v>74</v>
      </c>
      <c r="BI731">
        <v>15</v>
      </c>
      <c r="BJ731" t="s">
        <v>1338</v>
      </c>
      <c r="BK731" t="s">
        <v>103</v>
      </c>
      <c r="BL731" t="s">
        <v>1339</v>
      </c>
      <c r="BM731" t="s">
        <v>13776</v>
      </c>
      <c r="BN731" t="s">
        <v>74</v>
      </c>
      <c r="BO731" t="s">
        <v>384</v>
      </c>
      <c r="BP731" t="s">
        <v>74</v>
      </c>
      <c r="BQ731" t="s">
        <v>74</v>
      </c>
      <c r="BR731" t="s">
        <v>106</v>
      </c>
      <c r="BS731" t="s">
        <v>13791</v>
      </c>
      <c r="BT731" t="str">
        <f>HYPERLINK("https%3A%2F%2Fwww.webofscience.com%2Fwos%2Fwoscc%2Ffull-record%2FWOS:000395609300007","View Full Record in Web of Science")</f>
        <v>View Full Record in Web of Science</v>
      </c>
    </row>
    <row r="732" spans="1:72" x14ac:dyDescent="0.15">
      <c r="A732" t="s">
        <v>72</v>
      </c>
      <c r="B732" t="s">
        <v>13792</v>
      </c>
      <c r="C732" t="s">
        <v>74</v>
      </c>
      <c r="D732" t="s">
        <v>74</v>
      </c>
      <c r="E732" t="s">
        <v>74</v>
      </c>
      <c r="F732" t="s">
        <v>13793</v>
      </c>
      <c r="G732" t="s">
        <v>74</v>
      </c>
      <c r="H732" t="s">
        <v>74</v>
      </c>
      <c r="I732" t="s">
        <v>13794</v>
      </c>
      <c r="J732" t="s">
        <v>13795</v>
      </c>
      <c r="K732" t="s">
        <v>74</v>
      </c>
      <c r="L732" t="s">
        <v>74</v>
      </c>
      <c r="M732" t="s">
        <v>78</v>
      </c>
      <c r="N732" t="s">
        <v>79</v>
      </c>
      <c r="O732" t="s">
        <v>74</v>
      </c>
      <c r="P732" t="s">
        <v>74</v>
      </c>
      <c r="Q732" t="s">
        <v>74</v>
      </c>
      <c r="R732" t="s">
        <v>74</v>
      </c>
      <c r="S732" t="s">
        <v>74</v>
      </c>
      <c r="T732" t="s">
        <v>13796</v>
      </c>
      <c r="U732" t="s">
        <v>74</v>
      </c>
      <c r="V732" t="s">
        <v>13797</v>
      </c>
      <c r="W732" t="s">
        <v>13798</v>
      </c>
      <c r="X732" t="s">
        <v>13799</v>
      </c>
      <c r="Y732" t="s">
        <v>13800</v>
      </c>
      <c r="Z732" t="s">
        <v>13801</v>
      </c>
      <c r="AA732" t="s">
        <v>74</v>
      </c>
      <c r="AB732" t="s">
        <v>13802</v>
      </c>
      <c r="AC732" t="s">
        <v>74</v>
      </c>
      <c r="AD732" t="s">
        <v>74</v>
      </c>
      <c r="AE732" t="s">
        <v>74</v>
      </c>
      <c r="AF732" t="s">
        <v>74</v>
      </c>
      <c r="AG732">
        <v>38</v>
      </c>
      <c r="AH732">
        <v>0</v>
      </c>
      <c r="AI732">
        <v>0</v>
      </c>
      <c r="AJ732">
        <v>0</v>
      </c>
      <c r="AK732">
        <v>2</v>
      </c>
      <c r="AL732" t="s">
        <v>986</v>
      </c>
      <c r="AM732" t="s">
        <v>1191</v>
      </c>
      <c r="AN732" t="s">
        <v>1192</v>
      </c>
      <c r="AO732" t="s">
        <v>13803</v>
      </c>
      <c r="AP732" t="s">
        <v>13804</v>
      </c>
      <c r="AQ732" t="s">
        <v>74</v>
      </c>
      <c r="AR732" t="s">
        <v>13805</v>
      </c>
      <c r="AS732" t="s">
        <v>13806</v>
      </c>
      <c r="AT732" t="s">
        <v>12439</v>
      </c>
      <c r="AU732">
        <v>2017</v>
      </c>
      <c r="AV732">
        <v>48</v>
      </c>
      <c r="AW732">
        <v>1</v>
      </c>
      <c r="AX732" t="s">
        <v>74</v>
      </c>
      <c r="AY732" t="s">
        <v>74</v>
      </c>
      <c r="AZ732" t="s">
        <v>100</v>
      </c>
      <c r="BA732" t="s">
        <v>74</v>
      </c>
      <c r="BB732">
        <v>56</v>
      </c>
      <c r="BC732">
        <v>72</v>
      </c>
      <c r="BD732" t="s">
        <v>74</v>
      </c>
      <c r="BE732" t="s">
        <v>13807</v>
      </c>
      <c r="BF732" t="str">
        <f>HYPERLINK("http://dx.doi.org/10.1007/s10583-016-9307-1","http://dx.doi.org/10.1007/s10583-016-9307-1")</f>
        <v>http://dx.doi.org/10.1007/s10583-016-9307-1</v>
      </c>
      <c r="BG732" t="s">
        <v>74</v>
      </c>
      <c r="BH732" t="s">
        <v>74</v>
      </c>
      <c r="BI732">
        <v>17</v>
      </c>
      <c r="BJ732" t="s">
        <v>13808</v>
      </c>
      <c r="BK732" t="s">
        <v>13809</v>
      </c>
      <c r="BL732" t="s">
        <v>13808</v>
      </c>
      <c r="BM732" t="s">
        <v>13810</v>
      </c>
      <c r="BN732" t="s">
        <v>74</v>
      </c>
      <c r="BO732" t="s">
        <v>74</v>
      </c>
      <c r="BP732" t="s">
        <v>74</v>
      </c>
      <c r="BQ732" t="s">
        <v>74</v>
      </c>
      <c r="BR732" t="s">
        <v>106</v>
      </c>
      <c r="BS732" t="s">
        <v>13811</v>
      </c>
      <c r="BT732" t="str">
        <f>HYPERLINK("https%3A%2F%2Fwww.webofscience.com%2Fwos%2Fwoscc%2Ffull-record%2FWOS:000394961600005","View Full Record in Web of Science")</f>
        <v>View Full Record in Web of Science</v>
      </c>
    </row>
    <row r="733" spans="1:72" x14ac:dyDescent="0.15">
      <c r="A733" t="s">
        <v>72</v>
      </c>
      <c r="B733" t="s">
        <v>13812</v>
      </c>
      <c r="C733" t="s">
        <v>74</v>
      </c>
      <c r="D733" t="s">
        <v>74</v>
      </c>
      <c r="E733" t="s">
        <v>74</v>
      </c>
      <c r="F733" t="s">
        <v>13813</v>
      </c>
      <c r="G733" t="s">
        <v>74</v>
      </c>
      <c r="H733" t="s">
        <v>74</v>
      </c>
      <c r="I733" t="s">
        <v>13814</v>
      </c>
      <c r="J733" t="s">
        <v>13815</v>
      </c>
      <c r="K733" t="s">
        <v>74</v>
      </c>
      <c r="L733" t="s">
        <v>74</v>
      </c>
      <c r="M733" t="s">
        <v>78</v>
      </c>
      <c r="N733" t="s">
        <v>79</v>
      </c>
      <c r="O733" t="s">
        <v>74</v>
      </c>
      <c r="P733" t="s">
        <v>74</v>
      </c>
      <c r="Q733" t="s">
        <v>74</v>
      </c>
      <c r="R733" t="s">
        <v>74</v>
      </c>
      <c r="S733" t="s">
        <v>74</v>
      </c>
      <c r="T733" t="s">
        <v>13816</v>
      </c>
      <c r="U733" t="s">
        <v>13817</v>
      </c>
      <c r="V733" t="s">
        <v>13818</v>
      </c>
      <c r="W733" t="s">
        <v>13819</v>
      </c>
      <c r="X733" t="s">
        <v>13820</v>
      </c>
      <c r="Y733" t="s">
        <v>13821</v>
      </c>
      <c r="Z733" t="s">
        <v>13822</v>
      </c>
      <c r="AA733" t="s">
        <v>13823</v>
      </c>
      <c r="AB733" t="s">
        <v>13824</v>
      </c>
      <c r="AC733" t="s">
        <v>13825</v>
      </c>
      <c r="AD733" t="s">
        <v>13826</v>
      </c>
      <c r="AE733" t="s">
        <v>13827</v>
      </c>
      <c r="AF733" t="s">
        <v>74</v>
      </c>
      <c r="AG733">
        <v>59</v>
      </c>
      <c r="AH733">
        <v>7</v>
      </c>
      <c r="AI733">
        <v>7</v>
      </c>
      <c r="AJ733">
        <v>0</v>
      </c>
      <c r="AK733">
        <v>22</v>
      </c>
      <c r="AL733" t="s">
        <v>729</v>
      </c>
      <c r="AM733" t="s">
        <v>730</v>
      </c>
      <c r="AN733" t="s">
        <v>731</v>
      </c>
      <c r="AO733" t="s">
        <v>13828</v>
      </c>
      <c r="AP733" t="s">
        <v>13829</v>
      </c>
      <c r="AQ733" t="s">
        <v>74</v>
      </c>
      <c r="AR733" t="s">
        <v>13815</v>
      </c>
      <c r="AS733" t="s">
        <v>13830</v>
      </c>
      <c r="AT733" t="s">
        <v>12439</v>
      </c>
      <c r="AU733">
        <v>2017</v>
      </c>
      <c r="AV733">
        <v>9</v>
      </c>
      <c r="AW733">
        <v>1</v>
      </c>
      <c r="AX733" t="s">
        <v>74</v>
      </c>
      <c r="AY733" t="s">
        <v>74</v>
      </c>
      <c r="AZ733" t="s">
        <v>74</v>
      </c>
      <c r="BA733" t="s">
        <v>74</v>
      </c>
      <c r="BB733">
        <v>97</v>
      </c>
      <c r="BC733">
        <v>109</v>
      </c>
      <c r="BD733" t="s">
        <v>74</v>
      </c>
      <c r="BE733" t="s">
        <v>13831</v>
      </c>
      <c r="BF733" t="str">
        <f>HYPERLINK("http://dx.doi.org/10.1007/s12371-016-0184-1","http://dx.doi.org/10.1007/s12371-016-0184-1")</f>
        <v>http://dx.doi.org/10.1007/s12371-016-0184-1</v>
      </c>
      <c r="BG733" t="s">
        <v>74</v>
      </c>
      <c r="BH733" t="s">
        <v>74</v>
      </c>
      <c r="BI733">
        <v>13</v>
      </c>
      <c r="BJ733" t="s">
        <v>437</v>
      </c>
      <c r="BK733" t="s">
        <v>5266</v>
      </c>
      <c r="BL733" t="s">
        <v>438</v>
      </c>
      <c r="BM733" t="s">
        <v>13832</v>
      </c>
      <c r="BN733" t="s">
        <v>74</v>
      </c>
      <c r="BO733" t="s">
        <v>231</v>
      </c>
      <c r="BP733" t="s">
        <v>74</v>
      </c>
      <c r="BQ733" t="s">
        <v>74</v>
      </c>
      <c r="BR733" t="s">
        <v>106</v>
      </c>
      <c r="BS733" t="s">
        <v>13833</v>
      </c>
      <c r="BT733" t="str">
        <f>HYPERLINK("https%3A%2F%2Fwww.webofscience.com%2Fwos%2Fwoscc%2Ffull-record%2FWOS:000394370800008","View Full Record in Web of Science")</f>
        <v>View Full Record in Web of Science</v>
      </c>
    </row>
    <row r="734" spans="1:72" x14ac:dyDescent="0.15">
      <c r="A734" t="s">
        <v>72</v>
      </c>
      <c r="B734" t="s">
        <v>13834</v>
      </c>
      <c r="C734" t="s">
        <v>74</v>
      </c>
      <c r="D734" t="s">
        <v>74</v>
      </c>
      <c r="E734" t="s">
        <v>74</v>
      </c>
      <c r="F734" t="s">
        <v>13835</v>
      </c>
      <c r="G734" t="s">
        <v>74</v>
      </c>
      <c r="H734" t="s">
        <v>74</v>
      </c>
      <c r="I734" t="s">
        <v>13836</v>
      </c>
      <c r="J734" t="s">
        <v>6586</v>
      </c>
      <c r="K734" t="s">
        <v>74</v>
      </c>
      <c r="L734" t="s">
        <v>74</v>
      </c>
      <c r="M734" t="s">
        <v>78</v>
      </c>
      <c r="N734" t="s">
        <v>79</v>
      </c>
      <c r="O734" t="s">
        <v>74</v>
      </c>
      <c r="P734" t="s">
        <v>74</v>
      </c>
      <c r="Q734" t="s">
        <v>74</v>
      </c>
      <c r="R734" t="s">
        <v>74</v>
      </c>
      <c r="S734" t="s">
        <v>74</v>
      </c>
      <c r="T734" t="s">
        <v>13837</v>
      </c>
      <c r="U734" t="s">
        <v>13838</v>
      </c>
      <c r="V734" t="s">
        <v>13839</v>
      </c>
      <c r="W734" t="s">
        <v>13840</v>
      </c>
      <c r="X734" t="s">
        <v>13841</v>
      </c>
      <c r="Y734" t="s">
        <v>13842</v>
      </c>
      <c r="Z734" t="s">
        <v>13843</v>
      </c>
      <c r="AA734" t="s">
        <v>13844</v>
      </c>
      <c r="AB734" t="s">
        <v>13845</v>
      </c>
      <c r="AC734" t="s">
        <v>13846</v>
      </c>
      <c r="AD734" t="s">
        <v>13847</v>
      </c>
      <c r="AE734" t="s">
        <v>13848</v>
      </c>
      <c r="AF734" t="s">
        <v>74</v>
      </c>
      <c r="AG734">
        <v>54</v>
      </c>
      <c r="AH734">
        <v>47</v>
      </c>
      <c r="AI734">
        <v>52</v>
      </c>
      <c r="AJ734">
        <v>11</v>
      </c>
      <c r="AK734">
        <v>170</v>
      </c>
      <c r="AL734" t="s">
        <v>681</v>
      </c>
      <c r="AM734" t="s">
        <v>682</v>
      </c>
      <c r="AN734" t="s">
        <v>683</v>
      </c>
      <c r="AO734" t="s">
        <v>6599</v>
      </c>
      <c r="AP734" t="s">
        <v>6600</v>
      </c>
      <c r="AQ734" t="s">
        <v>74</v>
      </c>
      <c r="AR734" t="s">
        <v>6601</v>
      </c>
      <c r="AS734" t="s">
        <v>6602</v>
      </c>
      <c r="AT734" t="s">
        <v>12439</v>
      </c>
      <c r="AU734">
        <v>2017</v>
      </c>
      <c r="AV734">
        <v>23</v>
      </c>
      <c r="AW734">
        <v>3</v>
      </c>
      <c r="AX734" t="s">
        <v>74</v>
      </c>
      <c r="AY734" t="s">
        <v>74</v>
      </c>
      <c r="AZ734" t="s">
        <v>74</v>
      </c>
      <c r="BA734" t="s">
        <v>74</v>
      </c>
      <c r="BB734">
        <v>1353</v>
      </c>
      <c r="BC734">
        <v>1359</v>
      </c>
      <c r="BD734" t="s">
        <v>74</v>
      </c>
      <c r="BE734" t="s">
        <v>13849</v>
      </c>
      <c r="BF734" t="str">
        <f>HYPERLINK("http://dx.doi.org/10.1111/gcb.13538","http://dx.doi.org/10.1111/gcb.13538")</f>
        <v>http://dx.doi.org/10.1111/gcb.13538</v>
      </c>
      <c r="BG734" t="s">
        <v>74</v>
      </c>
      <c r="BH734" t="s">
        <v>74</v>
      </c>
      <c r="BI734">
        <v>7</v>
      </c>
      <c r="BJ734" t="s">
        <v>382</v>
      </c>
      <c r="BK734" t="s">
        <v>103</v>
      </c>
      <c r="BL734" t="s">
        <v>326</v>
      </c>
      <c r="BM734" t="s">
        <v>13850</v>
      </c>
      <c r="BN734">
        <v>27770507</v>
      </c>
      <c r="BO734" t="s">
        <v>231</v>
      </c>
      <c r="BP734" t="s">
        <v>74</v>
      </c>
      <c r="BQ734" t="s">
        <v>74</v>
      </c>
      <c r="BR734" t="s">
        <v>106</v>
      </c>
      <c r="BS734" t="s">
        <v>13851</v>
      </c>
      <c r="BT734" t="str">
        <f>HYPERLINK("https%3A%2F%2Fwww.webofscience.com%2Fwos%2Fwoscc%2Ffull-record%2FWOS:000396829300031","View Full Record in Web of Science")</f>
        <v>View Full Record in Web of Science</v>
      </c>
    </row>
    <row r="735" spans="1:72" x14ac:dyDescent="0.15">
      <c r="A735" t="s">
        <v>72</v>
      </c>
      <c r="B735" t="s">
        <v>13852</v>
      </c>
      <c r="C735" t="s">
        <v>74</v>
      </c>
      <c r="D735" t="s">
        <v>74</v>
      </c>
      <c r="E735" t="s">
        <v>74</v>
      </c>
      <c r="F735" t="s">
        <v>13853</v>
      </c>
      <c r="G735" t="s">
        <v>74</v>
      </c>
      <c r="H735" t="s">
        <v>74</v>
      </c>
      <c r="I735" t="s">
        <v>13854</v>
      </c>
      <c r="J735" t="s">
        <v>6586</v>
      </c>
      <c r="K735" t="s">
        <v>74</v>
      </c>
      <c r="L735" t="s">
        <v>74</v>
      </c>
      <c r="M735" t="s">
        <v>78</v>
      </c>
      <c r="N735" t="s">
        <v>1041</v>
      </c>
      <c r="O735" t="s">
        <v>74</v>
      </c>
      <c r="P735" t="s">
        <v>74</v>
      </c>
      <c r="Q735" t="s">
        <v>74</v>
      </c>
      <c r="R735" t="s">
        <v>74</v>
      </c>
      <c r="S735" t="s">
        <v>74</v>
      </c>
      <c r="T735" t="s">
        <v>74</v>
      </c>
      <c r="U735" t="s">
        <v>74</v>
      </c>
      <c r="V735" t="s">
        <v>74</v>
      </c>
      <c r="W735" t="s">
        <v>13855</v>
      </c>
      <c r="X735" t="s">
        <v>13856</v>
      </c>
      <c r="Y735" t="s">
        <v>13857</v>
      </c>
      <c r="Z735" t="s">
        <v>74</v>
      </c>
      <c r="AA735" t="s">
        <v>13858</v>
      </c>
      <c r="AB735" t="s">
        <v>13859</v>
      </c>
      <c r="AC735" t="s">
        <v>74</v>
      </c>
      <c r="AD735" t="s">
        <v>74</v>
      </c>
      <c r="AE735" t="s">
        <v>74</v>
      </c>
      <c r="AF735" t="s">
        <v>74</v>
      </c>
      <c r="AG735">
        <v>1</v>
      </c>
      <c r="AH735">
        <v>0</v>
      </c>
      <c r="AI735">
        <v>0</v>
      </c>
      <c r="AJ735">
        <v>1</v>
      </c>
      <c r="AK735">
        <v>17</v>
      </c>
      <c r="AL735" t="s">
        <v>681</v>
      </c>
      <c r="AM735" t="s">
        <v>682</v>
      </c>
      <c r="AN735" t="s">
        <v>683</v>
      </c>
      <c r="AO735" t="s">
        <v>6599</v>
      </c>
      <c r="AP735" t="s">
        <v>6600</v>
      </c>
      <c r="AQ735" t="s">
        <v>74</v>
      </c>
      <c r="AR735" t="s">
        <v>6601</v>
      </c>
      <c r="AS735" t="s">
        <v>6602</v>
      </c>
      <c r="AT735" t="s">
        <v>12439</v>
      </c>
      <c r="AU735">
        <v>2017</v>
      </c>
      <c r="AV735">
        <v>23</v>
      </c>
      <c r="AW735">
        <v>3</v>
      </c>
      <c r="AX735" t="s">
        <v>74</v>
      </c>
      <c r="AY735" t="s">
        <v>74</v>
      </c>
      <c r="AZ735" t="s">
        <v>74</v>
      </c>
      <c r="BA735" t="s">
        <v>74</v>
      </c>
      <c r="BB735">
        <v>1360</v>
      </c>
      <c r="BC735">
        <v>1360</v>
      </c>
      <c r="BD735" t="s">
        <v>74</v>
      </c>
      <c r="BE735" t="s">
        <v>13860</v>
      </c>
      <c r="BF735" t="str">
        <f>HYPERLINK("http://dx.doi.org/10.1111/gcb.13607","http://dx.doi.org/10.1111/gcb.13607")</f>
        <v>http://dx.doi.org/10.1111/gcb.13607</v>
      </c>
      <c r="BG735" t="s">
        <v>74</v>
      </c>
      <c r="BH735" t="s">
        <v>74</v>
      </c>
      <c r="BI735">
        <v>1</v>
      </c>
      <c r="BJ735" t="s">
        <v>382</v>
      </c>
      <c r="BK735" t="s">
        <v>103</v>
      </c>
      <c r="BL735" t="s">
        <v>326</v>
      </c>
      <c r="BM735" t="s">
        <v>13850</v>
      </c>
      <c r="BN735">
        <v>28211250</v>
      </c>
      <c r="BO735" t="s">
        <v>11754</v>
      </c>
      <c r="BP735" t="s">
        <v>74</v>
      </c>
      <c r="BQ735" t="s">
        <v>74</v>
      </c>
      <c r="BR735" t="s">
        <v>106</v>
      </c>
      <c r="BS735" t="s">
        <v>13861</v>
      </c>
      <c r="BT735" t="str">
        <f>HYPERLINK("https%3A%2F%2Fwww.webofscience.com%2Fwos%2Fwoscc%2Ffull-record%2FWOS:000396829300032","View Full Record in Web of Science")</f>
        <v>View Full Record in Web of Science</v>
      </c>
    </row>
    <row r="736" spans="1:72" x14ac:dyDescent="0.15">
      <c r="A736" t="s">
        <v>72</v>
      </c>
      <c r="B736" t="s">
        <v>13862</v>
      </c>
      <c r="C736" t="s">
        <v>74</v>
      </c>
      <c r="D736" t="s">
        <v>74</v>
      </c>
      <c r="E736" t="s">
        <v>74</v>
      </c>
      <c r="F736" t="s">
        <v>13863</v>
      </c>
      <c r="G736" t="s">
        <v>74</v>
      </c>
      <c r="H736" t="s">
        <v>74</v>
      </c>
      <c r="I736" t="s">
        <v>13864</v>
      </c>
      <c r="J736" t="s">
        <v>3261</v>
      </c>
      <c r="K736" t="s">
        <v>74</v>
      </c>
      <c r="L736" t="s">
        <v>74</v>
      </c>
      <c r="M736" t="s">
        <v>78</v>
      </c>
      <c r="N736" t="s">
        <v>1041</v>
      </c>
      <c r="O736" t="s">
        <v>74</v>
      </c>
      <c r="P736" t="s">
        <v>74</v>
      </c>
      <c r="Q736" t="s">
        <v>74</v>
      </c>
      <c r="R736" t="s">
        <v>74</v>
      </c>
      <c r="S736" t="s">
        <v>74</v>
      </c>
      <c r="T736" t="s">
        <v>74</v>
      </c>
      <c r="U736" t="s">
        <v>74</v>
      </c>
      <c r="V736" t="s">
        <v>74</v>
      </c>
      <c r="W736" t="s">
        <v>13865</v>
      </c>
      <c r="X736" t="s">
        <v>13866</v>
      </c>
      <c r="Y736" t="s">
        <v>13867</v>
      </c>
      <c r="Z736" t="s">
        <v>13868</v>
      </c>
      <c r="AA736" t="s">
        <v>13869</v>
      </c>
      <c r="AB736" t="s">
        <v>74</v>
      </c>
      <c r="AC736" t="s">
        <v>74</v>
      </c>
      <c r="AD736" t="s">
        <v>74</v>
      </c>
      <c r="AE736" t="s">
        <v>74</v>
      </c>
      <c r="AF736" t="s">
        <v>74</v>
      </c>
      <c r="AG736">
        <v>1</v>
      </c>
      <c r="AH736">
        <v>0</v>
      </c>
      <c r="AI736">
        <v>0</v>
      </c>
      <c r="AJ736">
        <v>0</v>
      </c>
      <c r="AK736">
        <v>6</v>
      </c>
      <c r="AL736" t="s">
        <v>1141</v>
      </c>
      <c r="AM736" t="s">
        <v>318</v>
      </c>
      <c r="AN736" t="s">
        <v>1142</v>
      </c>
      <c r="AO736" t="s">
        <v>3271</v>
      </c>
      <c r="AP736" t="s">
        <v>3272</v>
      </c>
      <c r="AQ736" t="s">
        <v>74</v>
      </c>
      <c r="AR736" t="s">
        <v>3273</v>
      </c>
      <c r="AS736" t="s">
        <v>3274</v>
      </c>
      <c r="AT736" t="s">
        <v>12439</v>
      </c>
      <c r="AU736">
        <v>2017</v>
      </c>
      <c r="AV736">
        <v>488</v>
      </c>
      <c r="AW736" t="s">
        <v>74</v>
      </c>
      <c r="AX736" t="s">
        <v>74</v>
      </c>
      <c r="AY736" t="s">
        <v>74</v>
      </c>
      <c r="AZ736" t="s">
        <v>74</v>
      </c>
      <c r="BA736" t="s">
        <v>74</v>
      </c>
      <c r="BB736">
        <v>121</v>
      </c>
      <c r="BC736">
        <v>121</v>
      </c>
      <c r="BD736" t="s">
        <v>74</v>
      </c>
      <c r="BE736" t="s">
        <v>13870</v>
      </c>
      <c r="BF736" t="str">
        <f>HYPERLINK("http://dx.doi.org/10.1016/j.jembe.2016.10.025","http://dx.doi.org/10.1016/j.jembe.2016.10.025")</f>
        <v>http://dx.doi.org/10.1016/j.jembe.2016.10.025</v>
      </c>
      <c r="BG736" t="s">
        <v>74</v>
      </c>
      <c r="BH736" t="s">
        <v>74</v>
      </c>
      <c r="BI736">
        <v>1</v>
      </c>
      <c r="BJ736" t="s">
        <v>3276</v>
      </c>
      <c r="BK736" t="s">
        <v>103</v>
      </c>
      <c r="BL736" t="s">
        <v>3277</v>
      </c>
      <c r="BM736" t="s">
        <v>13871</v>
      </c>
      <c r="BN736" t="s">
        <v>74</v>
      </c>
      <c r="BO736" t="s">
        <v>74</v>
      </c>
      <c r="BP736" t="s">
        <v>74</v>
      </c>
      <c r="BQ736" t="s">
        <v>74</v>
      </c>
      <c r="BR736" t="s">
        <v>106</v>
      </c>
      <c r="BS736" t="s">
        <v>13872</v>
      </c>
      <c r="BT736" t="str">
        <f>HYPERLINK("https%3A%2F%2Fwww.webofscience.com%2Fwos%2Fwoscc%2Ffull-record%2FWOS:000394403500014","View Full Record in Web of Science")</f>
        <v>View Full Record in Web of Science</v>
      </c>
    </row>
    <row r="737" spans="1:72" x14ac:dyDescent="0.15">
      <c r="A737" t="s">
        <v>72</v>
      </c>
      <c r="B737" t="s">
        <v>13873</v>
      </c>
      <c r="C737" t="s">
        <v>74</v>
      </c>
      <c r="D737" t="s">
        <v>74</v>
      </c>
      <c r="E737" t="s">
        <v>74</v>
      </c>
      <c r="F737" t="s">
        <v>13874</v>
      </c>
      <c r="G737" t="s">
        <v>74</v>
      </c>
      <c r="H737" t="s">
        <v>74</v>
      </c>
      <c r="I737" t="s">
        <v>13875</v>
      </c>
      <c r="J737" t="s">
        <v>3827</v>
      </c>
      <c r="K737" t="s">
        <v>74</v>
      </c>
      <c r="L737" t="s">
        <v>74</v>
      </c>
      <c r="M737" t="s">
        <v>78</v>
      </c>
      <c r="N737" t="s">
        <v>79</v>
      </c>
      <c r="O737" t="s">
        <v>74</v>
      </c>
      <c r="P737" t="s">
        <v>74</v>
      </c>
      <c r="Q737" t="s">
        <v>74</v>
      </c>
      <c r="R737" t="s">
        <v>74</v>
      </c>
      <c r="S737" t="s">
        <v>74</v>
      </c>
      <c r="T737" t="s">
        <v>74</v>
      </c>
      <c r="U737" t="s">
        <v>13876</v>
      </c>
      <c r="V737" t="s">
        <v>13877</v>
      </c>
      <c r="W737" t="s">
        <v>13878</v>
      </c>
      <c r="X737" t="s">
        <v>13879</v>
      </c>
      <c r="Y737" t="s">
        <v>13880</v>
      </c>
      <c r="Z737" t="s">
        <v>13881</v>
      </c>
      <c r="AA737" t="s">
        <v>13882</v>
      </c>
      <c r="AB737" t="s">
        <v>13883</v>
      </c>
      <c r="AC737" t="s">
        <v>13884</v>
      </c>
      <c r="AD737" t="s">
        <v>13885</v>
      </c>
      <c r="AE737" t="s">
        <v>13886</v>
      </c>
      <c r="AF737" t="s">
        <v>74</v>
      </c>
      <c r="AG737">
        <v>59</v>
      </c>
      <c r="AH737">
        <v>29</v>
      </c>
      <c r="AI737">
        <v>32</v>
      </c>
      <c r="AJ737">
        <v>2</v>
      </c>
      <c r="AK737">
        <v>14</v>
      </c>
      <c r="AL737" t="s">
        <v>3534</v>
      </c>
      <c r="AM737" t="s">
        <v>3535</v>
      </c>
      <c r="AN737" t="s">
        <v>3536</v>
      </c>
      <c r="AO737" t="s">
        <v>3839</v>
      </c>
      <c r="AP737" t="s">
        <v>3840</v>
      </c>
      <c r="AQ737" t="s">
        <v>74</v>
      </c>
      <c r="AR737" t="s">
        <v>3827</v>
      </c>
      <c r="AS737" t="s">
        <v>3841</v>
      </c>
      <c r="AT737" t="s">
        <v>12516</v>
      </c>
      <c r="AU737">
        <v>2017</v>
      </c>
      <c r="AV737">
        <v>11</v>
      </c>
      <c r="AW737">
        <v>1</v>
      </c>
      <c r="AX737" t="s">
        <v>74</v>
      </c>
      <c r="AY737" t="s">
        <v>74</v>
      </c>
      <c r="AZ737" t="s">
        <v>74</v>
      </c>
      <c r="BA737" t="s">
        <v>74</v>
      </c>
      <c r="BB737">
        <v>653</v>
      </c>
      <c r="BC737">
        <v>668</v>
      </c>
      <c r="BD737" t="s">
        <v>74</v>
      </c>
      <c r="BE737" t="s">
        <v>13887</v>
      </c>
      <c r="BF737" t="str">
        <f>HYPERLINK("http://dx.doi.org/10.5194/tc-11-653-2017","http://dx.doi.org/10.5194/tc-11-653-2017")</f>
        <v>http://dx.doi.org/10.5194/tc-11-653-2017</v>
      </c>
      <c r="BG737" t="s">
        <v>74</v>
      </c>
      <c r="BH737" t="s">
        <v>74</v>
      </c>
      <c r="BI737">
        <v>16</v>
      </c>
      <c r="BJ737" t="s">
        <v>1338</v>
      </c>
      <c r="BK737" t="s">
        <v>103</v>
      </c>
      <c r="BL737" t="s">
        <v>1339</v>
      </c>
      <c r="BM737" t="s">
        <v>13888</v>
      </c>
      <c r="BN737" t="s">
        <v>74</v>
      </c>
      <c r="BO737" t="s">
        <v>3844</v>
      </c>
      <c r="BP737" t="s">
        <v>74</v>
      </c>
      <c r="BQ737" t="s">
        <v>74</v>
      </c>
      <c r="BR737" t="s">
        <v>106</v>
      </c>
      <c r="BS737" t="s">
        <v>13889</v>
      </c>
      <c r="BT737" t="str">
        <f>HYPERLINK("https%3A%2F%2Fwww.webofscience.com%2Fwos%2Fwoscc%2Ffull-record%2FWOS:000395200900001","View Full Record in Web of Science")</f>
        <v>View Full Record in Web of Science</v>
      </c>
    </row>
    <row r="738" spans="1:72" x14ac:dyDescent="0.15">
      <c r="A738" t="s">
        <v>72</v>
      </c>
      <c r="B738" t="s">
        <v>13890</v>
      </c>
      <c r="C738" t="s">
        <v>74</v>
      </c>
      <c r="D738" t="s">
        <v>74</v>
      </c>
      <c r="E738" t="s">
        <v>74</v>
      </c>
      <c r="F738" t="s">
        <v>13891</v>
      </c>
      <c r="G738" t="s">
        <v>74</v>
      </c>
      <c r="H738" t="s">
        <v>74</v>
      </c>
      <c r="I738" t="s">
        <v>13892</v>
      </c>
      <c r="J738" t="s">
        <v>5977</v>
      </c>
      <c r="K738" t="s">
        <v>74</v>
      </c>
      <c r="L738" t="s">
        <v>74</v>
      </c>
      <c r="M738" t="s">
        <v>78</v>
      </c>
      <c r="N738" t="s">
        <v>79</v>
      </c>
      <c r="O738" t="s">
        <v>74</v>
      </c>
      <c r="P738" t="s">
        <v>74</v>
      </c>
      <c r="Q738" t="s">
        <v>74</v>
      </c>
      <c r="R738" t="s">
        <v>74</v>
      </c>
      <c r="S738" t="s">
        <v>74</v>
      </c>
      <c r="T738" t="s">
        <v>13893</v>
      </c>
      <c r="U738" t="s">
        <v>13894</v>
      </c>
      <c r="V738" t="s">
        <v>13895</v>
      </c>
      <c r="W738" t="s">
        <v>13896</v>
      </c>
      <c r="X738" t="s">
        <v>13897</v>
      </c>
      <c r="Y738" t="s">
        <v>13898</v>
      </c>
      <c r="Z738" t="s">
        <v>13899</v>
      </c>
      <c r="AA738" t="s">
        <v>13900</v>
      </c>
      <c r="AB738" t="s">
        <v>13901</v>
      </c>
      <c r="AC738" t="s">
        <v>13902</v>
      </c>
      <c r="AD738" t="s">
        <v>13903</v>
      </c>
      <c r="AE738" t="s">
        <v>13904</v>
      </c>
      <c r="AF738" t="s">
        <v>74</v>
      </c>
      <c r="AG738">
        <v>24</v>
      </c>
      <c r="AH738">
        <v>4</v>
      </c>
      <c r="AI738">
        <v>5</v>
      </c>
      <c r="AJ738">
        <v>0</v>
      </c>
      <c r="AK738">
        <v>7</v>
      </c>
      <c r="AL738" t="s">
        <v>289</v>
      </c>
      <c r="AM738" t="s">
        <v>290</v>
      </c>
      <c r="AN738" t="s">
        <v>291</v>
      </c>
      <c r="AO738" t="s">
        <v>5990</v>
      </c>
      <c r="AP738" t="s">
        <v>5991</v>
      </c>
      <c r="AQ738" t="s">
        <v>74</v>
      </c>
      <c r="AR738" t="s">
        <v>5992</v>
      </c>
      <c r="AS738" t="s">
        <v>5993</v>
      </c>
      <c r="AT738" t="s">
        <v>12439</v>
      </c>
      <c r="AU738">
        <v>2017</v>
      </c>
      <c r="AV738">
        <v>55</v>
      </c>
      <c r="AW738">
        <v>3</v>
      </c>
      <c r="AX738" t="s">
        <v>74</v>
      </c>
      <c r="AY738" t="s">
        <v>74</v>
      </c>
      <c r="AZ738" t="s">
        <v>74</v>
      </c>
      <c r="BA738" t="s">
        <v>74</v>
      </c>
      <c r="BB738">
        <v>1724</v>
      </c>
      <c r="BC738">
        <v>1733</v>
      </c>
      <c r="BD738" t="s">
        <v>74</v>
      </c>
      <c r="BE738" t="s">
        <v>13905</v>
      </c>
      <c r="BF738" t="str">
        <f>HYPERLINK("http://dx.doi.org/10.1109/TGRS.2016.2631278","http://dx.doi.org/10.1109/TGRS.2016.2631278")</f>
        <v>http://dx.doi.org/10.1109/TGRS.2016.2631278</v>
      </c>
      <c r="BG738" t="s">
        <v>74</v>
      </c>
      <c r="BH738" t="s">
        <v>74</v>
      </c>
      <c r="BI738">
        <v>10</v>
      </c>
      <c r="BJ738" t="s">
        <v>5995</v>
      </c>
      <c r="BK738" t="s">
        <v>103</v>
      </c>
      <c r="BL738" t="s">
        <v>5996</v>
      </c>
      <c r="BM738" t="s">
        <v>13906</v>
      </c>
      <c r="BN738" t="s">
        <v>74</v>
      </c>
      <c r="BO738" t="s">
        <v>74</v>
      </c>
      <c r="BP738" t="s">
        <v>74</v>
      </c>
      <c r="BQ738" t="s">
        <v>74</v>
      </c>
      <c r="BR738" t="s">
        <v>106</v>
      </c>
      <c r="BS738" t="s">
        <v>13907</v>
      </c>
      <c r="BT738" t="str">
        <f>HYPERLINK("https%3A%2F%2Fwww.webofscience.com%2Fwos%2Fwoscc%2Ffull-record%2FWOS:000396106700041","View Full Record in Web of Science")</f>
        <v>View Full Record in Web of Science</v>
      </c>
    </row>
    <row r="739" spans="1:72" x14ac:dyDescent="0.15">
      <c r="A739" t="s">
        <v>72</v>
      </c>
      <c r="B739" t="s">
        <v>13908</v>
      </c>
      <c r="C739" t="s">
        <v>74</v>
      </c>
      <c r="D739" t="s">
        <v>74</v>
      </c>
      <c r="E739" t="s">
        <v>74</v>
      </c>
      <c r="F739" t="s">
        <v>13909</v>
      </c>
      <c r="G739" t="s">
        <v>74</v>
      </c>
      <c r="H739" t="s">
        <v>74</v>
      </c>
      <c r="I739" t="s">
        <v>13910</v>
      </c>
      <c r="J739" t="s">
        <v>6948</v>
      </c>
      <c r="K739" t="s">
        <v>74</v>
      </c>
      <c r="L739" t="s">
        <v>74</v>
      </c>
      <c r="M739" t="s">
        <v>78</v>
      </c>
      <c r="N739" t="s">
        <v>79</v>
      </c>
      <c r="O739" t="s">
        <v>74</v>
      </c>
      <c r="P739" t="s">
        <v>74</v>
      </c>
      <c r="Q739" t="s">
        <v>74</v>
      </c>
      <c r="R739" t="s">
        <v>74</v>
      </c>
      <c r="S739" t="s">
        <v>74</v>
      </c>
      <c r="T739" t="s">
        <v>74</v>
      </c>
      <c r="U739" t="s">
        <v>13911</v>
      </c>
      <c r="V739" t="s">
        <v>13912</v>
      </c>
      <c r="W739" t="s">
        <v>13913</v>
      </c>
      <c r="X739" t="s">
        <v>13914</v>
      </c>
      <c r="Y739" t="s">
        <v>13915</v>
      </c>
      <c r="Z739" t="s">
        <v>13916</v>
      </c>
      <c r="AA739" t="s">
        <v>13917</v>
      </c>
      <c r="AB739" t="s">
        <v>13918</v>
      </c>
      <c r="AC739" t="s">
        <v>13919</v>
      </c>
      <c r="AD739" t="s">
        <v>13920</v>
      </c>
      <c r="AE739" t="s">
        <v>13921</v>
      </c>
      <c r="AF739" t="s">
        <v>74</v>
      </c>
      <c r="AG739">
        <v>49</v>
      </c>
      <c r="AH739">
        <v>89</v>
      </c>
      <c r="AI739">
        <v>98</v>
      </c>
      <c r="AJ739">
        <v>4</v>
      </c>
      <c r="AK739">
        <v>78</v>
      </c>
      <c r="AL739" t="s">
        <v>1611</v>
      </c>
      <c r="AM739" t="s">
        <v>430</v>
      </c>
      <c r="AN739" t="s">
        <v>10905</v>
      </c>
      <c r="AO739" t="s">
        <v>6960</v>
      </c>
      <c r="AP739" t="s">
        <v>6961</v>
      </c>
      <c r="AQ739" t="s">
        <v>74</v>
      </c>
      <c r="AR739" t="s">
        <v>6962</v>
      </c>
      <c r="AS739" t="s">
        <v>6963</v>
      </c>
      <c r="AT739" t="s">
        <v>12439</v>
      </c>
      <c r="AU739">
        <v>2017</v>
      </c>
      <c r="AV739">
        <v>10</v>
      </c>
      <c r="AW739">
        <v>3</v>
      </c>
      <c r="AX739" t="s">
        <v>74</v>
      </c>
      <c r="AY739" t="s">
        <v>74</v>
      </c>
      <c r="AZ739" t="s">
        <v>74</v>
      </c>
      <c r="BA739" t="s">
        <v>74</v>
      </c>
      <c r="BB739">
        <v>167</v>
      </c>
      <c r="BC739" t="s">
        <v>13922</v>
      </c>
      <c r="BD739" t="s">
        <v>74</v>
      </c>
      <c r="BE739" t="s">
        <v>13923</v>
      </c>
      <c r="BF739" t="str">
        <f>HYPERLINK("http://dx.doi.org/10.1038/NGEO2876","http://dx.doi.org/10.1038/NGEO2876")</f>
        <v>http://dx.doi.org/10.1038/NGEO2876</v>
      </c>
      <c r="BG739" t="s">
        <v>74</v>
      </c>
      <c r="BH739" t="s">
        <v>74</v>
      </c>
      <c r="BI739">
        <v>8</v>
      </c>
      <c r="BJ739" t="s">
        <v>437</v>
      </c>
      <c r="BK739" t="s">
        <v>103</v>
      </c>
      <c r="BL739" t="s">
        <v>438</v>
      </c>
      <c r="BM739" t="s">
        <v>13924</v>
      </c>
      <c r="BN739" t="s">
        <v>74</v>
      </c>
      <c r="BO739" t="s">
        <v>74</v>
      </c>
      <c r="BP739" t="s">
        <v>74</v>
      </c>
      <c r="BQ739" t="s">
        <v>74</v>
      </c>
      <c r="BR739" t="s">
        <v>106</v>
      </c>
      <c r="BS739" t="s">
        <v>13925</v>
      </c>
      <c r="BT739" t="str">
        <f>HYPERLINK("https%3A%2F%2Fwww.webofscience.com%2Fwos%2Fwoscc%2Ffull-record%2FWOS:000395791400006","View Full Record in Web of Science")</f>
        <v>View Full Record in Web of Science</v>
      </c>
    </row>
    <row r="740" spans="1:72" x14ac:dyDescent="0.15">
      <c r="A740" t="s">
        <v>72</v>
      </c>
      <c r="B740" t="s">
        <v>13926</v>
      </c>
      <c r="C740" t="s">
        <v>74</v>
      </c>
      <c r="D740" t="s">
        <v>74</v>
      </c>
      <c r="E740" t="s">
        <v>74</v>
      </c>
      <c r="F740" t="s">
        <v>13927</v>
      </c>
      <c r="G740" t="s">
        <v>74</v>
      </c>
      <c r="H740" t="s">
        <v>74</v>
      </c>
      <c r="I740" t="s">
        <v>13928</v>
      </c>
      <c r="J740" t="s">
        <v>13929</v>
      </c>
      <c r="K740" t="s">
        <v>74</v>
      </c>
      <c r="L740" t="s">
        <v>74</v>
      </c>
      <c r="M740" t="s">
        <v>78</v>
      </c>
      <c r="N740" t="s">
        <v>79</v>
      </c>
      <c r="O740" t="s">
        <v>74</v>
      </c>
      <c r="P740" t="s">
        <v>74</v>
      </c>
      <c r="Q740" t="s">
        <v>74</v>
      </c>
      <c r="R740" t="s">
        <v>74</v>
      </c>
      <c r="S740" t="s">
        <v>74</v>
      </c>
      <c r="T740" t="s">
        <v>13930</v>
      </c>
      <c r="U740" t="s">
        <v>13931</v>
      </c>
      <c r="V740" t="s">
        <v>13932</v>
      </c>
      <c r="W740" t="s">
        <v>13933</v>
      </c>
      <c r="X740" t="s">
        <v>13934</v>
      </c>
      <c r="Y740" t="s">
        <v>13935</v>
      </c>
      <c r="Z740" t="s">
        <v>13936</v>
      </c>
      <c r="AA740" t="s">
        <v>74</v>
      </c>
      <c r="AB740" t="s">
        <v>13937</v>
      </c>
      <c r="AC740" t="s">
        <v>74</v>
      </c>
      <c r="AD740" t="s">
        <v>74</v>
      </c>
      <c r="AE740" t="s">
        <v>74</v>
      </c>
      <c r="AF740" t="s">
        <v>74</v>
      </c>
      <c r="AG740">
        <v>80</v>
      </c>
      <c r="AH740">
        <v>5</v>
      </c>
      <c r="AI740">
        <v>5</v>
      </c>
      <c r="AJ740">
        <v>0</v>
      </c>
      <c r="AK740">
        <v>70</v>
      </c>
      <c r="AL740" t="s">
        <v>317</v>
      </c>
      <c r="AM740" t="s">
        <v>318</v>
      </c>
      <c r="AN740" t="s">
        <v>319</v>
      </c>
      <c r="AO740" t="s">
        <v>13938</v>
      </c>
      <c r="AP740" t="s">
        <v>13939</v>
      </c>
      <c r="AQ740" t="s">
        <v>74</v>
      </c>
      <c r="AR740" t="s">
        <v>13940</v>
      </c>
      <c r="AS740" t="s">
        <v>13941</v>
      </c>
      <c r="AT740" t="s">
        <v>12439</v>
      </c>
      <c r="AU740">
        <v>2017</v>
      </c>
      <c r="AV740">
        <v>135</v>
      </c>
      <c r="AW740" t="s">
        <v>74</v>
      </c>
      <c r="AX740" t="s">
        <v>74</v>
      </c>
      <c r="AY740" t="s">
        <v>74</v>
      </c>
      <c r="AZ740" t="s">
        <v>74</v>
      </c>
      <c r="BA740" t="s">
        <v>74</v>
      </c>
      <c r="BB740">
        <v>8</v>
      </c>
      <c r="BC740">
        <v>15</v>
      </c>
      <c r="BD740" t="s">
        <v>74</v>
      </c>
      <c r="BE740" t="s">
        <v>13942</v>
      </c>
      <c r="BF740" t="str">
        <f>HYPERLINK("http://dx.doi.org/10.1016/j.coldregions.2016.10.008","http://dx.doi.org/10.1016/j.coldregions.2016.10.008")</f>
        <v>http://dx.doi.org/10.1016/j.coldregions.2016.10.008</v>
      </c>
      <c r="BG740" t="s">
        <v>74</v>
      </c>
      <c r="BH740" t="s">
        <v>74</v>
      </c>
      <c r="BI740">
        <v>8</v>
      </c>
      <c r="BJ740" t="s">
        <v>13943</v>
      </c>
      <c r="BK740" t="s">
        <v>103</v>
      </c>
      <c r="BL740" t="s">
        <v>13944</v>
      </c>
      <c r="BM740" t="s">
        <v>13945</v>
      </c>
      <c r="BN740" t="s">
        <v>74</v>
      </c>
      <c r="BO740" t="s">
        <v>74</v>
      </c>
      <c r="BP740" t="s">
        <v>74</v>
      </c>
      <c r="BQ740" t="s">
        <v>74</v>
      </c>
      <c r="BR740" t="s">
        <v>106</v>
      </c>
      <c r="BS740" t="s">
        <v>13946</v>
      </c>
      <c r="BT740" t="str">
        <f>HYPERLINK("https%3A%2F%2Fwww.webofscience.com%2Fwos%2Fwoscc%2Ffull-record%2FWOS:000393724200002","View Full Record in Web of Science")</f>
        <v>View Full Record in Web of Science</v>
      </c>
    </row>
    <row r="741" spans="1:72" x14ac:dyDescent="0.15">
      <c r="A741" t="s">
        <v>72</v>
      </c>
      <c r="B741" t="s">
        <v>13947</v>
      </c>
      <c r="C741" t="s">
        <v>74</v>
      </c>
      <c r="D741" t="s">
        <v>74</v>
      </c>
      <c r="E741" t="s">
        <v>74</v>
      </c>
      <c r="F741" t="s">
        <v>13948</v>
      </c>
      <c r="G741" t="s">
        <v>74</v>
      </c>
      <c r="H741" t="s">
        <v>74</v>
      </c>
      <c r="I741" t="s">
        <v>13949</v>
      </c>
      <c r="J741" t="s">
        <v>13929</v>
      </c>
      <c r="K741" t="s">
        <v>74</v>
      </c>
      <c r="L741" t="s">
        <v>74</v>
      </c>
      <c r="M741" t="s">
        <v>78</v>
      </c>
      <c r="N741" t="s">
        <v>79</v>
      </c>
      <c r="O741" t="s">
        <v>74</v>
      </c>
      <c r="P741" t="s">
        <v>74</v>
      </c>
      <c r="Q741" t="s">
        <v>74</v>
      </c>
      <c r="R741" t="s">
        <v>74</v>
      </c>
      <c r="S741" t="s">
        <v>74</v>
      </c>
      <c r="T741" t="s">
        <v>13950</v>
      </c>
      <c r="U741" t="s">
        <v>13951</v>
      </c>
      <c r="V741" t="s">
        <v>13952</v>
      </c>
      <c r="W741" t="s">
        <v>13953</v>
      </c>
      <c r="X741" t="s">
        <v>13954</v>
      </c>
      <c r="Y741" t="s">
        <v>13955</v>
      </c>
      <c r="Z741" t="s">
        <v>13956</v>
      </c>
      <c r="AA741" t="s">
        <v>13957</v>
      </c>
      <c r="AB741" t="s">
        <v>13958</v>
      </c>
      <c r="AC741" t="s">
        <v>13959</v>
      </c>
      <c r="AD741" t="s">
        <v>13960</v>
      </c>
      <c r="AE741" t="s">
        <v>13961</v>
      </c>
      <c r="AF741" t="s">
        <v>74</v>
      </c>
      <c r="AG741">
        <v>42</v>
      </c>
      <c r="AH741">
        <v>37</v>
      </c>
      <c r="AI741">
        <v>37</v>
      </c>
      <c r="AJ741">
        <v>0</v>
      </c>
      <c r="AK741">
        <v>10</v>
      </c>
      <c r="AL741" t="s">
        <v>1141</v>
      </c>
      <c r="AM741" t="s">
        <v>318</v>
      </c>
      <c r="AN741" t="s">
        <v>1142</v>
      </c>
      <c r="AO741" t="s">
        <v>13938</v>
      </c>
      <c r="AP741" t="s">
        <v>13939</v>
      </c>
      <c r="AQ741" t="s">
        <v>74</v>
      </c>
      <c r="AR741" t="s">
        <v>13940</v>
      </c>
      <c r="AS741" t="s">
        <v>13941</v>
      </c>
      <c r="AT741" t="s">
        <v>12439</v>
      </c>
      <c r="AU741">
        <v>2017</v>
      </c>
      <c r="AV741">
        <v>135</v>
      </c>
      <c r="AW741" t="s">
        <v>74</v>
      </c>
      <c r="AX741" t="s">
        <v>74</v>
      </c>
      <c r="AY741" t="s">
        <v>74</v>
      </c>
      <c r="AZ741" t="s">
        <v>74</v>
      </c>
      <c r="BA741" t="s">
        <v>74</v>
      </c>
      <c r="BB741">
        <v>51</v>
      </c>
      <c r="BC741">
        <v>61</v>
      </c>
      <c r="BD741" t="s">
        <v>74</v>
      </c>
      <c r="BE741" t="s">
        <v>13962</v>
      </c>
      <c r="BF741" t="str">
        <f>HYPERLINK("http://dx.doi.org/10.1016/j.coldregions.2016.12.003","http://dx.doi.org/10.1016/j.coldregions.2016.12.003")</f>
        <v>http://dx.doi.org/10.1016/j.coldregions.2016.12.003</v>
      </c>
      <c r="BG741" t="s">
        <v>74</v>
      </c>
      <c r="BH741" t="s">
        <v>74</v>
      </c>
      <c r="BI741">
        <v>11</v>
      </c>
      <c r="BJ741" t="s">
        <v>13943</v>
      </c>
      <c r="BK741" t="s">
        <v>103</v>
      </c>
      <c r="BL741" t="s">
        <v>13944</v>
      </c>
      <c r="BM741" t="s">
        <v>13945</v>
      </c>
      <c r="BN741" t="s">
        <v>74</v>
      </c>
      <c r="BO741" t="s">
        <v>2390</v>
      </c>
      <c r="BP741" t="s">
        <v>74</v>
      </c>
      <c r="BQ741" t="s">
        <v>74</v>
      </c>
      <c r="BR741" t="s">
        <v>106</v>
      </c>
      <c r="BS741" t="s">
        <v>13963</v>
      </c>
      <c r="BT741" t="str">
        <f>HYPERLINK("https%3A%2F%2Fwww.webofscience.com%2Fwos%2Fwoscc%2Ffull-record%2FWOS:000393724200006","View Full Record in Web of Science")</f>
        <v>View Full Record in Web of Science</v>
      </c>
    </row>
    <row r="742" spans="1:72" x14ac:dyDescent="0.15">
      <c r="A742" t="s">
        <v>72</v>
      </c>
      <c r="B742" t="s">
        <v>13964</v>
      </c>
      <c r="C742" t="s">
        <v>74</v>
      </c>
      <c r="D742" t="s">
        <v>74</v>
      </c>
      <c r="E742" t="s">
        <v>74</v>
      </c>
      <c r="F742" t="s">
        <v>13965</v>
      </c>
      <c r="G742" t="s">
        <v>74</v>
      </c>
      <c r="H742" t="s">
        <v>74</v>
      </c>
      <c r="I742" t="s">
        <v>13966</v>
      </c>
      <c r="J742" t="s">
        <v>13967</v>
      </c>
      <c r="K742" t="s">
        <v>74</v>
      </c>
      <c r="L742" t="s">
        <v>74</v>
      </c>
      <c r="M742" t="s">
        <v>78</v>
      </c>
      <c r="N742" t="s">
        <v>79</v>
      </c>
      <c r="O742" t="s">
        <v>74</v>
      </c>
      <c r="P742" t="s">
        <v>74</v>
      </c>
      <c r="Q742" t="s">
        <v>74</v>
      </c>
      <c r="R742" t="s">
        <v>74</v>
      </c>
      <c r="S742" t="s">
        <v>74</v>
      </c>
      <c r="T742" t="s">
        <v>13968</v>
      </c>
      <c r="U742" t="s">
        <v>13969</v>
      </c>
      <c r="V742" t="s">
        <v>13970</v>
      </c>
      <c r="W742" t="s">
        <v>13971</v>
      </c>
      <c r="X742" t="s">
        <v>13972</v>
      </c>
      <c r="Y742" t="s">
        <v>13973</v>
      </c>
      <c r="Z742" t="s">
        <v>13974</v>
      </c>
      <c r="AA742" t="s">
        <v>13975</v>
      </c>
      <c r="AB742" t="s">
        <v>13976</v>
      </c>
      <c r="AC742" t="s">
        <v>74</v>
      </c>
      <c r="AD742" t="s">
        <v>74</v>
      </c>
      <c r="AE742" t="s">
        <v>74</v>
      </c>
      <c r="AF742" t="s">
        <v>74</v>
      </c>
      <c r="AG742">
        <v>39</v>
      </c>
      <c r="AH742">
        <v>8</v>
      </c>
      <c r="AI742">
        <v>8</v>
      </c>
      <c r="AJ742">
        <v>0</v>
      </c>
      <c r="AK742">
        <v>8</v>
      </c>
      <c r="AL742" t="s">
        <v>986</v>
      </c>
      <c r="AM742" t="s">
        <v>430</v>
      </c>
      <c r="AN742" t="s">
        <v>1663</v>
      </c>
      <c r="AO742" t="s">
        <v>13977</v>
      </c>
      <c r="AP742" t="s">
        <v>13978</v>
      </c>
      <c r="AQ742" t="s">
        <v>74</v>
      </c>
      <c r="AR742" t="s">
        <v>13979</v>
      </c>
      <c r="AS742" t="s">
        <v>13980</v>
      </c>
      <c r="AT742" t="s">
        <v>12439</v>
      </c>
      <c r="AU742">
        <v>2017</v>
      </c>
      <c r="AV742">
        <v>57</v>
      </c>
      <c r="AW742">
        <v>1</v>
      </c>
      <c r="AX742" t="s">
        <v>74</v>
      </c>
      <c r="AY742" t="s">
        <v>74</v>
      </c>
      <c r="AZ742" t="s">
        <v>74</v>
      </c>
      <c r="BA742" t="s">
        <v>74</v>
      </c>
      <c r="BB742">
        <v>116</v>
      </c>
      <c r="BC742">
        <v>120</v>
      </c>
      <c r="BD742" t="s">
        <v>74</v>
      </c>
      <c r="BE742" t="s">
        <v>13981</v>
      </c>
      <c r="BF742" t="str">
        <f>HYPERLINK("http://dx.doi.org/10.1007/s12088-016-0621-5","http://dx.doi.org/10.1007/s12088-016-0621-5")</f>
        <v>http://dx.doi.org/10.1007/s12088-016-0621-5</v>
      </c>
      <c r="BG742" t="s">
        <v>74</v>
      </c>
      <c r="BH742" t="s">
        <v>74</v>
      </c>
      <c r="BI742">
        <v>5</v>
      </c>
      <c r="BJ742" t="s">
        <v>1074</v>
      </c>
      <c r="BK742" t="s">
        <v>103</v>
      </c>
      <c r="BL742" t="s">
        <v>1074</v>
      </c>
      <c r="BM742" t="s">
        <v>13982</v>
      </c>
      <c r="BN742">
        <v>28148988</v>
      </c>
      <c r="BO742" t="s">
        <v>231</v>
      </c>
      <c r="BP742" t="s">
        <v>74</v>
      </c>
      <c r="BQ742" t="s">
        <v>74</v>
      </c>
      <c r="BR742" t="s">
        <v>106</v>
      </c>
      <c r="BS742" t="s">
        <v>13983</v>
      </c>
      <c r="BT742" t="str">
        <f>HYPERLINK("https%3A%2F%2Fwww.webofscience.com%2Fwos%2Fwoscc%2Ffull-record%2FWOS:000393585600014","View Full Record in Web of Science")</f>
        <v>View Full Record in Web of Science</v>
      </c>
    </row>
    <row r="743" spans="1:72" x14ac:dyDescent="0.15">
      <c r="A743" t="s">
        <v>72</v>
      </c>
      <c r="B743" t="s">
        <v>13984</v>
      </c>
      <c r="C743" t="s">
        <v>74</v>
      </c>
      <c r="D743" t="s">
        <v>74</v>
      </c>
      <c r="E743" t="s">
        <v>74</v>
      </c>
      <c r="F743" t="s">
        <v>13985</v>
      </c>
      <c r="G743" t="s">
        <v>74</v>
      </c>
      <c r="H743" t="s">
        <v>74</v>
      </c>
      <c r="I743" t="s">
        <v>13986</v>
      </c>
      <c r="J743" t="s">
        <v>10108</v>
      </c>
      <c r="K743" t="s">
        <v>74</v>
      </c>
      <c r="L743" t="s">
        <v>74</v>
      </c>
      <c r="M743" t="s">
        <v>78</v>
      </c>
      <c r="N743" t="s">
        <v>79</v>
      </c>
      <c r="O743" t="s">
        <v>74</v>
      </c>
      <c r="P743" t="s">
        <v>74</v>
      </c>
      <c r="Q743" t="s">
        <v>74</v>
      </c>
      <c r="R743" t="s">
        <v>74</v>
      </c>
      <c r="S743" t="s">
        <v>74</v>
      </c>
      <c r="T743" t="s">
        <v>13987</v>
      </c>
      <c r="U743" t="s">
        <v>13988</v>
      </c>
      <c r="V743" t="s">
        <v>13989</v>
      </c>
      <c r="W743" t="s">
        <v>13990</v>
      </c>
      <c r="X743" t="s">
        <v>13991</v>
      </c>
      <c r="Y743" t="s">
        <v>13992</v>
      </c>
      <c r="Z743" t="s">
        <v>13993</v>
      </c>
      <c r="AA743" t="s">
        <v>13994</v>
      </c>
      <c r="AB743" t="s">
        <v>13995</v>
      </c>
      <c r="AC743" t="s">
        <v>13996</v>
      </c>
      <c r="AD743" t="s">
        <v>13997</v>
      </c>
      <c r="AE743" t="s">
        <v>13998</v>
      </c>
      <c r="AF743" t="s">
        <v>74</v>
      </c>
      <c r="AG743">
        <v>32</v>
      </c>
      <c r="AH743">
        <v>27</v>
      </c>
      <c r="AI743">
        <v>29</v>
      </c>
      <c r="AJ743">
        <v>4</v>
      </c>
      <c r="AK743">
        <v>32</v>
      </c>
      <c r="AL743" t="s">
        <v>1141</v>
      </c>
      <c r="AM743" t="s">
        <v>318</v>
      </c>
      <c r="AN743" t="s">
        <v>1142</v>
      </c>
      <c r="AO743" t="s">
        <v>10121</v>
      </c>
      <c r="AP743" t="s">
        <v>74</v>
      </c>
      <c r="AQ743" t="s">
        <v>74</v>
      </c>
      <c r="AR743" t="s">
        <v>10122</v>
      </c>
      <c r="AS743" t="s">
        <v>10123</v>
      </c>
      <c r="AT743" t="s">
        <v>12439</v>
      </c>
      <c r="AU743">
        <v>2017</v>
      </c>
      <c r="AV743">
        <v>22</v>
      </c>
      <c r="AW743" t="s">
        <v>74</v>
      </c>
      <c r="AX743" t="s">
        <v>74</v>
      </c>
      <c r="AY743" t="s">
        <v>74</v>
      </c>
      <c r="AZ743" t="s">
        <v>74</v>
      </c>
      <c r="BA743" t="s">
        <v>74</v>
      </c>
      <c r="BB743">
        <v>160</v>
      </c>
      <c r="BC743">
        <v>165</v>
      </c>
      <c r="BD743" t="s">
        <v>74</v>
      </c>
      <c r="BE743" t="s">
        <v>13999</v>
      </c>
      <c r="BF743" t="str">
        <f>HYPERLINK("http://dx.doi.org/10.1016/j.algal.2016.12.017","http://dx.doi.org/10.1016/j.algal.2016.12.017")</f>
        <v>http://dx.doi.org/10.1016/j.algal.2016.12.017</v>
      </c>
      <c r="BG743" t="s">
        <v>74</v>
      </c>
      <c r="BH743" t="s">
        <v>74</v>
      </c>
      <c r="BI743">
        <v>6</v>
      </c>
      <c r="BJ743" t="s">
        <v>3566</v>
      </c>
      <c r="BK743" t="s">
        <v>103</v>
      </c>
      <c r="BL743" t="s">
        <v>3566</v>
      </c>
      <c r="BM743" t="s">
        <v>14000</v>
      </c>
      <c r="BN743" t="s">
        <v>74</v>
      </c>
      <c r="BO743" t="s">
        <v>74</v>
      </c>
      <c r="BP743" t="s">
        <v>74</v>
      </c>
      <c r="BQ743" t="s">
        <v>74</v>
      </c>
      <c r="BR743" t="s">
        <v>106</v>
      </c>
      <c r="BS743" t="s">
        <v>14001</v>
      </c>
      <c r="BT743" t="str">
        <f>HYPERLINK("https%3A%2F%2Fwww.webofscience.com%2Fwos%2Fwoscc%2Ffull-record%2FWOS:000397461000018","View Full Record in Web of Science")</f>
        <v>View Full Record in Web of Science</v>
      </c>
    </row>
    <row r="744" spans="1:72" x14ac:dyDescent="0.15">
      <c r="A744" t="s">
        <v>72</v>
      </c>
      <c r="B744" t="s">
        <v>14002</v>
      </c>
      <c r="C744" t="s">
        <v>74</v>
      </c>
      <c r="D744" t="s">
        <v>74</v>
      </c>
      <c r="E744" t="s">
        <v>74</v>
      </c>
      <c r="F744" t="s">
        <v>14003</v>
      </c>
      <c r="G744" t="s">
        <v>74</v>
      </c>
      <c r="H744" t="s">
        <v>74</v>
      </c>
      <c r="I744" t="s">
        <v>14004</v>
      </c>
      <c r="J744" t="s">
        <v>14005</v>
      </c>
      <c r="K744" t="s">
        <v>74</v>
      </c>
      <c r="L744" t="s">
        <v>74</v>
      </c>
      <c r="M744" t="s">
        <v>78</v>
      </c>
      <c r="N744" t="s">
        <v>79</v>
      </c>
      <c r="O744" t="s">
        <v>74</v>
      </c>
      <c r="P744" t="s">
        <v>74</v>
      </c>
      <c r="Q744" t="s">
        <v>74</v>
      </c>
      <c r="R744" t="s">
        <v>74</v>
      </c>
      <c r="S744" t="s">
        <v>74</v>
      </c>
      <c r="T744" t="s">
        <v>14006</v>
      </c>
      <c r="U744" t="s">
        <v>14007</v>
      </c>
      <c r="V744" t="s">
        <v>14008</v>
      </c>
      <c r="W744" t="s">
        <v>14009</v>
      </c>
      <c r="X744" t="s">
        <v>14010</v>
      </c>
      <c r="Y744" t="s">
        <v>14011</v>
      </c>
      <c r="Z744" t="s">
        <v>14012</v>
      </c>
      <c r="AA744" t="s">
        <v>14013</v>
      </c>
      <c r="AB744" t="s">
        <v>74</v>
      </c>
      <c r="AC744" t="s">
        <v>14014</v>
      </c>
      <c r="AD744" t="s">
        <v>14015</v>
      </c>
      <c r="AE744" t="s">
        <v>14016</v>
      </c>
      <c r="AF744" t="s">
        <v>74</v>
      </c>
      <c r="AG744">
        <v>46</v>
      </c>
      <c r="AH744">
        <v>18</v>
      </c>
      <c r="AI744">
        <v>19</v>
      </c>
      <c r="AJ744">
        <v>2</v>
      </c>
      <c r="AK744">
        <v>56</v>
      </c>
      <c r="AL744" t="s">
        <v>986</v>
      </c>
      <c r="AM744" t="s">
        <v>430</v>
      </c>
      <c r="AN744" t="s">
        <v>987</v>
      </c>
      <c r="AO744" t="s">
        <v>14017</v>
      </c>
      <c r="AP744" t="s">
        <v>14018</v>
      </c>
      <c r="AQ744" t="s">
        <v>74</v>
      </c>
      <c r="AR744" t="s">
        <v>14019</v>
      </c>
      <c r="AS744" t="s">
        <v>14020</v>
      </c>
      <c r="AT744" t="s">
        <v>12439</v>
      </c>
      <c r="AU744">
        <v>2017</v>
      </c>
      <c r="AV744">
        <v>181</v>
      </c>
      <c r="AW744">
        <v>3</v>
      </c>
      <c r="AX744" t="s">
        <v>74</v>
      </c>
      <c r="AY744" t="s">
        <v>74</v>
      </c>
      <c r="AZ744" t="s">
        <v>74</v>
      </c>
      <c r="BA744" t="s">
        <v>74</v>
      </c>
      <c r="BB744">
        <v>1048</v>
      </c>
      <c r="BC744">
        <v>1059</v>
      </c>
      <c r="BD744" t="s">
        <v>74</v>
      </c>
      <c r="BE744" t="s">
        <v>14021</v>
      </c>
      <c r="BF744" t="str">
        <f>HYPERLINK("http://dx.doi.org/10.1007/s12010-016-2267-5","http://dx.doi.org/10.1007/s12010-016-2267-5")</f>
        <v>http://dx.doi.org/10.1007/s12010-016-2267-5</v>
      </c>
      <c r="BG744" t="s">
        <v>74</v>
      </c>
      <c r="BH744" t="s">
        <v>74</v>
      </c>
      <c r="BI744">
        <v>12</v>
      </c>
      <c r="BJ744" t="s">
        <v>11462</v>
      </c>
      <c r="BK744" t="s">
        <v>103</v>
      </c>
      <c r="BL744" t="s">
        <v>11462</v>
      </c>
      <c r="BM744" t="s">
        <v>14022</v>
      </c>
      <c r="BN744">
        <v>27714640</v>
      </c>
      <c r="BO744" t="s">
        <v>74</v>
      </c>
      <c r="BP744" t="s">
        <v>74</v>
      </c>
      <c r="BQ744" t="s">
        <v>74</v>
      </c>
      <c r="BR744" t="s">
        <v>106</v>
      </c>
      <c r="BS744" t="s">
        <v>14023</v>
      </c>
      <c r="BT744" t="str">
        <f>HYPERLINK("https%3A%2F%2Fwww.webofscience.com%2Fwos%2Fwoscc%2Ffull-record%2FWOS:000394992900013","View Full Record in Web of Science")</f>
        <v>View Full Record in Web of Science</v>
      </c>
    </row>
    <row r="745" spans="1:72" x14ac:dyDescent="0.15">
      <c r="A745" t="s">
        <v>72</v>
      </c>
      <c r="B745" t="s">
        <v>14024</v>
      </c>
      <c r="C745" t="s">
        <v>74</v>
      </c>
      <c r="D745" t="s">
        <v>74</v>
      </c>
      <c r="E745" t="s">
        <v>74</v>
      </c>
      <c r="F745" t="s">
        <v>14025</v>
      </c>
      <c r="G745" t="s">
        <v>74</v>
      </c>
      <c r="H745" t="s">
        <v>74</v>
      </c>
      <c r="I745" t="s">
        <v>14026</v>
      </c>
      <c r="J745" t="s">
        <v>14027</v>
      </c>
      <c r="K745" t="s">
        <v>74</v>
      </c>
      <c r="L745" t="s">
        <v>74</v>
      </c>
      <c r="M745" t="s">
        <v>78</v>
      </c>
      <c r="N745" t="s">
        <v>79</v>
      </c>
      <c r="O745" t="s">
        <v>74</v>
      </c>
      <c r="P745" t="s">
        <v>74</v>
      </c>
      <c r="Q745" t="s">
        <v>74</v>
      </c>
      <c r="R745" t="s">
        <v>74</v>
      </c>
      <c r="S745" t="s">
        <v>74</v>
      </c>
      <c r="T745" t="s">
        <v>14028</v>
      </c>
      <c r="U745" t="s">
        <v>74</v>
      </c>
      <c r="V745" t="s">
        <v>14029</v>
      </c>
      <c r="W745" t="s">
        <v>14030</v>
      </c>
      <c r="X745" t="s">
        <v>14031</v>
      </c>
      <c r="Y745" t="s">
        <v>14032</v>
      </c>
      <c r="Z745" t="s">
        <v>14033</v>
      </c>
      <c r="AA745" t="s">
        <v>14034</v>
      </c>
      <c r="AB745" t="s">
        <v>14035</v>
      </c>
      <c r="AC745" t="s">
        <v>14036</v>
      </c>
      <c r="AD745" t="s">
        <v>14037</v>
      </c>
      <c r="AE745" t="s">
        <v>14038</v>
      </c>
      <c r="AF745" t="s">
        <v>74</v>
      </c>
      <c r="AG745">
        <v>10</v>
      </c>
      <c r="AH745">
        <v>8</v>
      </c>
      <c r="AI745">
        <v>8</v>
      </c>
      <c r="AJ745">
        <v>0</v>
      </c>
      <c r="AK745">
        <v>7</v>
      </c>
      <c r="AL745" t="s">
        <v>12884</v>
      </c>
      <c r="AM745" t="s">
        <v>12864</v>
      </c>
      <c r="AN745" t="s">
        <v>12885</v>
      </c>
      <c r="AO745" t="s">
        <v>14039</v>
      </c>
      <c r="AP745" t="s">
        <v>14040</v>
      </c>
      <c r="AQ745" t="s">
        <v>74</v>
      </c>
      <c r="AR745" t="s">
        <v>14041</v>
      </c>
      <c r="AS745" t="s">
        <v>14042</v>
      </c>
      <c r="AT745" t="s">
        <v>12439</v>
      </c>
      <c r="AU745">
        <v>2017</v>
      </c>
      <c r="AV745">
        <v>64</v>
      </c>
      <c r="AW745">
        <v>1</v>
      </c>
      <c r="AX745" t="s">
        <v>74</v>
      </c>
      <c r="AY745" t="s">
        <v>74</v>
      </c>
      <c r="AZ745" t="s">
        <v>74</v>
      </c>
      <c r="BA745" t="s">
        <v>74</v>
      </c>
      <c r="BB745">
        <v>37</v>
      </c>
      <c r="BC745">
        <v>55</v>
      </c>
      <c r="BD745" t="s">
        <v>74</v>
      </c>
      <c r="BE745" t="s">
        <v>14043</v>
      </c>
      <c r="BF745" t="str">
        <f>HYPERLINK("http://dx.doi.org/10.1515/meceng-2017-0003","http://dx.doi.org/10.1515/meceng-2017-0003")</f>
        <v>http://dx.doi.org/10.1515/meceng-2017-0003</v>
      </c>
      <c r="BG745" t="s">
        <v>74</v>
      </c>
      <c r="BH745" t="s">
        <v>74</v>
      </c>
      <c r="BI745">
        <v>19</v>
      </c>
      <c r="BJ745" t="s">
        <v>14044</v>
      </c>
      <c r="BK745" t="s">
        <v>1794</v>
      </c>
      <c r="BL745" t="s">
        <v>3233</v>
      </c>
      <c r="BM745" t="s">
        <v>14045</v>
      </c>
      <c r="BN745" t="s">
        <v>74</v>
      </c>
      <c r="BO745" t="s">
        <v>3617</v>
      </c>
      <c r="BP745" t="s">
        <v>74</v>
      </c>
      <c r="BQ745" t="s">
        <v>74</v>
      </c>
      <c r="BR745" t="s">
        <v>106</v>
      </c>
      <c r="BS745" t="s">
        <v>14046</v>
      </c>
      <c r="BT745" t="str">
        <f>HYPERLINK("https%3A%2F%2Fwww.webofscience.com%2Fwos%2Fwoscc%2Ffull-record%2FWOS:000398161200003","View Full Record in Web of Science")</f>
        <v>View Full Record in Web of Science</v>
      </c>
    </row>
    <row r="746" spans="1:72" x14ac:dyDescent="0.15">
      <c r="A746" t="s">
        <v>72</v>
      </c>
      <c r="B746" t="s">
        <v>14047</v>
      </c>
      <c r="C746" t="s">
        <v>74</v>
      </c>
      <c r="D746" t="s">
        <v>74</v>
      </c>
      <c r="E746" t="s">
        <v>74</v>
      </c>
      <c r="F746" t="s">
        <v>14048</v>
      </c>
      <c r="G746" t="s">
        <v>74</v>
      </c>
      <c r="H746" t="s">
        <v>74</v>
      </c>
      <c r="I746" t="s">
        <v>14049</v>
      </c>
      <c r="J746" t="s">
        <v>136</v>
      </c>
      <c r="K746" t="s">
        <v>74</v>
      </c>
      <c r="L746" t="s">
        <v>74</v>
      </c>
      <c r="M746" t="s">
        <v>8496</v>
      </c>
      <c r="N746" t="s">
        <v>79</v>
      </c>
      <c r="O746" t="s">
        <v>74</v>
      </c>
      <c r="P746" t="s">
        <v>74</v>
      </c>
      <c r="Q746" t="s">
        <v>74</v>
      </c>
      <c r="R746" t="s">
        <v>74</v>
      </c>
      <c r="S746" t="s">
        <v>74</v>
      </c>
      <c r="T746" t="s">
        <v>14050</v>
      </c>
      <c r="U746" t="s">
        <v>14051</v>
      </c>
      <c r="V746" t="s">
        <v>14052</v>
      </c>
      <c r="W746" t="s">
        <v>14053</v>
      </c>
      <c r="X746" t="s">
        <v>14054</v>
      </c>
      <c r="Y746" t="s">
        <v>14055</v>
      </c>
      <c r="Z746" t="s">
        <v>14056</v>
      </c>
      <c r="AA746" t="s">
        <v>74</v>
      </c>
      <c r="AB746" t="s">
        <v>14057</v>
      </c>
      <c r="AC746" t="s">
        <v>74</v>
      </c>
      <c r="AD746" t="s">
        <v>74</v>
      </c>
      <c r="AE746" t="s">
        <v>74</v>
      </c>
      <c r="AF746" t="s">
        <v>74</v>
      </c>
      <c r="AG746">
        <v>57</v>
      </c>
      <c r="AH746">
        <v>4</v>
      </c>
      <c r="AI746">
        <v>5</v>
      </c>
      <c r="AJ746">
        <v>1</v>
      </c>
      <c r="AK746">
        <v>5</v>
      </c>
      <c r="AL746" t="s">
        <v>148</v>
      </c>
      <c r="AM746" t="s">
        <v>149</v>
      </c>
      <c r="AN746" t="s">
        <v>150</v>
      </c>
      <c r="AO746" t="s">
        <v>151</v>
      </c>
      <c r="AP746" t="s">
        <v>74</v>
      </c>
      <c r="AQ746" t="s">
        <v>74</v>
      </c>
      <c r="AR746" t="s">
        <v>152</v>
      </c>
      <c r="AS746" t="s">
        <v>153</v>
      </c>
      <c r="AT746" t="s">
        <v>12439</v>
      </c>
      <c r="AU746">
        <v>2017</v>
      </c>
      <c r="AV746">
        <v>52</v>
      </c>
      <c r="AW746">
        <v>1</v>
      </c>
      <c r="AX746" t="s">
        <v>74</v>
      </c>
      <c r="AY746" t="s">
        <v>74</v>
      </c>
      <c r="AZ746" t="s">
        <v>74</v>
      </c>
      <c r="BA746" t="s">
        <v>74</v>
      </c>
      <c r="BB746">
        <v>27</v>
      </c>
      <c r="BC746">
        <v>38</v>
      </c>
      <c r="BD746" t="s">
        <v>74</v>
      </c>
      <c r="BE746" t="s">
        <v>14058</v>
      </c>
      <c r="BF746" t="str">
        <f>HYPERLINK("http://dx.doi.org/10.31055/1851.2372.v52.n1.16905","http://dx.doi.org/10.31055/1851.2372.v52.n1.16905")</f>
        <v>http://dx.doi.org/10.31055/1851.2372.v52.n1.16905</v>
      </c>
      <c r="BG746" t="s">
        <v>74</v>
      </c>
      <c r="BH746" t="s">
        <v>74</v>
      </c>
      <c r="BI746">
        <v>12</v>
      </c>
      <c r="BJ746" t="s">
        <v>102</v>
      </c>
      <c r="BK746" t="s">
        <v>103</v>
      </c>
      <c r="BL746" t="s">
        <v>102</v>
      </c>
      <c r="BM746" t="s">
        <v>14059</v>
      </c>
      <c r="BN746" t="s">
        <v>74</v>
      </c>
      <c r="BO746" t="s">
        <v>131</v>
      </c>
      <c r="BP746" t="s">
        <v>74</v>
      </c>
      <c r="BQ746" t="s">
        <v>74</v>
      </c>
      <c r="BR746" t="s">
        <v>106</v>
      </c>
      <c r="BS746" t="s">
        <v>14060</v>
      </c>
      <c r="BT746" t="str">
        <f>HYPERLINK("https%3A%2F%2Fwww.webofscience.com%2Fwos%2Fwoscc%2Ffull-record%2FWOS:000401681900003","View Full Record in Web of Science")</f>
        <v>View Full Record in Web of Science</v>
      </c>
    </row>
    <row r="747" spans="1:72" x14ac:dyDescent="0.15">
      <c r="A747" t="s">
        <v>72</v>
      </c>
      <c r="B747" t="s">
        <v>14061</v>
      </c>
      <c r="C747" t="s">
        <v>74</v>
      </c>
      <c r="D747" t="s">
        <v>74</v>
      </c>
      <c r="E747" t="s">
        <v>74</v>
      </c>
      <c r="F747" t="s">
        <v>14062</v>
      </c>
      <c r="G747" t="s">
        <v>74</v>
      </c>
      <c r="H747" t="s">
        <v>74</v>
      </c>
      <c r="I747" t="s">
        <v>14063</v>
      </c>
      <c r="J747" t="s">
        <v>6154</v>
      </c>
      <c r="K747" t="s">
        <v>74</v>
      </c>
      <c r="L747" t="s">
        <v>74</v>
      </c>
      <c r="M747" t="s">
        <v>78</v>
      </c>
      <c r="N747" t="s">
        <v>79</v>
      </c>
      <c r="O747" t="s">
        <v>74</v>
      </c>
      <c r="P747" t="s">
        <v>74</v>
      </c>
      <c r="Q747" t="s">
        <v>74</v>
      </c>
      <c r="R747" t="s">
        <v>74</v>
      </c>
      <c r="S747" t="s">
        <v>74</v>
      </c>
      <c r="T747" t="s">
        <v>14064</v>
      </c>
      <c r="U747" t="s">
        <v>14065</v>
      </c>
      <c r="V747" t="s">
        <v>14066</v>
      </c>
      <c r="W747" t="s">
        <v>14067</v>
      </c>
      <c r="X747" t="s">
        <v>14068</v>
      </c>
      <c r="Y747" t="s">
        <v>14069</v>
      </c>
      <c r="Z747" t="s">
        <v>14070</v>
      </c>
      <c r="AA747" t="s">
        <v>14071</v>
      </c>
      <c r="AB747" t="s">
        <v>14072</v>
      </c>
      <c r="AC747" t="s">
        <v>14073</v>
      </c>
      <c r="AD747" t="s">
        <v>14074</v>
      </c>
      <c r="AE747" t="s">
        <v>14075</v>
      </c>
      <c r="AF747" t="s">
        <v>74</v>
      </c>
      <c r="AG747">
        <v>77</v>
      </c>
      <c r="AH747">
        <v>18</v>
      </c>
      <c r="AI747">
        <v>18</v>
      </c>
      <c r="AJ747">
        <v>1</v>
      </c>
      <c r="AK747">
        <v>23</v>
      </c>
      <c r="AL747" t="s">
        <v>986</v>
      </c>
      <c r="AM747" t="s">
        <v>430</v>
      </c>
      <c r="AN747" t="s">
        <v>987</v>
      </c>
      <c r="AO747" t="s">
        <v>6167</v>
      </c>
      <c r="AP747" t="s">
        <v>6168</v>
      </c>
      <c r="AQ747" t="s">
        <v>74</v>
      </c>
      <c r="AR747" t="s">
        <v>6169</v>
      </c>
      <c r="AS747" t="s">
        <v>6170</v>
      </c>
      <c r="AT747" t="s">
        <v>12439</v>
      </c>
      <c r="AU747">
        <v>2017</v>
      </c>
      <c r="AV747">
        <v>48</v>
      </c>
      <c r="AW747" t="s">
        <v>7143</v>
      </c>
      <c r="AX747" t="s">
        <v>74</v>
      </c>
      <c r="AY747" t="s">
        <v>74</v>
      </c>
      <c r="AZ747" t="s">
        <v>74</v>
      </c>
      <c r="BA747" t="s">
        <v>74</v>
      </c>
      <c r="BB747">
        <v>1611</v>
      </c>
      <c r="BC747">
        <v>1631</v>
      </c>
      <c r="BD747" t="s">
        <v>74</v>
      </c>
      <c r="BE747" t="s">
        <v>14076</v>
      </c>
      <c r="BF747" t="str">
        <f>HYPERLINK("http://dx.doi.org/10.1007/s00382-016-3163-y","http://dx.doi.org/10.1007/s00382-016-3163-y")</f>
        <v>http://dx.doi.org/10.1007/s00382-016-3163-y</v>
      </c>
      <c r="BG747" t="s">
        <v>74</v>
      </c>
      <c r="BH747" t="s">
        <v>74</v>
      </c>
      <c r="BI747">
        <v>21</v>
      </c>
      <c r="BJ747" t="s">
        <v>1261</v>
      </c>
      <c r="BK747" t="s">
        <v>103</v>
      </c>
      <c r="BL747" t="s">
        <v>1261</v>
      </c>
      <c r="BM747" t="s">
        <v>13018</v>
      </c>
      <c r="BN747" t="s">
        <v>74</v>
      </c>
      <c r="BO747" t="s">
        <v>1425</v>
      </c>
      <c r="BP747" t="s">
        <v>74</v>
      </c>
      <c r="BQ747" t="s">
        <v>74</v>
      </c>
      <c r="BR747" t="s">
        <v>106</v>
      </c>
      <c r="BS747" t="s">
        <v>14077</v>
      </c>
      <c r="BT747" t="str">
        <f>HYPERLINK("https%3A%2F%2Fwww.webofscience.com%2Fwos%2Fwoscc%2Ffull-record%2FWOS:000395060900013","View Full Record in Web of Science")</f>
        <v>View Full Record in Web of Science</v>
      </c>
    </row>
    <row r="748" spans="1:72" x14ac:dyDescent="0.15">
      <c r="A748" t="s">
        <v>72</v>
      </c>
      <c r="B748" t="s">
        <v>14078</v>
      </c>
      <c r="C748" t="s">
        <v>74</v>
      </c>
      <c r="D748" t="s">
        <v>74</v>
      </c>
      <c r="E748" t="s">
        <v>74</v>
      </c>
      <c r="F748" t="s">
        <v>14079</v>
      </c>
      <c r="G748" t="s">
        <v>74</v>
      </c>
      <c r="H748" t="s">
        <v>74</v>
      </c>
      <c r="I748" t="s">
        <v>14080</v>
      </c>
      <c r="J748" t="s">
        <v>14081</v>
      </c>
      <c r="K748" t="s">
        <v>74</v>
      </c>
      <c r="L748" t="s">
        <v>74</v>
      </c>
      <c r="M748" t="s">
        <v>78</v>
      </c>
      <c r="N748" t="s">
        <v>518</v>
      </c>
      <c r="O748" t="s">
        <v>74</v>
      </c>
      <c r="P748" t="s">
        <v>74</v>
      </c>
      <c r="Q748" t="s">
        <v>74</v>
      </c>
      <c r="R748" t="s">
        <v>74</v>
      </c>
      <c r="S748" t="s">
        <v>74</v>
      </c>
      <c r="T748" t="s">
        <v>14082</v>
      </c>
      <c r="U748" t="s">
        <v>14083</v>
      </c>
      <c r="V748" t="s">
        <v>14084</v>
      </c>
      <c r="W748" t="s">
        <v>14085</v>
      </c>
      <c r="X748" t="s">
        <v>14086</v>
      </c>
      <c r="Y748" t="s">
        <v>14087</v>
      </c>
      <c r="Z748" t="s">
        <v>14088</v>
      </c>
      <c r="AA748" t="s">
        <v>74</v>
      </c>
      <c r="AB748" t="s">
        <v>14089</v>
      </c>
      <c r="AC748" t="s">
        <v>74</v>
      </c>
      <c r="AD748" t="s">
        <v>74</v>
      </c>
      <c r="AE748" t="s">
        <v>74</v>
      </c>
      <c r="AF748" t="s">
        <v>74</v>
      </c>
      <c r="AG748">
        <v>75</v>
      </c>
      <c r="AH748">
        <v>6</v>
      </c>
      <c r="AI748">
        <v>8</v>
      </c>
      <c r="AJ748">
        <v>1</v>
      </c>
      <c r="AK748">
        <v>73</v>
      </c>
      <c r="AL748" t="s">
        <v>14090</v>
      </c>
      <c r="AM748" t="s">
        <v>403</v>
      </c>
      <c r="AN748" t="s">
        <v>14091</v>
      </c>
      <c r="AO748" t="s">
        <v>14092</v>
      </c>
      <c r="AP748" t="s">
        <v>14093</v>
      </c>
      <c r="AQ748" t="s">
        <v>74</v>
      </c>
      <c r="AR748" t="s">
        <v>14094</v>
      </c>
      <c r="AS748" t="s">
        <v>14095</v>
      </c>
      <c r="AT748" t="s">
        <v>12439</v>
      </c>
      <c r="AU748">
        <v>2017</v>
      </c>
      <c r="AV748">
        <v>28</v>
      </c>
      <c r="AW748" t="s">
        <v>74</v>
      </c>
      <c r="AX748" t="s">
        <v>74</v>
      </c>
      <c r="AY748" t="s">
        <v>74</v>
      </c>
      <c r="AZ748" t="s">
        <v>74</v>
      </c>
      <c r="BA748" t="s">
        <v>74</v>
      </c>
      <c r="BB748">
        <v>56</v>
      </c>
      <c r="BC748">
        <v>62</v>
      </c>
      <c r="BD748" t="s">
        <v>74</v>
      </c>
      <c r="BE748" t="s">
        <v>14096</v>
      </c>
      <c r="BF748" t="str">
        <f>HYPERLINK("http://dx.doi.org/10.1016/j.cocis.2017.03.002","http://dx.doi.org/10.1016/j.cocis.2017.03.002")</f>
        <v>http://dx.doi.org/10.1016/j.cocis.2017.03.002</v>
      </c>
      <c r="BG748" t="s">
        <v>74</v>
      </c>
      <c r="BH748" t="s">
        <v>74</v>
      </c>
      <c r="BI748">
        <v>7</v>
      </c>
      <c r="BJ748" t="s">
        <v>14097</v>
      </c>
      <c r="BK748" t="s">
        <v>103</v>
      </c>
      <c r="BL748" t="s">
        <v>5809</v>
      </c>
      <c r="BM748" t="s">
        <v>14098</v>
      </c>
      <c r="BN748" t="s">
        <v>74</v>
      </c>
      <c r="BO748" t="s">
        <v>74</v>
      </c>
      <c r="BP748" t="s">
        <v>74</v>
      </c>
      <c r="BQ748" t="s">
        <v>74</v>
      </c>
      <c r="BR748" t="s">
        <v>106</v>
      </c>
      <c r="BS748" t="s">
        <v>14099</v>
      </c>
      <c r="BT748" t="str">
        <f>HYPERLINK("https%3A%2F%2Fwww.webofscience.com%2Fwos%2Fwoscc%2Ffull-record%2FWOS:000403433300009","View Full Record in Web of Science")</f>
        <v>View Full Record in Web of Science</v>
      </c>
    </row>
    <row r="749" spans="1:72" x14ac:dyDescent="0.15">
      <c r="A749" t="s">
        <v>72</v>
      </c>
      <c r="B749" t="s">
        <v>14100</v>
      </c>
      <c r="C749" t="s">
        <v>74</v>
      </c>
      <c r="D749" t="s">
        <v>74</v>
      </c>
      <c r="E749" t="s">
        <v>74</v>
      </c>
      <c r="F749" t="s">
        <v>14101</v>
      </c>
      <c r="G749" t="s">
        <v>74</v>
      </c>
      <c r="H749" t="s">
        <v>74</v>
      </c>
      <c r="I749" t="s">
        <v>14102</v>
      </c>
      <c r="J749" t="s">
        <v>895</v>
      </c>
      <c r="K749" t="s">
        <v>74</v>
      </c>
      <c r="L749" t="s">
        <v>74</v>
      </c>
      <c r="M749" t="s">
        <v>78</v>
      </c>
      <c r="N749" t="s">
        <v>333</v>
      </c>
      <c r="O749" t="s">
        <v>12767</v>
      </c>
      <c r="P749" t="s">
        <v>12768</v>
      </c>
      <c r="Q749" t="s">
        <v>12769</v>
      </c>
      <c r="R749" t="s">
        <v>74</v>
      </c>
      <c r="S749" t="s">
        <v>74</v>
      </c>
      <c r="T749" t="s">
        <v>14103</v>
      </c>
      <c r="U749" t="s">
        <v>14104</v>
      </c>
      <c r="V749" t="s">
        <v>14105</v>
      </c>
      <c r="W749" t="s">
        <v>14106</v>
      </c>
      <c r="X749" t="s">
        <v>14107</v>
      </c>
      <c r="Y749" t="s">
        <v>14108</v>
      </c>
      <c r="Z749" t="s">
        <v>14109</v>
      </c>
      <c r="AA749" t="s">
        <v>74</v>
      </c>
      <c r="AB749" t="s">
        <v>74</v>
      </c>
      <c r="AC749" t="s">
        <v>14110</v>
      </c>
      <c r="AD749" t="s">
        <v>8661</v>
      </c>
      <c r="AE749" t="s">
        <v>14111</v>
      </c>
      <c r="AF749" t="s">
        <v>74</v>
      </c>
      <c r="AG749">
        <v>39</v>
      </c>
      <c r="AH749">
        <v>8</v>
      </c>
      <c r="AI749">
        <v>9</v>
      </c>
      <c r="AJ749">
        <v>0</v>
      </c>
      <c r="AK749">
        <v>4</v>
      </c>
      <c r="AL749" t="s">
        <v>656</v>
      </c>
      <c r="AM749" t="s">
        <v>93</v>
      </c>
      <c r="AN749" t="s">
        <v>657</v>
      </c>
      <c r="AO749" t="s">
        <v>911</v>
      </c>
      <c r="AP749" t="s">
        <v>912</v>
      </c>
      <c r="AQ749" t="s">
        <v>74</v>
      </c>
      <c r="AR749" t="s">
        <v>913</v>
      </c>
      <c r="AS749" t="s">
        <v>914</v>
      </c>
      <c r="AT749" t="s">
        <v>12439</v>
      </c>
      <c r="AU749">
        <v>2017</v>
      </c>
      <c r="AV749">
        <v>137</v>
      </c>
      <c r="AW749" t="s">
        <v>74</v>
      </c>
      <c r="AX749" t="s">
        <v>74</v>
      </c>
      <c r="AY749" t="s">
        <v>74</v>
      </c>
      <c r="AZ749" t="s">
        <v>74</v>
      </c>
      <c r="BA749" t="s">
        <v>74</v>
      </c>
      <c r="BB749">
        <v>190</v>
      </c>
      <c r="BC749">
        <v>206</v>
      </c>
      <c r="BD749" t="s">
        <v>74</v>
      </c>
      <c r="BE749" t="s">
        <v>14112</v>
      </c>
      <c r="BF749" t="str">
        <f>HYPERLINK("http://dx.doi.org/10.1016/j.dsr2.2016.08.006","http://dx.doi.org/10.1016/j.dsr2.2016.08.006")</f>
        <v>http://dx.doi.org/10.1016/j.dsr2.2016.08.006</v>
      </c>
      <c r="BG749" t="s">
        <v>74</v>
      </c>
      <c r="BH749" t="s">
        <v>74</v>
      </c>
      <c r="BI749">
        <v>17</v>
      </c>
      <c r="BJ749" t="s">
        <v>127</v>
      </c>
      <c r="BK749" t="s">
        <v>354</v>
      </c>
      <c r="BL749" t="s">
        <v>127</v>
      </c>
      <c r="BM749" t="s">
        <v>12783</v>
      </c>
      <c r="BN749" t="s">
        <v>74</v>
      </c>
      <c r="BO749" t="s">
        <v>74</v>
      </c>
      <c r="BP749" t="s">
        <v>74</v>
      </c>
      <c r="BQ749" t="s">
        <v>74</v>
      </c>
      <c r="BR749" t="s">
        <v>106</v>
      </c>
      <c r="BS749" t="s">
        <v>14113</v>
      </c>
      <c r="BT749" t="str">
        <f>HYPERLINK("https%3A%2F%2Fwww.webofscience.com%2Fwos%2Fwoscc%2Ffull-record%2FWOS:000398749900015","View Full Record in Web of Science")</f>
        <v>View Full Record in Web of Science</v>
      </c>
    </row>
    <row r="750" spans="1:72" x14ac:dyDescent="0.15">
      <c r="A750" t="s">
        <v>72</v>
      </c>
      <c r="B750" t="s">
        <v>14114</v>
      </c>
      <c r="C750" t="s">
        <v>74</v>
      </c>
      <c r="D750" t="s">
        <v>74</v>
      </c>
      <c r="E750" t="s">
        <v>74</v>
      </c>
      <c r="F750" t="s">
        <v>14115</v>
      </c>
      <c r="G750" t="s">
        <v>74</v>
      </c>
      <c r="H750" t="s">
        <v>74</v>
      </c>
      <c r="I750" t="s">
        <v>14116</v>
      </c>
      <c r="J750" t="s">
        <v>14117</v>
      </c>
      <c r="K750" t="s">
        <v>74</v>
      </c>
      <c r="L750" t="s">
        <v>74</v>
      </c>
      <c r="M750" t="s">
        <v>78</v>
      </c>
      <c r="N750" t="s">
        <v>518</v>
      </c>
      <c r="O750" t="s">
        <v>74</v>
      </c>
      <c r="P750" t="s">
        <v>74</v>
      </c>
      <c r="Q750" t="s">
        <v>74</v>
      </c>
      <c r="R750" t="s">
        <v>74</v>
      </c>
      <c r="S750" t="s">
        <v>74</v>
      </c>
      <c r="T750" t="s">
        <v>74</v>
      </c>
      <c r="U750" t="s">
        <v>14118</v>
      </c>
      <c r="V750" t="s">
        <v>14119</v>
      </c>
      <c r="W750" t="s">
        <v>14120</v>
      </c>
      <c r="X750" t="s">
        <v>1458</v>
      </c>
      <c r="Y750" t="s">
        <v>1459</v>
      </c>
      <c r="Z750" t="s">
        <v>14121</v>
      </c>
      <c r="AA750" t="s">
        <v>14122</v>
      </c>
      <c r="AB750" t="s">
        <v>14123</v>
      </c>
      <c r="AC750" t="s">
        <v>14124</v>
      </c>
      <c r="AD750" t="s">
        <v>14124</v>
      </c>
      <c r="AE750" t="s">
        <v>14125</v>
      </c>
      <c r="AF750" t="s">
        <v>74</v>
      </c>
      <c r="AG750">
        <v>113</v>
      </c>
      <c r="AH750">
        <v>56</v>
      </c>
      <c r="AI750">
        <v>62</v>
      </c>
      <c r="AJ750">
        <v>5</v>
      </c>
      <c r="AK750">
        <v>31</v>
      </c>
      <c r="AL750" t="s">
        <v>611</v>
      </c>
      <c r="AM750" t="s">
        <v>612</v>
      </c>
      <c r="AN750" t="s">
        <v>613</v>
      </c>
      <c r="AO750" t="s">
        <v>74</v>
      </c>
      <c r="AP750" t="s">
        <v>14126</v>
      </c>
      <c r="AQ750" t="s">
        <v>74</v>
      </c>
      <c r="AR750" t="s">
        <v>14117</v>
      </c>
      <c r="AS750" t="s">
        <v>14127</v>
      </c>
      <c r="AT750" t="s">
        <v>12439</v>
      </c>
      <c r="AU750">
        <v>2017</v>
      </c>
      <c r="AV750">
        <v>9</v>
      </c>
      <c r="AW750">
        <v>1</v>
      </c>
      <c r="AX750" t="s">
        <v>74</v>
      </c>
      <c r="AY750" t="s">
        <v>74</v>
      </c>
      <c r="AZ750" t="s">
        <v>74</v>
      </c>
      <c r="BA750" t="s">
        <v>74</v>
      </c>
      <c r="BB750" t="s">
        <v>74</v>
      </c>
      <c r="BC750" t="s">
        <v>74</v>
      </c>
      <c r="BD750">
        <v>7</v>
      </c>
      <c r="BE750" t="s">
        <v>14128</v>
      </c>
      <c r="BF750" t="str">
        <f>HYPERLINK("http://dx.doi.org/10.3390/d9010007","http://dx.doi.org/10.3390/d9010007")</f>
        <v>http://dx.doi.org/10.3390/d9010007</v>
      </c>
      <c r="BG750" t="s">
        <v>74</v>
      </c>
      <c r="BH750" t="s">
        <v>74</v>
      </c>
      <c r="BI750">
        <v>19</v>
      </c>
      <c r="BJ750" t="s">
        <v>1018</v>
      </c>
      <c r="BK750" t="s">
        <v>103</v>
      </c>
      <c r="BL750" t="s">
        <v>326</v>
      </c>
      <c r="BM750" t="s">
        <v>14129</v>
      </c>
      <c r="BN750" t="s">
        <v>74</v>
      </c>
      <c r="BO750" t="s">
        <v>5384</v>
      </c>
      <c r="BP750" t="s">
        <v>74</v>
      </c>
      <c r="BQ750" t="s">
        <v>74</v>
      </c>
      <c r="BR750" t="s">
        <v>106</v>
      </c>
      <c r="BS750" t="s">
        <v>14130</v>
      </c>
      <c r="BT750" t="str">
        <f>HYPERLINK("https%3A%2F%2Fwww.webofscience.com%2Fwos%2Fwoscc%2Ffull-record%2FWOS:000396522000006","View Full Record in Web of Science")</f>
        <v>View Full Record in Web of Science</v>
      </c>
    </row>
    <row r="751" spans="1:72" x14ac:dyDescent="0.15">
      <c r="A751" t="s">
        <v>72</v>
      </c>
      <c r="B751" t="s">
        <v>14131</v>
      </c>
      <c r="C751" t="s">
        <v>74</v>
      </c>
      <c r="D751" t="s">
        <v>74</v>
      </c>
      <c r="E751" t="s">
        <v>74</v>
      </c>
      <c r="F751" t="s">
        <v>14132</v>
      </c>
      <c r="G751" t="s">
        <v>74</v>
      </c>
      <c r="H751" t="s">
        <v>74</v>
      </c>
      <c r="I751" t="s">
        <v>14133</v>
      </c>
      <c r="J751" t="s">
        <v>2299</v>
      </c>
      <c r="K751" t="s">
        <v>74</v>
      </c>
      <c r="L751" t="s">
        <v>74</v>
      </c>
      <c r="M751" t="s">
        <v>78</v>
      </c>
      <c r="N751" t="s">
        <v>518</v>
      </c>
      <c r="O751" t="s">
        <v>74</v>
      </c>
      <c r="P751" t="s">
        <v>74</v>
      </c>
      <c r="Q751" t="s">
        <v>74</v>
      </c>
      <c r="R751" t="s">
        <v>74</v>
      </c>
      <c r="S751" t="s">
        <v>74</v>
      </c>
      <c r="T751" t="s">
        <v>14134</v>
      </c>
      <c r="U751" t="s">
        <v>14135</v>
      </c>
      <c r="V751" t="s">
        <v>14136</v>
      </c>
      <c r="W751" t="s">
        <v>14137</v>
      </c>
      <c r="X751" t="s">
        <v>14138</v>
      </c>
      <c r="Y751" t="s">
        <v>14139</v>
      </c>
      <c r="Z751" t="s">
        <v>14140</v>
      </c>
      <c r="AA751" t="s">
        <v>14141</v>
      </c>
      <c r="AB751" t="s">
        <v>14142</v>
      </c>
      <c r="AC751" t="s">
        <v>14143</v>
      </c>
      <c r="AD751" t="s">
        <v>14144</v>
      </c>
      <c r="AE751" t="s">
        <v>14145</v>
      </c>
      <c r="AF751" t="s">
        <v>74</v>
      </c>
      <c r="AG751">
        <v>169</v>
      </c>
      <c r="AH751">
        <v>36</v>
      </c>
      <c r="AI751">
        <v>38</v>
      </c>
      <c r="AJ751">
        <v>0</v>
      </c>
      <c r="AK751">
        <v>35</v>
      </c>
      <c r="AL751" t="s">
        <v>1141</v>
      </c>
      <c r="AM751" t="s">
        <v>318</v>
      </c>
      <c r="AN751" t="s">
        <v>1142</v>
      </c>
      <c r="AO751" t="s">
        <v>2312</v>
      </c>
      <c r="AP751" t="s">
        <v>2313</v>
      </c>
      <c r="AQ751" t="s">
        <v>74</v>
      </c>
      <c r="AR751" t="s">
        <v>2314</v>
      </c>
      <c r="AS751" t="s">
        <v>2315</v>
      </c>
      <c r="AT751" t="s">
        <v>12439</v>
      </c>
      <c r="AU751">
        <v>2017</v>
      </c>
      <c r="AV751">
        <v>166</v>
      </c>
      <c r="AW751" t="s">
        <v>74</v>
      </c>
      <c r="AX751" t="s">
        <v>74</v>
      </c>
      <c r="AY751" t="s">
        <v>74</v>
      </c>
      <c r="AZ751" t="s">
        <v>74</v>
      </c>
      <c r="BA751" t="s">
        <v>74</v>
      </c>
      <c r="BB751">
        <v>223</v>
      </c>
      <c r="BC751">
        <v>245</v>
      </c>
      <c r="BD751" t="s">
        <v>74</v>
      </c>
      <c r="BE751" t="s">
        <v>14146</v>
      </c>
      <c r="BF751" t="str">
        <f>HYPERLINK("http://dx.doi.org/10.1016/j.earscirev.2017.02.001","http://dx.doi.org/10.1016/j.earscirev.2017.02.001")</f>
        <v>http://dx.doi.org/10.1016/j.earscirev.2017.02.001</v>
      </c>
      <c r="BG751" t="s">
        <v>74</v>
      </c>
      <c r="BH751" t="s">
        <v>74</v>
      </c>
      <c r="BI751">
        <v>23</v>
      </c>
      <c r="BJ751" t="s">
        <v>437</v>
      </c>
      <c r="BK751" t="s">
        <v>103</v>
      </c>
      <c r="BL751" t="s">
        <v>438</v>
      </c>
      <c r="BM751" t="s">
        <v>14147</v>
      </c>
      <c r="BN751" t="s">
        <v>74</v>
      </c>
      <c r="BO751" t="s">
        <v>3209</v>
      </c>
      <c r="BP751" t="s">
        <v>74</v>
      </c>
      <c r="BQ751" t="s">
        <v>74</v>
      </c>
      <c r="BR751" t="s">
        <v>106</v>
      </c>
      <c r="BS751" t="s">
        <v>14148</v>
      </c>
      <c r="BT751" t="str">
        <f>HYPERLINK("https%3A%2F%2Fwww.webofscience.com%2Fwos%2Fwoscc%2Ffull-record%2FWOS:000396974000011","View Full Record in Web of Science")</f>
        <v>View Full Record in Web of Science</v>
      </c>
    </row>
    <row r="752" spans="1:72" x14ac:dyDescent="0.15">
      <c r="A752" t="s">
        <v>72</v>
      </c>
      <c r="B752" t="s">
        <v>14149</v>
      </c>
      <c r="C752" t="s">
        <v>74</v>
      </c>
      <c r="D752" t="s">
        <v>74</v>
      </c>
      <c r="E752" t="s">
        <v>74</v>
      </c>
      <c r="F752" t="s">
        <v>14150</v>
      </c>
      <c r="G752" t="s">
        <v>74</v>
      </c>
      <c r="H752" t="s">
        <v>74</v>
      </c>
      <c r="I752" t="s">
        <v>14151</v>
      </c>
      <c r="J752" t="s">
        <v>14152</v>
      </c>
      <c r="K752" t="s">
        <v>74</v>
      </c>
      <c r="L752" t="s">
        <v>74</v>
      </c>
      <c r="M752" t="s">
        <v>78</v>
      </c>
      <c r="N752" t="s">
        <v>79</v>
      </c>
      <c r="O752" t="s">
        <v>74</v>
      </c>
      <c r="P752" t="s">
        <v>74</v>
      </c>
      <c r="Q752" t="s">
        <v>74</v>
      </c>
      <c r="R752" t="s">
        <v>74</v>
      </c>
      <c r="S752" t="s">
        <v>74</v>
      </c>
      <c r="T752" t="s">
        <v>14153</v>
      </c>
      <c r="U752" t="s">
        <v>14154</v>
      </c>
      <c r="V752" t="s">
        <v>14155</v>
      </c>
      <c r="W752" t="s">
        <v>14156</v>
      </c>
      <c r="X752" t="s">
        <v>14157</v>
      </c>
      <c r="Y752" t="s">
        <v>14158</v>
      </c>
      <c r="Z752" t="s">
        <v>14159</v>
      </c>
      <c r="AA752" t="s">
        <v>14160</v>
      </c>
      <c r="AB752" t="s">
        <v>14161</v>
      </c>
      <c r="AC752" t="s">
        <v>14162</v>
      </c>
      <c r="AD752" t="s">
        <v>14163</v>
      </c>
      <c r="AE752" t="s">
        <v>14164</v>
      </c>
      <c r="AF752" t="s">
        <v>74</v>
      </c>
      <c r="AG752">
        <v>46</v>
      </c>
      <c r="AH752">
        <v>8</v>
      </c>
      <c r="AI752">
        <v>8</v>
      </c>
      <c r="AJ752">
        <v>0</v>
      </c>
      <c r="AK752">
        <v>16</v>
      </c>
      <c r="AL752" t="s">
        <v>986</v>
      </c>
      <c r="AM752" t="s">
        <v>430</v>
      </c>
      <c r="AN752" t="s">
        <v>1663</v>
      </c>
      <c r="AO752" t="s">
        <v>14165</v>
      </c>
      <c r="AP752" t="s">
        <v>14166</v>
      </c>
      <c r="AQ752" t="s">
        <v>74</v>
      </c>
      <c r="AR752" t="s">
        <v>14152</v>
      </c>
      <c r="AS752" t="s">
        <v>14167</v>
      </c>
      <c r="AT752" t="s">
        <v>12439</v>
      </c>
      <c r="AU752">
        <v>2017</v>
      </c>
      <c r="AV752">
        <v>14</v>
      </c>
      <c r="AW752">
        <v>1</v>
      </c>
      <c r="AX752" t="s">
        <v>74</v>
      </c>
      <c r="AY752" t="s">
        <v>74</v>
      </c>
      <c r="AZ752" t="s">
        <v>74</v>
      </c>
      <c r="BA752" t="s">
        <v>74</v>
      </c>
      <c r="BB752">
        <v>78</v>
      </c>
      <c r="BC752">
        <v>87</v>
      </c>
      <c r="BD752" t="s">
        <v>74</v>
      </c>
      <c r="BE752" t="s">
        <v>14168</v>
      </c>
      <c r="BF752" t="str">
        <f>HYPERLINK("http://dx.doi.org/10.1007/s10393-016-1203-z","http://dx.doi.org/10.1007/s10393-016-1203-z")</f>
        <v>http://dx.doi.org/10.1007/s10393-016-1203-z</v>
      </c>
      <c r="BG752" t="s">
        <v>74</v>
      </c>
      <c r="BH752" t="s">
        <v>74</v>
      </c>
      <c r="BI752">
        <v>10</v>
      </c>
      <c r="BJ752" t="s">
        <v>382</v>
      </c>
      <c r="BK752" t="s">
        <v>103</v>
      </c>
      <c r="BL752" t="s">
        <v>326</v>
      </c>
      <c r="BM752" t="s">
        <v>14169</v>
      </c>
      <c r="BN752">
        <v>28091764</v>
      </c>
      <c r="BO752" t="s">
        <v>74</v>
      </c>
      <c r="BP752" t="s">
        <v>74</v>
      </c>
      <c r="BQ752" t="s">
        <v>74</v>
      </c>
      <c r="BR752" t="s">
        <v>106</v>
      </c>
      <c r="BS752" t="s">
        <v>14170</v>
      </c>
      <c r="BT752" t="str">
        <f>HYPERLINK("https%3A%2F%2Fwww.webofscience.com%2Fwos%2Fwoscc%2Ffull-record%2FWOS:000397998300009","View Full Record in Web of Science")</f>
        <v>View Full Record in Web of Science</v>
      </c>
    </row>
    <row r="753" spans="1:72" x14ac:dyDescent="0.15">
      <c r="A753" t="s">
        <v>72</v>
      </c>
      <c r="B753" t="s">
        <v>14171</v>
      </c>
      <c r="C753" t="s">
        <v>74</v>
      </c>
      <c r="D753" t="s">
        <v>74</v>
      </c>
      <c r="E753" t="s">
        <v>74</v>
      </c>
      <c r="F753" t="s">
        <v>14172</v>
      </c>
      <c r="G753" t="s">
        <v>74</v>
      </c>
      <c r="H753" t="s">
        <v>74</v>
      </c>
      <c r="I753" t="s">
        <v>14173</v>
      </c>
      <c r="J753" t="s">
        <v>14174</v>
      </c>
      <c r="K753" t="s">
        <v>74</v>
      </c>
      <c r="L753" t="s">
        <v>74</v>
      </c>
      <c r="M753" t="s">
        <v>78</v>
      </c>
      <c r="N753" t="s">
        <v>79</v>
      </c>
      <c r="O753" t="s">
        <v>74</v>
      </c>
      <c r="P753" t="s">
        <v>74</v>
      </c>
      <c r="Q753" t="s">
        <v>74</v>
      </c>
      <c r="R753" t="s">
        <v>74</v>
      </c>
      <c r="S753" t="s">
        <v>74</v>
      </c>
      <c r="T753" t="s">
        <v>74</v>
      </c>
      <c r="U753" t="s">
        <v>14175</v>
      </c>
      <c r="V753" t="s">
        <v>14176</v>
      </c>
      <c r="W753" t="s">
        <v>14177</v>
      </c>
      <c r="X753" t="s">
        <v>74</v>
      </c>
      <c r="Y753" t="s">
        <v>14178</v>
      </c>
      <c r="Z753" t="s">
        <v>14179</v>
      </c>
      <c r="AA753" t="s">
        <v>74</v>
      </c>
      <c r="AB753" t="s">
        <v>74</v>
      </c>
      <c r="AC753" t="s">
        <v>74</v>
      </c>
      <c r="AD753" t="s">
        <v>74</v>
      </c>
      <c r="AE753" t="s">
        <v>74</v>
      </c>
      <c r="AF753" t="s">
        <v>74</v>
      </c>
      <c r="AG753">
        <v>88</v>
      </c>
      <c r="AH753">
        <v>1</v>
      </c>
      <c r="AI753">
        <v>1</v>
      </c>
      <c r="AJ753">
        <v>0</v>
      </c>
      <c r="AK753">
        <v>28</v>
      </c>
      <c r="AL753" t="s">
        <v>14180</v>
      </c>
      <c r="AM753" t="s">
        <v>14181</v>
      </c>
      <c r="AN753" t="s">
        <v>14182</v>
      </c>
      <c r="AO753" t="s">
        <v>14183</v>
      </c>
      <c r="AP753" t="s">
        <v>14184</v>
      </c>
      <c r="AQ753" t="s">
        <v>74</v>
      </c>
      <c r="AR753" t="s">
        <v>14185</v>
      </c>
      <c r="AS753" t="s">
        <v>14186</v>
      </c>
      <c r="AT753" t="s">
        <v>14187</v>
      </c>
      <c r="AU753">
        <v>2017</v>
      </c>
      <c r="AV753">
        <v>39</v>
      </c>
      <c r="AW753">
        <v>1</v>
      </c>
      <c r="AX753" t="s">
        <v>74</v>
      </c>
      <c r="AY753" t="s">
        <v>74</v>
      </c>
      <c r="AZ753" t="s">
        <v>74</v>
      </c>
      <c r="BA753" t="s">
        <v>74</v>
      </c>
      <c r="BB753">
        <v>57</v>
      </c>
      <c r="BC753">
        <v>74</v>
      </c>
      <c r="BD753" t="s">
        <v>74</v>
      </c>
      <c r="BE753" t="s">
        <v>14188</v>
      </c>
      <c r="BF753" t="str">
        <f>HYPERLINK("http://dx.doi.org/10.5840/enviroethics20179264","http://dx.doi.org/10.5840/enviroethics20179264")</f>
        <v>http://dx.doi.org/10.5840/enviroethics20179264</v>
      </c>
      <c r="BG753" t="s">
        <v>74</v>
      </c>
      <c r="BH753" t="s">
        <v>74</v>
      </c>
      <c r="BI753">
        <v>18</v>
      </c>
      <c r="BJ753" t="s">
        <v>14189</v>
      </c>
      <c r="BK753" t="s">
        <v>3321</v>
      </c>
      <c r="BL753" t="s">
        <v>14190</v>
      </c>
      <c r="BM753" t="s">
        <v>14191</v>
      </c>
      <c r="BN753" t="s">
        <v>74</v>
      </c>
      <c r="BO753" t="s">
        <v>74</v>
      </c>
      <c r="BP753" t="s">
        <v>74</v>
      </c>
      <c r="BQ753" t="s">
        <v>74</v>
      </c>
      <c r="BR753" t="s">
        <v>106</v>
      </c>
      <c r="BS753" t="s">
        <v>14192</v>
      </c>
      <c r="BT753" t="str">
        <f>HYPERLINK("https%3A%2F%2Fwww.webofscience.com%2Fwos%2Fwoscc%2Ffull-record%2FWOS:000415784900004","View Full Record in Web of Science")</f>
        <v>View Full Record in Web of Science</v>
      </c>
    </row>
    <row r="754" spans="1:72" x14ac:dyDescent="0.15">
      <c r="A754" t="s">
        <v>72</v>
      </c>
      <c r="B754" t="s">
        <v>14193</v>
      </c>
      <c r="C754" t="s">
        <v>74</v>
      </c>
      <c r="D754" t="s">
        <v>74</v>
      </c>
      <c r="E754" t="s">
        <v>74</v>
      </c>
      <c r="F754" t="s">
        <v>14194</v>
      </c>
      <c r="G754" t="s">
        <v>74</v>
      </c>
      <c r="H754" t="s">
        <v>74</v>
      </c>
      <c r="I754" t="s">
        <v>14195</v>
      </c>
      <c r="J754" t="s">
        <v>9699</v>
      </c>
      <c r="K754" t="s">
        <v>74</v>
      </c>
      <c r="L754" t="s">
        <v>74</v>
      </c>
      <c r="M754" t="s">
        <v>78</v>
      </c>
      <c r="N754" t="s">
        <v>79</v>
      </c>
      <c r="O754" t="s">
        <v>74</v>
      </c>
      <c r="P754" t="s">
        <v>74</v>
      </c>
      <c r="Q754" t="s">
        <v>74</v>
      </c>
      <c r="R754" t="s">
        <v>74</v>
      </c>
      <c r="S754" t="s">
        <v>74</v>
      </c>
      <c r="T754" t="s">
        <v>14196</v>
      </c>
      <c r="U754" t="s">
        <v>14197</v>
      </c>
      <c r="V754" t="s">
        <v>14198</v>
      </c>
      <c r="W754" t="s">
        <v>14199</v>
      </c>
      <c r="X754" t="s">
        <v>14200</v>
      </c>
      <c r="Y754" t="s">
        <v>14201</v>
      </c>
      <c r="Z754" t="s">
        <v>14202</v>
      </c>
      <c r="AA754" t="s">
        <v>14203</v>
      </c>
      <c r="AB754" t="s">
        <v>14204</v>
      </c>
      <c r="AC754" t="s">
        <v>14205</v>
      </c>
      <c r="AD754" t="s">
        <v>14206</v>
      </c>
      <c r="AE754" t="s">
        <v>14207</v>
      </c>
      <c r="AF754" t="s">
        <v>74</v>
      </c>
      <c r="AG754">
        <v>88</v>
      </c>
      <c r="AH754">
        <v>65</v>
      </c>
      <c r="AI754">
        <v>70</v>
      </c>
      <c r="AJ754">
        <v>0</v>
      </c>
      <c r="AK754">
        <v>23</v>
      </c>
      <c r="AL754" t="s">
        <v>374</v>
      </c>
      <c r="AM754" t="s">
        <v>93</v>
      </c>
      <c r="AN754" t="s">
        <v>375</v>
      </c>
      <c r="AO754" t="s">
        <v>9708</v>
      </c>
      <c r="AP754" t="s">
        <v>9709</v>
      </c>
      <c r="AQ754" t="s">
        <v>74</v>
      </c>
      <c r="AR754" t="s">
        <v>9710</v>
      </c>
      <c r="AS754" t="s">
        <v>9711</v>
      </c>
      <c r="AT754" t="s">
        <v>12439</v>
      </c>
      <c r="AU754">
        <v>2017</v>
      </c>
      <c r="AV754">
        <v>89</v>
      </c>
      <c r="AW754" t="s">
        <v>74</v>
      </c>
      <c r="AX754" t="s">
        <v>74</v>
      </c>
      <c r="AY754" t="s">
        <v>74</v>
      </c>
      <c r="AZ754" t="s">
        <v>74</v>
      </c>
      <c r="BA754" t="s">
        <v>74</v>
      </c>
      <c r="BB754">
        <v>19</v>
      </c>
      <c r="BC754">
        <v>30</v>
      </c>
      <c r="BD754" t="s">
        <v>74</v>
      </c>
      <c r="BE754" t="s">
        <v>14208</v>
      </c>
      <c r="BF754" t="str">
        <f>HYPERLINK("http://dx.doi.org/10.1016/j.envsoft.2016.11.027","http://dx.doi.org/10.1016/j.envsoft.2016.11.027")</f>
        <v>http://dx.doi.org/10.1016/j.envsoft.2016.11.027</v>
      </c>
      <c r="BG754" t="s">
        <v>74</v>
      </c>
      <c r="BH754" t="s">
        <v>74</v>
      </c>
      <c r="BI754">
        <v>12</v>
      </c>
      <c r="BJ754" t="s">
        <v>9713</v>
      </c>
      <c r="BK754" t="s">
        <v>103</v>
      </c>
      <c r="BL754" t="s">
        <v>9714</v>
      </c>
      <c r="BM754" t="s">
        <v>14209</v>
      </c>
      <c r="BN754" t="s">
        <v>74</v>
      </c>
      <c r="BO754" t="s">
        <v>74</v>
      </c>
      <c r="BP754" t="s">
        <v>74</v>
      </c>
      <c r="BQ754" t="s">
        <v>74</v>
      </c>
      <c r="BR754" t="s">
        <v>106</v>
      </c>
      <c r="BS754" t="s">
        <v>14210</v>
      </c>
      <c r="BT754" t="str">
        <f>HYPERLINK("https%3A%2F%2Fwww.webofscience.com%2Fwos%2Fwoscc%2Ffull-record%2FWOS:000393631400002","View Full Record in Web of Science")</f>
        <v>View Full Record in Web of Science</v>
      </c>
    </row>
    <row r="755" spans="1:72" x14ac:dyDescent="0.15">
      <c r="A755" t="s">
        <v>72</v>
      </c>
      <c r="B755" t="s">
        <v>14211</v>
      </c>
      <c r="C755" t="s">
        <v>74</v>
      </c>
      <c r="D755" t="s">
        <v>74</v>
      </c>
      <c r="E755" t="s">
        <v>74</v>
      </c>
      <c r="F755" t="s">
        <v>14212</v>
      </c>
      <c r="G755" t="s">
        <v>74</v>
      </c>
      <c r="H755" t="s">
        <v>74</v>
      </c>
      <c r="I755" t="s">
        <v>14213</v>
      </c>
      <c r="J755" t="s">
        <v>2395</v>
      </c>
      <c r="K755" t="s">
        <v>74</v>
      </c>
      <c r="L755" t="s">
        <v>74</v>
      </c>
      <c r="M755" t="s">
        <v>78</v>
      </c>
      <c r="N755" t="s">
        <v>79</v>
      </c>
      <c r="O755" t="s">
        <v>74</v>
      </c>
      <c r="P755" t="s">
        <v>74</v>
      </c>
      <c r="Q755" t="s">
        <v>74</v>
      </c>
      <c r="R755" t="s">
        <v>74</v>
      </c>
      <c r="S755" t="s">
        <v>74</v>
      </c>
      <c r="T755" t="s">
        <v>14214</v>
      </c>
      <c r="U755" t="s">
        <v>14215</v>
      </c>
      <c r="V755" t="s">
        <v>14216</v>
      </c>
      <c r="W755" t="s">
        <v>14217</v>
      </c>
      <c r="X755" t="s">
        <v>14218</v>
      </c>
      <c r="Y755" t="s">
        <v>14219</v>
      </c>
      <c r="Z755" t="s">
        <v>14220</v>
      </c>
      <c r="AA755" t="s">
        <v>14221</v>
      </c>
      <c r="AB755" t="s">
        <v>14222</v>
      </c>
      <c r="AC755" t="s">
        <v>14223</v>
      </c>
      <c r="AD755" t="s">
        <v>14224</v>
      </c>
      <c r="AE755" t="s">
        <v>14225</v>
      </c>
      <c r="AF755" t="s">
        <v>74</v>
      </c>
      <c r="AG755">
        <v>52</v>
      </c>
      <c r="AH755">
        <v>21</v>
      </c>
      <c r="AI755">
        <v>21</v>
      </c>
      <c r="AJ755">
        <v>1</v>
      </c>
      <c r="AK755">
        <v>30</v>
      </c>
      <c r="AL755" t="s">
        <v>374</v>
      </c>
      <c r="AM755" t="s">
        <v>93</v>
      </c>
      <c r="AN755" t="s">
        <v>375</v>
      </c>
      <c r="AO755" t="s">
        <v>2406</v>
      </c>
      <c r="AP755" t="s">
        <v>2407</v>
      </c>
      <c r="AQ755" t="s">
        <v>74</v>
      </c>
      <c r="AR755" t="s">
        <v>2408</v>
      </c>
      <c r="AS755" t="s">
        <v>2409</v>
      </c>
      <c r="AT755" t="s">
        <v>12439</v>
      </c>
      <c r="AU755">
        <v>2017</v>
      </c>
      <c r="AV755">
        <v>69</v>
      </c>
      <c r="AW755" t="s">
        <v>74</v>
      </c>
      <c r="AX755" t="s">
        <v>74</v>
      </c>
      <c r="AY755" t="s">
        <v>74</v>
      </c>
      <c r="AZ755" t="s">
        <v>74</v>
      </c>
      <c r="BA755" t="s">
        <v>74</v>
      </c>
      <c r="BB755">
        <v>50</v>
      </c>
      <c r="BC755">
        <v>56</v>
      </c>
      <c r="BD755" t="s">
        <v>74</v>
      </c>
      <c r="BE755" t="s">
        <v>14226</v>
      </c>
      <c r="BF755" t="str">
        <f>HYPERLINK("http://dx.doi.org/10.1016/j.envsci.2016.12.009","http://dx.doi.org/10.1016/j.envsci.2016.12.009")</f>
        <v>http://dx.doi.org/10.1016/j.envsci.2016.12.009</v>
      </c>
      <c r="BG755" t="s">
        <v>74</v>
      </c>
      <c r="BH755" t="s">
        <v>74</v>
      </c>
      <c r="BI755">
        <v>7</v>
      </c>
      <c r="BJ755" t="s">
        <v>2189</v>
      </c>
      <c r="BK755" t="s">
        <v>103</v>
      </c>
      <c r="BL755" t="s">
        <v>993</v>
      </c>
      <c r="BM755" t="s">
        <v>14227</v>
      </c>
      <c r="BN755" t="s">
        <v>74</v>
      </c>
      <c r="BO755" t="s">
        <v>74</v>
      </c>
      <c r="BP755" t="s">
        <v>74</v>
      </c>
      <c r="BQ755" t="s">
        <v>74</v>
      </c>
      <c r="BR755" t="s">
        <v>106</v>
      </c>
      <c r="BS755" t="s">
        <v>14228</v>
      </c>
      <c r="BT755" t="str">
        <f>HYPERLINK("https%3A%2F%2Fwww.webofscience.com%2Fwos%2Fwoscc%2Ffull-record%2FWOS:000393723400006","View Full Record in Web of Science")</f>
        <v>View Full Record in Web of Science</v>
      </c>
    </row>
    <row r="756" spans="1:72" x14ac:dyDescent="0.15">
      <c r="A756" t="s">
        <v>72</v>
      </c>
      <c r="B756" t="s">
        <v>14229</v>
      </c>
      <c r="C756" t="s">
        <v>74</v>
      </c>
      <c r="D756" t="s">
        <v>74</v>
      </c>
      <c r="E756" t="s">
        <v>74</v>
      </c>
      <c r="F756" t="s">
        <v>14230</v>
      </c>
      <c r="G756" t="s">
        <v>74</v>
      </c>
      <c r="H756" t="s">
        <v>74</v>
      </c>
      <c r="I756" t="s">
        <v>14231</v>
      </c>
      <c r="J756" t="s">
        <v>6505</v>
      </c>
      <c r="K756" t="s">
        <v>74</v>
      </c>
      <c r="L756" t="s">
        <v>74</v>
      </c>
      <c r="M756" t="s">
        <v>78</v>
      </c>
      <c r="N756" t="s">
        <v>79</v>
      </c>
      <c r="O756" t="s">
        <v>74</v>
      </c>
      <c r="P756" t="s">
        <v>74</v>
      </c>
      <c r="Q756" t="s">
        <v>74</v>
      </c>
      <c r="R756" t="s">
        <v>74</v>
      </c>
      <c r="S756" t="s">
        <v>74</v>
      </c>
      <c r="T756" t="s">
        <v>14232</v>
      </c>
      <c r="U756" t="s">
        <v>14233</v>
      </c>
      <c r="V756" t="s">
        <v>14234</v>
      </c>
      <c r="W756" t="s">
        <v>14235</v>
      </c>
      <c r="X756" t="s">
        <v>14236</v>
      </c>
      <c r="Y756" t="s">
        <v>14237</v>
      </c>
      <c r="Z756" t="s">
        <v>14238</v>
      </c>
      <c r="AA756" t="s">
        <v>14239</v>
      </c>
      <c r="AB756" t="s">
        <v>14240</v>
      </c>
      <c r="AC756" t="s">
        <v>14241</v>
      </c>
      <c r="AD756" t="s">
        <v>14242</v>
      </c>
      <c r="AE756" t="s">
        <v>14243</v>
      </c>
      <c r="AF756" t="s">
        <v>74</v>
      </c>
      <c r="AG756">
        <v>62</v>
      </c>
      <c r="AH756">
        <v>45</v>
      </c>
      <c r="AI756">
        <v>47</v>
      </c>
      <c r="AJ756">
        <v>1</v>
      </c>
      <c r="AK756">
        <v>45</v>
      </c>
      <c r="AL756" t="s">
        <v>5879</v>
      </c>
      <c r="AM756" t="s">
        <v>430</v>
      </c>
      <c r="AN756" t="s">
        <v>5880</v>
      </c>
      <c r="AO756" t="s">
        <v>6518</v>
      </c>
      <c r="AP756" t="s">
        <v>6519</v>
      </c>
      <c r="AQ756" t="s">
        <v>74</v>
      </c>
      <c r="AR756" t="s">
        <v>6520</v>
      </c>
      <c r="AS756" t="s">
        <v>6521</v>
      </c>
      <c r="AT756" t="s">
        <v>12439</v>
      </c>
      <c r="AU756">
        <v>2017</v>
      </c>
      <c r="AV756">
        <v>98</v>
      </c>
      <c r="AW756" t="s">
        <v>74</v>
      </c>
      <c r="AX756" t="s">
        <v>74</v>
      </c>
      <c r="AY756" t="s">
        <v>74</v>
      </c>
      <c r="AZ756" t="s">
        <v>74</v>
      </c>
      <c r="BA756" t="s">
        <v>74</v>
      </c>
      <c r="BB756">
        <v>86</v>
      </c>
      <c r="BC756">
        <v>95</v>
      </c>
      <c r="BD756" t="s">
        <v>74</v>
      </c>
      <c r="BE756" t="s">
        <v>14244</v>
      </c>
      <c r="BF756" t="str">
        <f>HYPERLINK("http://dx.doi.org/10.1016/j.enzmictec.2016.12.010","http://dx.doi.org/10.1016/j.enzmictec.2016.12.010")</f>
        <v>http://dx.doi.org/10.1016/j.enzmictec.2016.12.010</v>
      </c>
      <c r="BG756" t="s">
        <v>74</v>
      </c>
      <c r="BH756" t="s">
        <v>74</v>
      </c>
      <c r="BI756">
        <v>10</v>
      </c>
      <c r="BJ756" t="s">
        <v>3566</v>
      </c>
      <c r="BK756" t="s">
        <v>103</v>
      </c>
      <c r="BL756" t="s">
        <v>3566</v>
      </c>
      <c r="BM756" t="s">
        <v>14245</v>
      </c>
      <c r="BN756">
        <v>28110668</v>
      </c>
      <c r="BO756" t="s">
        <v>74</v>
      </c>
      <c r="BP756" t="s">
        <v>74</v>
      </c>
      <c r="BQ756" t="s">
        <v>74</v>
      </c>
      <c r="BR756" t="s">
        <v>106</v>
      </c>
      <c r="BS756" t="s">
        <v>14246</v>
      </c>
      <c r="BT756" t="str">
        <f>HYPERLINK("https%3A%2F%2Fwww.webofscience.com%2Fwos%2Fwoscc%2Ffull-record%2FWOS:000393247700011","View Full Record in Web of Science")</f>
        <v>View Full Record in Web of Science</v>
      </c>
    </row>
    <row r="757" spans="1:72" x14ac:dyDescent="0.15">
      <c r="A757" t="s">
        <v>72</v>
      </c>
      <c r="B757" t="s">
        <v>14247</v>
      </c>
      <c r="C757" t="s">
        <v>74</v>
      </c>
      <c r="D757" t="s">
        <v>74</v>
      </c>
      <c r="E757" t="s">
        <v>74</v>
      </c>
      <c r="F757" t="s">
        <v>14248</v>
      </c>
      <c r="G757" t="s">
        <v>74</v>
      </c>
      <c r="H757" t="s">
        <v>74</v>
      </c>
      <c r="I757" t="s">
        <v>14249</v>
      </c>
      <c r="J757" t="s">
        <v>14250</v>
      </c>
      <c r="K757" t="s">
        <v>74</v>
      </c>
      <c r="L757" t="s">
        <v>74</v>
      </c>
      <c r="M757" t="s">
        <v>78</v>
      </c>
      <c r="N757" t="s">
        <v>79</v>
      </c>
      <c r="O757" t="s">
        <v>74</v>
      </c>
      <c r="P757" t="s">
        <v>74</v>
      </c>
      <c r="Q757" t="s">
        <v>74</v>
      </c>
      <c r="R757" t="s">
        <v>74</v>
      </c>
      <c r="S757" t="s">
        <v>74</v>
      </c>
      <c r="T757" t="s">
        <v>14251</v>
      </c>
      <c r="U757" t="s">
        <v>14252</v>
      </c>
      <c r="V757" t="s">
        <v>14253</v>
      </c>
      <c r="W757" t="s">
        <v>14254</v>
      </c>
      <c r="X757" t="s">
        <v>5066</v>
      </c>
      <c r="Y757" t="s">
        <v>14255</v>
      </c>
      <c r="Z757" t="s">
        <v>14256</v>
      </c>
      <c r="AA757" t="s">
        <v>14257</v>
      </c>
      <c r="AB757" t="s">
        <v>14258</v>
      </c>
      <c r="AC757" t="s">
        <v>14259</v>
      </c>
      <c r="AD757" t="s">
        <v>14260</v>
      </c>
      <c r="AE757" t="s">
        <v>14261</v>
      </c>
      <c r="AF757" t="s">
        <v>74</v>
      </c>
      <c r="AG757">
        <v>25</v>
      </c>
      <c r="AH757">
        <v>3</v>
      </c>
      <c r="AI757">
        <v>4</v>
      </c>
      <c r="AJ757">
        <v>3</v>
      </c>
      <c r="AK757">
        <v>39</v>
      </c>
      <c r="AL757" t="s">
        <v>681</v>
      </c>
      <c r="AM757" t="s">
        <v>682</v>
      </c>
      <c r="AN757" t="s">
        <v>683</v>
      </c>
      <c r="AO757" t="s">
        <v>14262</v>
      </c>
      <c r="AP757" t="s">
        <v>14263</v>
      </c>
      <c r="AQ757" t="s">
        <v>74</v>
      </c>
      <c r="AR757" t="s">
        <v>14264</v>
      </c>
      <c r="AS757" t="s">
        <v>14265</v>
      </c>
      <c r="AT757" t="s">
        <v>12439</v>
      </c>
      <c r="AU757">
        <v>2017</v>
      </c>
      <c r="AV757">
        <v>119</v>
      </c>
      <c r="AW757">
        <v>3</v>
      </c>
      <c r="AX757" t="s">
        <v>74</v>
      </c>
      <c r="AY757" t="s">
        <v>74</v>
      </c>
      <c r="AZ757" t="s">
        <v>74</v>
      </c>
      <c r="BA757" t="s">
        <v>74</v>
      </c>
      <c r="BB757" t="s">
        <v>74</v>
      </c>
      <c r="BC757" t="s">
        <v>74</v>
      </c>
      <c r="BD757">
        <v>1600085</v>
      </c>
      <c r="BE757" t="s">
        <v>14266</v>
      </c>
      <c r="BF757" t="str">
        <f>HYPERLINK("http://dx.doi.org/10.1002/ejlt.201600085","http://dx.doi.org/10.1002/ejlt.201600085")</f>
        <v>http://dx.doi.org/10.1002/ejlt.201600085</v>
      </c>
      <c r="BG757" t="s">
        <v>74</v>
      </c>
      <c r="BH757" t="s">
        <v>74</v>
      </c>
      <c r="BI757">
        <v>8</v>
      </c>
      <c r="BJ757" t="s">
        <v>14267</v>
      </c>
      <c r="BK757" t="s">
        <v>103</v>
      </c>
      <c r="BL757" t="s">
        <v>14267</v>
      </c>
      <c r="BM757" t="s">
        <v>14268</v>
      </c>
      <c r="BN757" t="s">
        <v>74</v>
      </c>
      <c r="BO757" t="s">
        <v>74</v>
      </c>
      <c r="BP757" t="s">
        <v>74</v>
      </c>
      <c r="BQ757" t="s">
        <v>74</v>
      </c>
      <c r="BR757" t="s">
        <v>106</v>
      </c>
      <c r="BS757" t="s">
        <v>14269</v>
      </c>
      <c r="BT757" t="str">
        <f>HYPERLINK("https%3A%2F%2Fwww.webofscience.com%2Fwos%2Fwoscc%2Ffull-record%2FWOS:000395481500009","View Full Record in Web of Science")</f>
        <v>View Full Record in Web of Science</v>
      </c>
    </row>
    <row r="758" spans="1:72" x14ac:dyDescent="0.15">
      <c r="A758" t="s">
        <v>72</v>
      </c>
      <c r="B758" t="s">
        <v>14270</v>
      </c>
      <c r="C758" t="s">
        <v>74</v>
      </c>
      <c r="D758" t="s">
        <v>74</v>
      </c>
      <c r="E758" t="s">
        <v>74</v>
      </c>
      <c r="F758" t="s">
        <v>14271</v>
      </c>
      <c r="G758" t="s">
        <v>74</v>
      </c>
      <c r="H758" t="s">
        <v>74</v>
      </c>
      <c r="I758" t="s">
        <v>14272</v>
      </c>
      <c r="J758" t="s">
        <v>5913</v>
      </c>
      <c r="K758" t="s">
        <v>74</v>
      </c>
      <c r="L758" t="s">
        <v>74</v>
      </c>
      <c r="M758" t="s">
        <v>78</v>
      </c>
      <c r="N758" t="s">
        <v>79</v>
      </c>
      <c r="O758" t="s">
        <v>74</v>
      </c>
      <c r="P758" t="s">
        <v>74</v>
      </c>
      <c r="Q758" t="s">
        <v>74</v>
      </c>
      <c r="R758" t="s">
        <v>74</v>
      </c>
      <c r="S758" t="s">
        <v>74</v>
      </c>
      <c r="T758" t="s">
        <v>14273</v>
      </c>
      <c r="U758" t="s">
        <v>14274</v>
      </c>
      <c r="V758" t="s">
        <v>14275</v>
      </c>
      <c r="W758" t="s">
        <v>14276</v>
      </c>
      <c r="X758" t="s">
        <v>14277</v>
      </c>
      <c r="Y758" t="s">
        <v>14278</v>
      </c>
      <c r="Z758" t="s">
        <v>9950</v>
      </c>
      <c r="AA758" t="s">
        <v>14279</v>
      </c>
      <c r="AB758" t="s">
        <v>14280</v>
      </c>
      <c r="AC758" t="s">
        <v>14281</v>
      </c>
      <c r="AD758" t="s">
        <v>14281</v>
      </c>
      <c r="AE758" t="s">
        <v>14282</v>
      </c>
      <c r="AF758" t="s">
        <v>74</v>
      </c>
      <c r="AG758">
        <v>39</v>
      </c>
      <c r="AH758">
        <v>38</v>
      </c>
      <c r="AI758">
        <v>38</v>
      </c>
      <c r="AJ758">
        <v>1</v>
      </c>
      <c r="AK758">
        <v>18</v>
      </c>
      <c r="AL758" t="s">
        <v>5925</v>
      </c>
      <c r="AM758" t="s">
        <v>5926</v>
      </c>
      <c r="AN758" t="s">
        <v>13229</v>
      </c>
      <c r="AO758" t="s">
        <v>5928</v>
      </c>
      <c r="AP758" t="s">
        <v>5929</v>
      </c>
      <c r="AQ758" t="s">
        <v>74</v>
      </c>
      <c r="AR758" t="s">
        <v>5913</v>
      </c>
      <c r="AS758" t="s">
        <v>5930</v>
      </c>
      <c r="AT758" t="s">
        <v>12439</v>
      </c>
      <c r="AU758">
        <v>2017</v>
      </c>
      <c r="AV758">
        <v>21</v>
      </c>
      <c r="AW758">
        <v>2</v>
      </c>
      <c r="AX758" t="s">
        <v>74</v>
      </c>
      <c r="AY758" t="s">
        <v>74</v>
      </c>
      <c r="AZ758" t="s">
        <v>74</v>
      </c>
      <c r="BA758" t="s">
        <v>74</v>
      </c>
      <c r="BB758">
        <v>409</v>
      </c>
      <c r="BC758">
        <v>418</v>
      </c>
      <c r="BD758" t="s">
        <v>74</v>
      </c>
      <c r="BE758" t="s">
        <v>14283</v>
      </c>
      <c r="BF758" t="str">
        <f>HYPERLINK("http://dx.doi.org/10.1007/s00792-016-0914-y","http://dx.doi.org/10.1007/s00792-016-0914-y")</f>
        <v>http://dx.doi.org/10.1007/s00792-016-0914-y</v>
      </c>
      <c r="BG758" t="s">
        <v>74</v>
      </c>
      <c r="BH758" t="s">
        <v>74</v>
      </c>
      <c r="BI758">
        <v>10</v>
      </c>
      <c r="BJ758" t="s">
        <v>5932</v>
      </c>
      <c r="BK758" t="s">
        <v>103</v>
      </c>
      <c r="BL758" t="s">
        <v>5932</v>
      </c>
      <c r="BM758" t="s">
        <v>13231</v>
      </c>
      <c r="BN758">
        <v>28190121</v>
      </c>
      <c r="BO758" t="s">
        <v>74</v>
      </c>
      <c r="BP758" t="s">
        <v>74</v>
      </c>
      <c r="BQ758" t="s">
        <v>74</v>
      </c>
      <c r="BR758" t="s">
        <v>106</v>
      </c>
      <c r="BS758" t="s">
        <v>14284</v>
      </c>
      <c r="BT758" t="str">
        <f>HYPERLINK("https%3A%2F%2Fwww.webofscience.com%2Fwos%2Fwoscc%2Ffull-record%2FWOS:000397971100016","View Full Record in Web of Science")</f>
        <v>View Full Record in Web of Science</v>
      </c>
    </row>
    <row r="759" spans="1:72" x14ac:dyDescent="0.15">
      <c r="A759" t="s">
        <v>72</v>
      </c>
      <c r="B759" t="s">
        <v>14285</v>
      </c>
      <c r="C759" t="s">
        <v>74</v>
      </c>
      <c r="D759" t="s">
        <v>74</v>
      </c>
      <c r="E759" t="s">
        <v>74</v>
      </c>
      <c r="F759" t="s">
        <v>14286</v>
      </c>
      <c r="G759" t="s">
        <v>74</v>
      </c>
      <c r="H759" t="s">
        <v>74</v>
      </c>
      <c r="I759" t="s">
        <v>14287</v>
      </c>
      <c r="J759" t="s">
        <v>14288</v>
      </c>
      <c r="K759" t="s">
        <v>74</v>
      </c>
      <c r="L759" t="s">
        <v>74</v>
      </c>
      <c r="M759" t="s">
        <v>78</v>
      </c>
      <c r="N759" t="s">
        <v>79</v>
      </c>
      <c r="O759" t="s">
        <v>74</v>
      </c>
      <c r="P759" t="s">
        <v>74</v>
      </c>
      <c r="Q759" t="s">
        <v>74</v>
      </c>
      <c r="R759" t="s">
        <v>74</v>
      </c>
      <c r="S759" t="s">
        <v>74</v>
      </c>
      <c r="T759" t="s">
        <v>14289</v>
      </c>
      <c r="U759" t="s">
        <v>14290</v>
      </c>
      <c r="V759" t="s">
        <v>14291</v>
      </c>
      <c r="W759" t="s">
        <v>14292</v>
      </c>
      <c r="X759" t="s">
        <v>14293</v>
      </c>
      <c r="Y759" t="s">
        <v>14294</v>
      </c>
      <c r="Z759" t="s">
        <v>14295</v>
      </c>
      <c r="AA759" t="s">
        <v>14296</v>
      </c>
      <c r="AB759" t="s">
        <v>14297</v>
      </c>
      <c r="AC759" t="s">
        <v>14298</v>
      </c>
      <c r="AD759" t="s">
        <v>14299</v>
      </c>
      <c r="AE759" t="s">
        <v>14300</v>
      </c>
      <c r="AF759" t="s">
        <v>74</v>
      </c>
      <c r="AG759">
        <v>37</v>
      </c>
      <c r="AH759">
        <v>12</v>
      </c>
      <c r="AI759">
        <v>12</v>
      </c>
      <c r="AJ759">
        <v>4</v>
      </c>
      <c r="AK759">
        <v>35</v>
      </c>
      <c r="AL759" t="s">
        <v>374</v>
      </c>
      <c r="AM759" t="s">
        <v>93</v>
      </c>
      <c r="AN759" t="s">
        <v>375</v>
      </c>
      <c r="AO759" t="s">
        <v>14301</v>
      </c>
      <c r="AP759" t="s">
        <v>14302</v>
      </c>
      <c r="AQ759" t="s">
        <v>74</v>
      </c>
      <c r="AR759" t="s">
        <v>14288</v>
      </c>
      <c r="AS759" t="s">
        <v>14303</v>
      </c>
      <c r="AT759" t="s">
        <v>12439</v>
      </c>
      <c r="AU759">
        <v>2017</v>
      </c>
      <c r="AV759">
        <v>73</v>
      </c>
      <c r="AW759" t="s">
        <v>74</v>
      </c>
      <c r="AX759" t="s">
        <v>14304</v>
      </c>
      <c r="AY759" t="s">
        <v>74</v>
      </c>
      <c r="AZ759" t="s">
        <v>74</v>
      </c>
      <c r="BA759" t="s">
        <v>74</v>
      </c>
      <c r="BB759">
        <v>971</v>
      </c>
      <c r="BC759">
        <v>980</v>
      </c>
      <c r="BD759" t="s">
        <v>74</v>
      </c>
      <c r="BE759" t="s">
        <v>14305</v>
      </c>
      <c r="BF759" t="str">
        <f>HYPERLINK("http://dx.doi.org/10.1016/j.foodcont.2016.10.012","http://dx.doi.org/10.1016/j.foodcont.2016.10.012")</f>
        <v>http://dx.doi.org/10.1016/j.foodcont.2016.10.012</v>
      </c>
      <c r="BG759" t="s">
        <v>74</v>
      </c>
      <c r="BH759" t="s">
        <v>74</v>
      </c>
      <c r="BI759">
        <v>10</v>
      </c>
      <c r="BJ759" t="s">
        <v>2599</v>
      </c>
      <c r="BK759" t="s">
        <v>103</v>
      </c>
      <c r="BL759" t="s">
        <v>2599</v>
      </c>
      <c r="BM759" t="s">
        <v>14306</v>
      </c>
      <c r="BN759" t="s">
        <v>74</v>
      </c>
      <c r="BO759" t="s">
        <v>74</v>
      </c>
      <c r="BP759" t="s">
        <v>74</v>
      </c>
      <c r="BQ759" t="s">
        <v>74</v>
      </c>
      <c r="BR759" t="s">
        <v>106</v>
      </c>
      <c r="BS759" t="s">
        <v>14307</v>
      </c>
      <c r="BT759" t="str">
        <f>HYPERLINK("https%3A%2F%2Fwww.webofscience.com%2Fwos%2Fwoscc%2Ffull-record%2FWOS:000405537400026","View Full Record in Web of Science")</f>
        <v>View Full Record in Web of Science</v>
      </c>
    </row>
    <row r="760" spans="1:72" x14ac:dyDescent="0.15">
      <c r="A760" t="s">
        <v>72</v>
      </c>
      <c r="B760" t="s">
        <v>14308</v>
      </c>
      <c r="C760" t="s">
        <v>74</v>
      </c>
      <c r="D760" t="s">
        <v>74</v>
      </c>
      <c r="E760" t="s">
        <v>74</v>
      </c>
      <c r="F760" t="s">
        <v>14309</v>
      </c>
      <c r="G760" t="s">
        <v>74</v>
      </c>
      <c r="H760" t="s">
        <v>74</v>
      </c>
      <c r="I760" t="s">
        <v>14310</v>
      </c>
      <c r="J760" t="s">
        <v>10400</v>
      </c>
      <c r="K760" t="s">
        <v>74</v>
      </c>
      <c r="L760" t="s">
        <v>74</v>
      </c>
      <c r="M760" t="s">
        <v>78</v>
      </c>
      <c r="N760" t="s">
        <v>79</v>
      </c>
      <c r="O760" t="s">
        <v>74</v>
      </c>
      <c r="P760" t="s">
        <v>74</v>
      </c>
      <c r="Q760" t="s">
        <v>74</v>
      </c>
      <c r="R760" t="s">
        <v>74</v>
      </c>
      <c r="S760" t="s">
        <v>74</v>
      </c>
      <c r="T760" t="s">
        <v>74</v>
      </c>
      <c r="U760" t="s">
        <v>74</v>
      </c>
      <c r="V760" t="s">
        <v>14311</v>
      </c>
      <c r="W760" t="s">
        <v>14312</v>
      </c>
      <c r="X760" t="s">
        <v>14313</v>
      </c>
      <c r="Y760" t="s">
        <v>14314</v>
      </c>
      <c r="Z760" t="s">
        <v>14315</v>
      </c>
      <c r="AA760" t="s">
        <v>74</v>
      </c>
      <c r="AB760" t="s">
        <v>14316</v>
      </c>
      <c r="AC760" t="s">
        <v>14317</v>
      </c>
      <c r="AD760" t="s">
        <v>14318</v>
      </c>
      <c r="AE760" t="s">
        <v>14319</v>
      </c>
      <c r="AF760" t="s">
        <v>74</v>
      </c>
      <c r="AG760">
        <v>12</v>
      </c>
      <c r="AH760">
        <v>3</v>
      </c>
      <c r="AI760">
        <v>3</v>
      </c>
      <c r="AJ760">
        <v>1</v>
      </c>
      <c r="AK760">
        <v>5</v>
      </c>
      <c r="AL760" t="s">
        <v>10412</v>
      </c>
      <c r="AM760" t="s">
        <v>223</v>
      </c>
      <c r="AN760" t="s">
        <v>10413</v>
      </c>
      <c r="AO760" t="s">
        <v>74</v>
      </c>
      <c r="AP760" t="s">
        <v>10414</v>
      </c>
      <c r="AQ760" t="s">
        <v>74</v>
      </c>
      <c r="AR760" t="s">
        <v>10400</v>
      </c>
      <c r="AS760" t="s">
        <v>10415</v>
      </c>
      <c r="AT760" t="s">
        <v>12439</v>
      </c>
      <c r="AU760">
        <v>2017</v>
      </c>
      <c r="AV760">
        <v>5</v>
      </c>
      <c r="AW760">
        <v>12</v>
      </c>
      <c r="AX760" t="s">
        <v>74</v>
      </c>
      <c r="AY760" t="s">
        <v>74</v>
      </c>
      <c r="AZ760" t="s">
        <v>74</v>
      </c>
      <c r="BA760" t="s">
        <v>74</v>
      </c>
      <c r="BB760" t="s">
        <v>74</v>
      </c>
      <c r="BC760" t="s">
        <v>74</v>
      </c>
      <c r="BD760" t="s">
        <v>14320</v>
      </c>
      <c r="BE760" t="s">
        <v>14321</v>
      </c>
      <c r="BF760" t="str">
        <f>HYPERLINK("http://dx.doi.org/10.1128/genomeA.00013-17","http://dx.doi.org/10.1128/genomeA.00013-17")</f>
        <v>http://dx.doi.org/10.1128/genomeA.00013-17</v>
      </c>
      <c r="BG760" t="s">
        <v>74</v>
      </c>
      <c r="BH760" t="s">
        <v>74</v>
      </c>
      <c r="BI760">
        <v>2</v>
      </c>
      <c r="BJ760" t="s">
        <v>410</v>
      </c>
      <c r="BK760" t="s">
        <v>1794</v>
      </c>
      <c r="BL760" t="s">
        <v>410</v>
      </c>
      <c r="BM760" t="s">
        <v>14322</v>
      </c>
      <c r="BN760">
        <v>28336585</v>
      </c>
      <c r="BO760" t="s">
        <v>3118</v>
      </c>
      <c r="BP760" t="s">
        <v>74</v>
      </c>
      <c r="BQ760" t="s">
        <v>74</v>
      </c>
      <c r="BR760" t="s">
        <v>106</v>
      </c>
      <c r="BS760" t="s">
        <v>14323</v>
      </c>
      <c r="BT760" t="str">
        <f>HYPERLINK("https%3A%2F%2Fwww.webofscience.com%2Fwos%2Fwoscc%2Ffull-record%2FWOS:000460689100002","View Full Record in Web of Science")</f>
        <v>View Full Record in Web of Science</v>
      </c>
    </row>
    <row r="761" spans="1:72" x14ac:dyDescent="0.15">
      <c r="A761" t="s">
        <v>72</v>
      </c>
      <c r="B761" t="s">
        <v>14324</v>
      </c>
      <c r="C761" t="s">
        <v>74</v>
      </c>
      <c r="D761" t="s">
        <v>74</v>
      </c>
      <c r="E761" t="s">
        <v>74</v>
      </c>
      <c r="F761" t="s">
        <v>14325</v>
      </c>
      <c r="G761" t="s">
        <v>74</v>
      </c>
      <c r="H761" t="s">
        <v>74</v>
      </c>
      <c r="I761" t="s">
        <v>14326</v>
      </c>
      <c r="J761" t="s">
        <v>10400</v>
      </c>
      <c r="K761" t="s">
        <v>74</v>
      </c>
      <c r="L761" t="s">
        <v>74</v>
      </c>
      <c r="M761" t="s">
        <v>78</v>
      </c>
      <c r="N761" t="s">
        <v>79</v>
      </c>
      <c r="O761" t="s">
        <v>74</v>
      </c>
      <c r="P761" t="s">
        <v>74</v>
      </c>
      <c r="Q761" t="s">
        <v>74</v>
      </c>
      <c r="R761" t="s">
        <v>74</v>
      </c>
      <c r="S761" t="s">
        <v>74</v>
      </c>
      <c r="T761" t="s">
        <v>74</v>
      </c>
      <c r="U761" t="s">
        <v>74</v>
      </c>
      <c r="V761" t="s">
        <v>14327</v>
      </c>
      <c r="W761" t="s">
        <v>14328</v>
      </c>
      <c r="X761" t="s">
        <v>1781</v>
      </c>
      <c r="Y761" t="s">
        <v>14329</v>
      </c>
      <c r="Z761" t="s">
        <v>14330</v>
      </c>
      <c r="AA761" t="s">
        <v>13975</v>
      </c>
      <c r="AB761" t="s">
        <v>14331</v>
      </c>
      <c r="AC761" t="s">
        <v>74</v>
      </c>
      <c r="AD761" t="s">
        <v>74</v>
      </c>
      <c r="AE761" t="s">
        <v>74</v>
      </c>
      <c r="AF761" t="s">
        <v>74</v>
      </c>
      <c r="AG761">
        <v>10</v>
      </c>
      <c r="AH761">
        <v>3</v>
      </c>
      <c r="AI761">
        <v>3</v>
      </c>
      <c r="AJ761">
        <v>1</v>
      </c>
      <c r="AK761">
        <v>1</v>
      </c>
      <c r="AL761" t="s">
        <v>10412</v>
      </c>
      <c r="AM761" t="s">
        <v>223</v>
      </c>
      <c r="AN761" t="s">
        <v>10413</v>
      </c>
      <c r="AO761" t="s">
        <v>74</v>
      </c>
      <c r="AP761" t="s">
        <v>10414</v>
      </c>
      <c r="AQ761" t="s">
        <v>74</v>
      </c>
      <c r="AR761" t="s">
        <v>10400</v>
      </c>
      <c r="AS761" t="s">
        <v>10415</v>
      </c>
      <c r="AT761" t="s">
        <v>12439</v>
      </c>
      <c r="AU761">
        <v>2017</v>
      </c>
      <c r="AV761">
        <v>5</v>
      </c>
      <c r="AW761">
        <v>10</v>
      </c>
      <c r="AX761" t="s">
        <v>74</v>
      </c>
      <c r="AY761" t="s">
        <v>74</v>
      </c>
      <c r="AZ761" t="s">
        <v>74</v>
      </c>
      <c r="BA761" t="s">
        <v>74</v>
      </c>
      <c r="BB761" t="s">
        <v>74</v>
      </c>
      <c r="BC761" t="s">
        <v>74</v>
      </c>
      <c r="BD761" t="s">
        <v>14332</v>
      </c>
      <c r="BE761" t="s">
        <v>14333</v>
      </c>
      <c r="BF761" t="str">
        <f>HYPERLINK("http://dx.doi.org/10.1128/genomeA.01747-16","http://dx.doi.org/10.1128/genomeA.01747-16")</f>
        <v>http://dx.doi.org/10.1128/genomeA.01747-16</v>
      </c>
      <c r="BG761" t="s">
        <v>74</v>
      </c>
      <c r="BH761" t="s">
        <v>74</v>
      </c>
      <c r="BI761">
        <v>2</v>
      </c>
      <c r="BJ761" t="s">
        <v>410</v>
      </c>
      <c r="BK761" t="s">
        <v>1794</v>
      </c>
      <c r="BL761" t="s">
        <v>410</v>
      </c>
      <c r="BM761" t="s">
        <v>14334</v>
      </c>
      <c r="BN761">
        <v>28280030</v>
      </c>
      <c r="BO761" t="s">
        <v>3118</v>
      </c>
      <c r="BP761" t="s">
        <v>74</v>
      </c>
      <c r="BQ761" t="s">
        <v>74</v>
      </c>
      <c r="BR761" t="s">
        <v>106</v>
      </c>
      <c r="BS761" t="s">
        <v>14335</v>
      </c>
      <c r="BT761" t="str">
        <f>HYPERLINK("https%3A%2F%2Fwww.webofscience.com%2Fwos%2Fwoscc%2Ffull-record%2FWOS:000460685400025","View Full Record in Web of Science")</f>
        <v>View Full Record in Web of Science</v>
      </c>
    </row>
    <row r="762" spans="1:72" x14ac:dyDescent="0.15">
      <c r="A762" t="s">
        <v>72</v>
      </c>
      <c r="B762" t="s">
        <v>14336</v>
      </c>
      <c r="C762" t="s">
        <v>74</v>
      </c>
      <c r="D762" t="s">
        <v>74</v>
      </c>
      <c r="E762" t="s">
        <v>74</v>
      </c>
      <c r="F762" t="s">
        <v>14337</v>
      </c>
      <c r="G762" t="s">
        <v>74</v>
      </c>
      <c r="H762" t="s">
        <v>74</v>
      </c>
      <c r="I762" t="s">
        <v>14338</v>
      </c>
      <c r="J762" t="s">
        <v>14339</v>
      </c>
      <c r="K762" t="s">
        <v>74</v>
      </c>
      <c r="L762" t="s">
        <v>74</v>
      </c>
      <c r="M762" t="s">
        <v>78</v>
      </c>
      <c r="N762" t="s">
        <v>79</v>
      </c>
      <c r="O762" t="s">
        <v>74</v>
      </c>
      <c r="P762" t="s">
        <v>74</v>
      </c>
      <c r="Q762" t="s">
        <v>74</v>
      </c>
      <c r="R762" t="s">
        <v>74</v>
      </c>
      <c r="S762" t="s">
        <v>74</v>
      </c>
      <c r="T762" t="s">
        <v>74</v>
      </c>
      <c r="U762" t="s">
        <v>14340</v>
      </c>
      <c r="V762" t="s">
        <v>14341</v>
      </c>
      <c r="W762" t="s">
        <v>14342</v>
      </c>
      <c r="X762" t="s">
        <v>14343</v>
      </c>
      <c r="Y762" t="s">
        <v>2421</v>
      </c>
      <c r="Z762" t="s">
        <v>14344</v>
      </c>
      <c r="AA762" t="s">
        <v>2423</v>
      </c>
      <c r="AB762" t="s">
        <v>14345</v>
      </c>
      <c r="AC762" t="s">
        <v>14346</v>
      </c>
      <c r="AD762" t="s">
        <v>14347</v>
      </c>
      <c r="AE762" t="s">
        <v>14348</v>
      </c>
      <c r="AF762" t="s">
        <v>74</v>
      </c>
      <c r="AG762">
        <v>96</v>
      </c>
      <c r="AH762">
        <v>30</v>
      </c>
      <c r="AI762">
        <v>33</v>
      </c>
      <c r="AJ762">
        <v>1</v>
      </c>
      <c r="AK762">
        <v>53</v>
      </c>
      <c r="AL762" t="s">
        <v>5029</v>
      </c>
      <c r="AM762" t="s">
        <v>5030</v>
      </c>
      <c r="AN762" t="s">
        <v>5031</v>
      </c>
      <c r="AO762" t="s">
        <v>14349</v>
      </c>
      <c r="AP762" t="s">
        <v>14350</v>
      </c>
      <c r="AQ762" t="s">
        <v>74</v>
      </c>
      <c r="AR762" t="s">
        <v>14351</v>
      </c>
      <c r="AS762" t="s">
        <v>14352</v>
      </c>
      <c r="AT762" t="s">
        <v>14353</v>
      </c>
      <c r="AU762">
        <v>2017</v>
      </c>
      <c r="AV762">
        <v>129</v>
      </c>
      <c r="AW762" t="s">
        <v>14354</v>
      </c>
      <c r="AX762" t="s">
        <v>74</v>
      </c>
      <c r="AY762" t="s">
        <v>74</v>
      </c>
      <c r="AZ762" t="s">
        <v>74</v>
      </c>
      <c r="BA762" t="s">
        <v>74</v>
      </c>
      <c r="BB762">
        <v>318</v>
      </c>
      <c r="BC762">
        <v>330</v>
      </c>
      <c r="BD762" t="s">
        <v>74</v>
      </c>
      <c r="BE762" t="s">
        <v>14355</v>
      </c>
      <c r="BF762" t="str">
        <f>HYPERLINK("http://dx.doi.org/10.1130/B31482.1","http://dx.doi.org/10.1130/B31482.1")</f>
        <v>http://dx.doi.org/10.1130/B31482.1</v>
      </c>
      <c r="BG762" t="s">
        <v>74</v>
      </c>
      <c r="BH762" t="s">
        <v>74</v>
      </c>
      <c r="BI762">
        <v>13</v>
      </c>
      <c r="BJ762" t="s">
        <v>437</v>
      </c>
      <c r="BK762" t="s">
        <v>103</v>
      </c>
      <c r="BL762" t="s">
        <v>438</v>
      </c>
      <c r="BM762" t="s">
        <v>14356</v>
      </c>
      <c r="BN762" t="s">
        <v>74</v>
      </c>
      <c r="BO762" t="s">
        <v>1100</v>
      </c>
      <c r="BP762" t="s">
        <v>74</v>
      </c>
      <c r="BQ762" t="s">
        <v>74</v>
      </c>
      <c r="BR762" t="s">
        <v>106</v>
      </c>
      <c r="BS762" t="s">
        <v>14357</v>
      </c>
      <c r="BT762" t="str">
        <f>HYPERLINK("https%3A%2F%2Fwww.webofscience.com%2Fwos%2Fwoscc%2Ffull-record%2FWOS:000396813200005","View Full Record in Web of Science")</f>
        <v>View Full Record in Web of Science</v>
      </c>
    </row>
    <row r="763" spans="1:72" x14ac:dyDescent="0.15">
      <c r="A763" t="s">
        <v>72</v>
      </c>
      <c r="B763" t="s">
        <v>14358</v>
      </c>
      <c r="C763" t="s">
        <v>74</v>
      </c>
      <c r="D763" t="s">
        <v>74</v>
      </c>
      <c r="E763" t="s">
        <v>74</v>
      </c>
      <c r="F763" t="s">
        <v>14359</v>
      </c>
      <c r="G763" t="s">
        <v>74</v>
      </c>
      <c r="H763" t="s">
        <v>74</v>
      </c>
      <c r="I763" t="s">
        <v>14360</v>
      </c>
      <c r="J763" t="s">
        <v>14361</v>
      </c>
      <c r="K763" t="s">
        <v>74</v>
      </c>
      <c r="L763" t="s">
        <v>74</v>
      </c>
      <c r="M763" t="s">
        <v>78</v>
      </c>
      <c r="N763" t="s">
        <v>79</v>
      </c>
      <c r="O763" t="s">
        <v>74</v>
      </c>
      <c r="P763" t="s">
        <v>74</v>
      </c>
      <c r="Q763" t="s">
        <v>74</v>
      </c>
      <c r="R763" t="s">
        <v>74</v>
      </c>
      <c r="S763" t="s">
        <v>74</v>
      </c>
      <c r="T763" t="s">
        <v>74</v>
      </c>
      <c r="U763" t="s">
        <v>14362</v>
      </c>
      <c r="V763" t="s">
        <v>14363</v>
      </c>
      <c r="W763" t="s">
        <v>14364</v>
      </c>
      <c r="X763" t="s">
        <v>14365</v>
      </c>
      <c r="Y763" t="s">
        <v>14366</v>
      </c>
      <c r="Z763" t="s">
        <v>14367</v>
      </c>
      <c r="AA763" t="s">
        <v>14368</v>
      </c>
      <c r="AB763" t="s">
        <v>14369</v>
      </c>
      <c r="AC763" t="s">
        <v>14370</v>
      </c>
      <c r="AD763" t="s">
        <v>14371</v>
      </c>
      <c r="AE763" t="s">
        <v>14372</v>
      </c>
      <c r="AF763" t="s">
        <v>74</v>
      </c>
      <c r="AG763">
        <v>24</v>
      </c>
      <c r="AH763">
        <v>4</v>
      </c>
      <c r="AI763">
        <v>5</v>
      </c>
      <c r="AJ763">
        <v>0</v>
      </c>
      <c r="AK763">
        <v>8</v>
      </c>
      <c r="AL763" t="s">
        <v>429</v>
      </c>
      <c r="AM763" t="s">
        <v>430</v>
      </c>
      <c r="AN763" t="s">
        <v>431</v>
      </c>
      <c r="AO763" t="s">
        <v>14373</v>
      </c>
      <c r="AP763" t="s">
        <v>14374</v>
      </c>
      <c r="AQ763" t="s">
        <v>74</v>
      </c>
      <c r="AR763" t="s">
        <v>14375</v>
      </c>
      <c r="AS763" t="s">
        <v>14376</v>
      </c>
      <c r="AT763" t="s">
        <v>12439</v>
      </c>
      <c r="AU763">
        <v>2017</v>
      </c>
      <c r="AV763">
        <v>57</v>
      </c>
      <c r="AW763">
        <v>2</v>
      </c>
      <c r="AX763" t="s">
        <v>74</v>
      </c>
      <c r="AY763" t="s">
        <v>74</v>
      </c>
      <c r="AZ763" t="s">
        <v>74</v>
      </c>
      <c r="BA763" t="s">
        <v>74</v>
      </c>
      <c r="BB763">
        <v>156</v>
      </c>
      <c r="BC763">
        <v>176</v>
      </c>
      <c r="BD763" t="s">
        <v>74</v>
      </c>
      <c r="BE763" t="s">
        <v>14377</v>
      </c>
      <c r="BF763" t="str">
        <f>HYPERLINK("http://dx.doi.org/10.1134/S0016793217020074","http://dx.doi.org/10.1134/S0016793217020074")</f>
        <v>http://dx.doi.org/10.1134/S0016793217020074</v>
      </c>
      <c r="BG763" t="s">
        <v>74</v>
      </c>
      <c r="BH763" t="s">
        <v>74</v>
      </c>
      <c r="BI763">
        <v>21</v>
      </c>
      <c r="BJ763" t="s">
        <v>176</v>
      </c>
      <c r="BK763" t="s">
        <v>103</v>
      </c>
      <c r="BL763" t="s">
        <v>176</v>
      </c>
      <c r="BM763" t="s">
        <v>14378</v>
      </c>
      <c r="BN763" t="s">
        <v>74</v>
      </c>
      <c r="BO763" t="s">
        <v>74</v>
      </c>
      <c r="BP763" t="s">
        <v>74</v>
      </c>
      <c r="BQ763" t="s">
        <v>74</v>
      </c>
      <c r="BR763" t="s">
        <v>106</v>
      </c>
      <c r="BS763" t="s">
        <v>14379</v>
      </c>
      <c r="BT763" t="str">
        <f>HYPERLINK("https%3A%2F%2Fwww.webofscience.com%2Fwos%2Fwoscc%2Ffull-record%2FWOS:000399738400005","View Full Record in Web of Science")</f>
        <v>View Full Record in Web of Science</v>
      </c>
    </row>
    <row r="764" spans="1:72" x14ac:dyDescent="0.15">
      <c r="A764" t="s">
        <v>72</v>
      </c>
      <c r="B764" t="s">
        <v>14380</v>
      </c>
      <c r="C764" t="s">
        <v>74</v>
      </c>
      <c r="D764" t="s">
        <v>74</v>
      </c>
      <c r="E764" t="s">
        <v>74</v>
      </c>
      <c r="F764" t="s">
        <v>14381</v>
      </c>
      <c r="G764" t="s">
        <v>74</v>
      </c>
      <c r="H764" t="s">
        <v>74</v>
      </c>
      <c r="I764" t="s">
        <v>14382</v>
      </c>
      <c r="J764" t="s">
        <v>7870</v>
      </c>
      <c r="K764" t="s">
        <v>74</v>
      </c>
      <c r="L764" t="s">
        <v>74</v>
      </c>
      <c r="M764" t="s">
        <v>78</v>
      </c>
      <c r="N764" t="s">
        <v>79</v>
      </c>
      <c r="O764" t="s">
        <v>74</v>
      </c>
      <c r="P764" t="s">
        <v>74</v>
      </c>
      <c r="Q764" t="s">
        <v>74</v>
      </c>
      <c r="R764" t="s">
        <v>74</v>
      </c>
      <c r="S764" t="s">
        <v>74</v>
      </c>
      <c r="T764" t="s">
        <v>14383</v>
      </c>
      <c r="U764" t="s">
        <v>14384</v>
      </c>
      <c r="V764" t="s">
        <v>14385</v>
      </c>
      <c r="W764" t="s">
        <v>14386</v>
      </c>
      <c r="X764" t="s">
        <v>14387</v>
      </c>
      <c r="Y764" t="s">
        <v>14388</v>
      </c>
      <c r="Z764" t="s">
        <v>14389</v>
      </c>
      <c r="AA764" t="s">
        <v>74</v>
      </c>
      <c r="AB764" t="s">
        <v>74</v>
      </c>
      <c r="AC764" t="s">
        <v>14390</v>
      </c>
      <c r="AD764" t="s">
        <v>14391</v>
      </c>
      <c r="AE764" t="s">
        <v>14392</v>
      </c>
      <c r="AF764" t="s">
        <v>74</v>
      </c>
      <c r="AG764">
        <v>74</v>
      </c>
      <c r="AH764">
        <v>9</v>
      </c>
      <c r="AI764">
        <v>11</v>
      </c>
      <c r="AJ764">
        <v>0</v>
      </c>
      <c r="AK764">
        <v>26</v>
      </c>
      <c r="AL764" t="s">
        <v>1141</v>
      </c>
      <c r="AM764" t="s">
        <v>318</v>
      </c>
      <c r="AN764" t="s">
        <v>1142</v>
      </c>
      <c r="AO764" t="s">
        <v>7882</v>
      </c>
      <c r="AP764" t="s">
        <v>7883</v>
      </c>
      <c r="AQ764" t="s">
        <v>74</v>
      </c>
      <c r="AR764" t="s">
        <v>7870</v>
      </c>
      <c r="AS764" t="s">
        <v>7884</v>
      </c>
      <c r="AT764" t="s">
        <v>12516</v>
      </c>
      <c r="AU764">
        <v>2017</v>
      </c>
      <c r="AV764">
        <v>280</v>
      </c>
      <c r="AW764" t="s">
        <v>74</v>
      </c>
      <c r="AX764" t="s">
        <v>74</v>
      </c>
      <c r="AY764" t="s">
        <v>74</v>
      </c>
      <c r="AZ764" t="s">
        <v>74</v>
      </c>
      <c r="BA764" t="s">
        <v>74</v>
      </c>
      <c r="BB764">
        <v>89</v>
      </c>
      <c r="BC764">
        <v>107</v>
      </c>
      <c r="BD764" t="s">
        <v>74</v>
      </c>
      <c r="BE764" t="s">
        <v>14393</v>
      </c>
      <c r="BF764" t="str">
        <f>HYPERLINK("http://dx.doi.org/10.1016/j.geomorph.2016.11.022","http://dx.doi.org/10.1016/j.geomorph.2016.11.022")</f>
        <v>http://dx.doi.org/10.1016/j.geomorph.2016.11.022</v>
      </c>
      <c r="BG764" t="s">
        <v>74</v>
      </c>
      <c r="BH764" t="s">
        <v>74</v>
      </c>
      <c r="BI764">
        <v>19</v>
      </c>
      <c r="BJ764" t="s">
        <v>1338</v>
      </c>
      <c r="BK764" t="s">
        <v>103</v>
      </c>
      <c r="BL764" t="s">
        <v>1339</v>
      </c>
      <c r="BM764" t="s">
        <v>14394</v>
      </c>
      <c r="BN764" t="s">
        <v>74</v>
      </c>
      <c r="BO764" t="s">
        <v>74</v>
      </c>
      <c r="BP764" t="s">
        <v>74</v>
      </c>
      <c r="BQ764" t="s">
        <v>74</v>
      </c>
      <c r="BR764" t="s">
        <v>106</v>
      </c>
      <c r="BS764" t="s">
        <v>14395</v>
      </c>
      <c r="BT764" t="str">
        <f>HYPERLINK("https%3A%2F%2Fwww.webofscience.com%2Fwos%2Fwoscc%2Ffull-record%2FWOS:000393931400008","View Full Record in Web of Science")</f>
        <v>View Full Record in Web of Science</v>
      </c>
    </row>
    <row r="765" spans="1:72" x14ac:dyDescent="0.15">
      <c r="A765" t="s">
        <v>72</v>
      </c>
      <c r="B765" t="s">
        <v>14396</v>
      </c>
      <c r="C765" t="s">
        <v>74</v>
      </c>
      <c r="D765" t="s">
        <v>74</v>
      </c>
      <c r="E765" t="s">
        <v>74</v>
      </c>
      <c r="F765" t="s">
        <v>14397</v>
      </c>
      <c r="G765" t="s">
        <v>74</v>
      </c>
      <c r="H765" t="s">
        <v>74</v>
      </c>
      <c r="I765" t="s">
        <v>14398</v>
      </c>
      <c r="J765" t="s">
        <v>14399</v>
      </c>
      <c r="K765" t="s">
        <v>74</v>
      </c>
      <c r="L765" t="s">
        <v>74</v>
      </c>
      <c r="M765" t="s">
        <v>78</v>
      </c>
      <c r="N765" t="s">
        <v>79</v>
      </c>
      <c r="O765" t="s">
        <v>74</v>
      </c>
      <c r="P765" t="s">
        <v>74</v>
      </c>
      <c r="Q765" t="s">
        <v>74</v>
      </c>
      <c r="R765" t="s">
        <v>74</v>
      </c>
      <c r="S765" t="s">
        <v>74</v>
      </c>
      <c r="T765" t="s">
        <v>14400</v>
      </c>
      <c r="U765" t="s">
        <v>14401</v>
      </c>
      <c r="V765" t="s">
        <v>14402</v>
      </c>
      <c r="W765" t="s">
        <v>14403</v>
      </c>
      <c r="X765" t="s">
        <v>14404</v>
      </c>
      <c r="Y765" t="s">
        <v>14405</v>
      </c>
      <c r="Z765" t="s">
        <v>14406</v>
      </c>
      <c r="AA765" t="s">
        <v>74</v>
      </c>
      <c r="AB765" t="s">
        <v>14407</v>
      </c>
      <c r="AC765" t="s">
        <v>14408</v>
      </c>
      <c r="AD765" t="s">
        <v>14409</v>
      </c>
      <c r="AE765" t="s">
        <v>14410</v>
      </c>
      <c r="AF765" t="s">
        <v>74</v>
      </c>
      <c r="AG765">
        <v>23</v>
      </c>
      <c r="AH765">
        <v>6</v>
      </c>
      <c r="AI765">
        <v>6</v>
      </c>
      <c r="AJ765">
        <v>0</v>
      </c>
      <c r="AK765">
        <v>6</v>
      </c>
      <c r="AL765" t="s">
        <v>681</v>
      </c>
      <c r="AM765" t="s">
        <v>682</v>
      </c>
      <c r="AN765" t="s">
        <v>683</v>
      </c>
      <c r="AO765" t="s">
        <v>14411</v>
      </c>
      <c r="AP765" t="s">
        <v>14412</v>
      </c>
      <c r="AQ765" t="s">
        <v>74</v>
      </c>
      <c r="AR765" t="s">
        <v>14413</v>
      </c>
      <c r="AS765" t="s">
        <v>14414</v>
      </c>
      <c r="AT765" t="s">
        <v>12439</v>
      </c>
      <c r="AU765">
        <v>2017</v>
      </c>
      <c r="AV765">
        <v>41</v>
      </c>
      <c r="AW765">
        <v>1</v>
      </c>
      <c r="AX765" t="s">
        <v>74</v>
      </c>
      <c r="AY765" t="s">
        <v>74</v>
      </c>
      <c r="AZ765" t="s">
        <v>74</v>
      </c>
      <c r="BA765" t="s">
        <v>74</v>
      </c>
      <c r="BB765">
        <v>63</v>
      </c>
      <c r="BC765">
        <v>68</v>
      </c>
      <c r="BD765" t="s">
        <v>74</v>
      </c>
      <c r="BE765" t="s">
        <v>14415</v>
      </c>
      <c r="BF765" t="str">
        <f>HYPERLINK("http://dx.doi.org/10.1111/ggr.12135","http://dx.doi.org/10.1111/ggr.12135")</f>
        <v>http://dx.doi.org/10.1111/ggr.12135</v>
      </c>
      <c r="BG765" t="s">
        <v>74</v>
      </c>
      <c r="BH765" t="s">
        <v>74</v>
      </c>
      <c r="BI765">
        <v>6</v>
      </c>
      <c r="BJ765" t="s">
        <v>176</v>
      </c>
      <c r="BK765" t="s">
        <v>103</v>
      </c>
      <c r="BL765" t="s">
        <v>176</v>
      </c>
      <c r="BM765" t="s">
        <v>14416</v>
      </c>
      <c r="BN765" t="s">
        <v>74</v>
      </c>
      <c r="BO765" t="s">
        <v>74</v>
      </c>
      <c r="BP765" t="s">
        <v>74</v>
      </c>
      <c r="BQ765" t="s">
        <v>74</v>
      </c>
      <c r="BR765" t="s">
        <v>106</v>
      </c>
      <c r="BS765" t="s">
        <v>14417</v>
      </c>
      <c r="BT765" t="str">
        <f>HYPERLINK("https%3A%2F%2Fwww.webofscience.com%2Fwos%2Fwoscc%2Ffull-record%2FWOS:000395009500004","View Full Record in Web of Science")</f>
        <v>View Full Record in Web of Science</v>
      </c>
    </row>
    <row r="766" spans="1:72" x14ac:dyDescent="0.15">
      <c r="A766" t="s">
        <v>72</v>
      </c>
      <c r="B766" t="s">
        <v>14418</v>
      </c>
      <c r="C766" t="s">
        <v>74</v>
      </c>
      <c r="D766" t="s">
        <v>74</v>
      </c>
      <c r="E766" t="s">
        <v>74</v>
      </c>
      <c r="F766" t="s">
        <v>14419</v>
      </c>
      <c r="G766" t="s">
        <v>74</v>
      </c>
      <c r="H766" t="s">
        <v>74</v>
      </c>
      <c r="I766" t="s">
        <v>14420</v>
      </c>
      <c r="J766" t="s">
        <v>6562</v>
      </c>
      <c r="K766" t="s">
        <v>74</v>
      </c>
      <c r="L766" t="s">
        <v>74</v>
      </c>
      <c r="M766" t="s">
        <v>78</v>
      </c>
      <c r="N766" t="s">
        <v>79</v>
      </c>
      <c r="O766" t="s">
        <v>74</v>
      </c>
      <c r="P766" t="s">
        <v>74</v>
      </c>
      <c r="Q766" t="s">
        <v>74</v>
      </c>
      <c r="R766" t="s">
        <v>74</v>
      </c>
      <c r="S766" t="s">
        <v>74</v>
      </c>
      <c r="T766" t="s">
        <v>74</v>
      </c>
      <c r="U766" t="s">
        <v>14421</v>
      </c>
      <c r="V766" t="s">
        <v>14422</v>
      </c>
      <c r="W766" t="s">
        <v>14423</v>
      </c>
      <c r="X766" t="s">
        <v>14424</v>
      </c>
      <c r="Y766" t="s">
        <v>14425</v>
      </c>
      <c r="Z766" t="s">
        <v>14426</v>
      </c>
      <c r="AA766" t="s">
        <v>14427</v>
      </c>
      <c r="AB766" t="s">
        <v>14428</v>
      </c>
      <c r="AC766" t="s">
        <v>14429</v>
      </c>
      <c r="AD766" t="s">
        <v>14430</v>
      </c>
      <c r="AE766" t="s">
        <v>14431</v>
      </c>
      <c r="AF766" t="s">
        <v>74</v>
      </c>
      <c r="AG766">
        <v>45</v>
      </c>
      <c r="AH766">
        <v>92</v>
      </c>
      <c r="AI766">
        <v>102</v>
      </c>
      <c r="AJ766">
        <v>0</v>
      </c>
      <c r="AK766">
        <v>36</v>
      </c>
      <c r="AL766" t="s">
        <v>222</v>
      </c>
      <c r="AM766" t="s">
        <v>223</v>
      </c>
      <c r="AN766" t="s">
        <v>224</v>
      </c>
      <c r="AO766" t="s">
        <v>6574</v>
      </c>
      <c r="AP766" t="s">
        <v>6575</v>
      </c>
      <c r="AQ766" t="s">
        <v>74</v>
      </c>
      <c r="AR766" t="s">
        <v>6576</v>
      </c>
      <c r="AS766" t="s">
        <v>6577</v>
      </c>
      <c r="AT766" t="s">
        <v>12439</v>
      </c>
      <c r="AU766">
        <v>2017</v>
      </c>
      <c r="AV766">
        <v>31</v>
      </c>
      <c r="AW766">
        <v>3</v>
      </c>
      <c r="AX766" t="s">
        <v>74</v>
      </c>
      <c r="AY766" t="s">
        <v>74</v>
      </c>
      <c r="AZ766" t="s">
        <v>74</v>
      </c>
      <c r="BA766" t="s">
        <v>74</v>
      </c>
      <c r="BB766">
        <v>591</v>
      </c>
      <c r="BC766">
        <v>604</v>
      </c>
      <c r="BD766" t="s">
        <v>74</v>
      </c>
      <c r="BE766" t="s">
        <v>14432</v>
      </c>
      <c r="BF766" t="str">
        <f>HYPERLINK("http://dx.doi.org/10.1002/2016GB005541","http://dx.doi.org/10.1002/2016GB005541")</f>
        <v>http://dx.doi.org/10.1002/2016GB005541</v>
      </c>
      <c r="BG766" t="s">
        <v>74</v>
      </c>
      <c r="BH766" t="s">
        <v>74</v>
      </c>
      <c r="BI766">
        <v>14</v>
      </c>
      <c r="BJ766" t="s">
        <v>6579</v>
      </c>
      <c r="BK766" t="s">
        <v>103</v>
      </c>
      <c r="BL766" t="s">
        <v>6580</v>
      </c>
      <c r="BM766" t="s">
        <v>12587</v>
      </c>
      <c r="BN766" t="s">
        <v>74</v>
      </c>
      <c r="BO766" t="s">
        <v>3371</v>
      </c>
      <c r="BP766" t="s">
        <v>74</v>
      </c>
      <c r="BQ766" t="s">
        <v>74</v>
      </c>
      <c r="BR766" t="s">
        <v>106</v>
      </c>
      <c r="BS766" t="s">
        <v>14433</v>
      </c>
      <c r="BT766" t="str">
        <f>HYPERLINK("https%3A%2F%2Fwww.webofscience.com%2Fwos%2Fwoscc%2Ffull-record%2FWOS:000400695400009","View Full Record in Web of Science")</f>
        <v>View Full Record in Web of Science</v>
      </c>
    </row>
    <row r="767" spans="1:72" x14ac:dyDescent="0.15">
      <c r="A767" t="s">
        <v>72</v>
      </c>
      <c r="B767" t="s">
        <v>14434</v>
      </c>
      <c r="C767" t="s">
        <v>74</v>
      </c>
      <c r="D767" t="s">
        <v>74</v>
      </c>
      <c r="E767" t="s">
        <v>74</v>
      </c>
      <c r="F767" t="s">
        <v>14435</v>
      </c>
      <c r="G767" t="s">
        <v>74</v>
      </c>
      <c r="H767" t="s">
        <v>74</v>
      </c>
      <c r="I767" t="s">
        <v>14436</v>
      </c>
      <c r="J767" t="s">
        <v>14437</v>
      </c>
      <c r="K767" t="s">
        <v>74</v>
      </c>
      <c r="L767" t="s">
        <v>74</v>
      </c>
      <c r="M767" t="s">
        <v>78</v>
      </c>
      <c r="N767" t="s">
        <v>79</v>
      </c>
      <c r="O767" t="s">
        <v>74</v>
      </c>
      <c r="P767" t="s">
        <v>74</v>
      </c>
      <c r="Q767" t="s">
        <v>74</v>
      </c>
      <c r="R767" t="s">
        <v>74</v>
      </c>
      <c r="S767" t="s">
        <v>74</v>
      </c>
      <c r="T767" t="s">
        <v>14438</v>
      </c>
      <c r="U767" t="s">
        <v>14439</v>
      </c>
      <c r="V767" t="s">
        <v>14440</v>
      </c>
      <c r="W767" t="s">
        <v>14441</v>
      </c>
      <c r="X767" t="s">
        <v>14442</v>
      </c>
      <c r="Y767" t="s">
        <v>14443</v>
      </c>
      <c r="Z767" t="s">
        <v>14444</v>
      </c>
      <c r="AA767" t="s">
        <v>14445</v>
      </c>
      <c r="AB767" t="s">
        <v>14446</v>
      </c>
      <c r="AC767" t="s">
        <v>14447</v>
      </c>
      <c r="AD767" t="s">
        <v>14448</v>
      </c>
      <c r="AE767" t="s">
        <v>14449</v>
      </c>
      <c r="AF767" t="s">
        <v>74</v>
      </c>
      <c r="AG767">
        <v>59</v>
      </c>
      <c r="AH767">
        <v>10</v>
      </c>
      <c r="AI767">
        <v>13</v>
      </c>
      <c r="AJ767">
        <v>1</v>
      </c>
      <c r="AK767">
        <v>10</v>
      </c>
      <c r="AL767" t="s">
        <v>1141</v>
      </c>
      <c r="AM767" t="s">
        <v>318</v>
      </c>
      <c r="AN767" t="s">
        <v>1142</v>
      </c>
      <c r="AO767" t="s">
        <v>14450</v>
      </c>
      <c r="AP767" t="s">
        <v>14451</v>
      </c>
      <c r="AQ767" t="s">
        <v>74</v>
      </c>
      <c r="AR767" t="s">
        <v>14437</v>
      </c>
      <c r="AS767" t="s">
        <v>14452</v>
      </c>
      <c r="AT767" t="s">
        <v>12439</v>
      </c>
      <c r="AU767">
        <v>2017</v>
      </c>
      <c r="AV767">
        <v>63</v>
      </c>
      <c r="AW767" t="s">
        <v>74</v>
      </c>
      <c r="AX767" t="s">
        <v>74</v>
      </c>
      <c r="AY767" t="s">
        <v>74</v>
      </c>
      <c r="AZ767" t="s">
        <v>74</v>
      </c>
      <c r="BA767" t="s">
        <v>74</v>
      </c>
      <c r="BB767">
        <v>13</v>
      </c>
      <c r="BC767">
        <v>22</v>
      </c>
      <c r="BD767" t="s">
        <v>74</v>
      </c>
      <c r="BE767" t="s">
        <v>14453</v>
      </c>
      <c r="BF767" t="str">
        <f>HYPERLINK("http://dx.doi.org/10.1016/j.hal.2017.01.001","http://dx.doi.org/10.1016/j.hal.2017.01.001")</f>
        <v>http://dx.doi.org/10.1016/j.hal.2017.01.001</v>
      </c>
      <c r="BG767" t="s">
        <v>74</v>
      </c>
      <c r="BH767" t="s">
        <v>74</v>
      </c>
      <c r="BI767">
        <v>10</v>
      </c>
      <c r="BJ767" t="s">
        <v>737</v>
      </c>
      <c r="BK767" t="s">
        <v>103</v>
      </c>
      <c r="BL767" t="s">
        <v>737</v>
      </c>
      <c r="BM767" t="s">
        <v>14454</v>
      </c>
      <c r="BN767">
        <v>28366387</v>
      </c>
      <c r="BO767" t="s">
        <v>74</v>
      </c>
      <c r="BP767" t="s">
        <v>74</v>
      </c>
      <c r="BQ767" t="s">
        <v>74</v>
      </c>
      <c r="BR767" t="s">
        <v>106</v>
      </c>
      <c r="BS767" t="s">
        <v>14455</v>
      </c>
      <c r="BT767" t="str">
        <f>HYPERLINK("https%3A%2F%2Fwww.webofscience.com%2Fwos%2Fwoscc%2Ffull-record%2FWOS:000399849100003","View Full Record in Web of Science")</f>
        <v>View Full Record in Web of Science</v>
      </c>
    </row>
    <row r="768" spans="1:72" x14ac:dyDescent="0.15">
      <c r="A768" t="s">
        <v>72</v>
      </c>
      <c r="B768" t="s">
        <v>14456</v>
      </c>
      <c r="C768" t="s">
        <v>74</v>
      </c>
      <c r="D768" t="s">
        <v>74</v>
      </c>
      <c r="E768" t="s">
        <v>74</v>
      </c>
      <c r="F768" t="s">
        <v>14457</v>
      </c>
      <c r="G768" t="s">
        <v>74</v>
      </c>
      <c r="H768" t="s">
        <v>74</v>
      </c>
      <c r="I768" t="s">
        <v>14458</v>
      </c>
      <c r="J768" t="s">
        <v>14459</v>
      </c>
      <c r="K768" t="s">
        <v>74</v>
      </c>
      <c r="L768" t="s">
        <v>74</v>
      </c>
      <c r="M768" t="s">
        <v>78</v>
      </c>
      <c r="N768" t="s">
        <v>79</v>
      </c>
      <c r="O768" t="s">
        <v>74</v>
      </c>
      <c r="P768" t="s">
        <v>74</v>
      </c>
      <c r="Q768" t="s">
        <v>74</v>
      </c>
      <c r="R768" t="s">
        <v>74</v>
      </c>
      <c r="S768" t="s">
        <v>74</v>
      </c>
      <c r="T768" t="s">
        <v>14460</v>
      </c>
      <c r="U768" t="s">
        <v>14461</v>
      </c>
      <c r="V768" t="s">
        <v>14462</v>
      </c>
      <c r="W768" t="s">
        <v>14463</v>
      </c>
      <c r="X768" t="s">
        <v>14464</v>
      </c>
      <c r="Y768" t="s">
        <v>14465</v>
      </c>
      <c r="Z768" t="s">
        <v>14466</v>
      </c>
      <c r="AA768" t="s">
        <v>14467</v>
      </c>
      <c r="AB768" t="s">
        <v>14468</v>
      </c>
      <c r="AC768" t="s">
        <v>14469</v>
      </c>
      <c r="AD768" t="s">
        <v>14470</v>
      </c>
      <c r="AE768" t="s">
        <v>14471</v>
      </c>
      <c r="AF768" t="s">
        <v>74</v>
      </c>
      <c r="AG768">
        <v>41</v>
      </c>
      <c r="AH768">
        <v>9</v>
      </c>
      <c r="AI768">
        <v>9</v>
      </c>
      <c r="AJ768">
        <v>0</v>
      </c>
      <c r="AK768">
        <v>19</v>
      </c>
      <c r="AL768" t="s">
        <v>5879</v>
      </c>
      <c r="AM768" t="s">
        <v>430</v>
      </c>
      <c r="AN768" t="s">
        <v>5880</v>
      </c>
      <c r="AO768" t="s">
        <v>14472</v>
      </c>
      <c r="AP768" t="s">
        <v>14473</v>
      </c>
      <c r="AQ768" t="s">
        <v>74</v>
      </c>
      <c r="AR768" t="s">
        <v>14474</v>
      </c>
      <c r="AS768" t="s">
        <v>14475</v>
      </c>
      <c r="AT768" t="s">
        <v>12439</v>
      </c>
      <c r="AU768">
        <v>2017</v>
      </c>
      <c r="AV768">
        <v>381</v>
      </c>
      <c r="AW768" t="s">
        <v>74</v>
      </c>
      <c r="AX768" t="s">
        <v>74</v>
      </c>
      <c r="AY768" t="s">
        <v>74</v>
      </c>
      <c r="AZ768" t="s">
        <v>74</v>
      </c>
      <c r="BA768" t="s">
        <v>74</v>
      </c>
      <c r="BB768">
        <v>33</v>
      </c>
      <c r="BC768">
        <v>45</v>
      </c>
      <c r="BD768" t="s">
        <v>74</v>
      </c>
      <c r="BE768" t="s">
        <v>14476</v>
      </c>
      <c r="BF768" t="str">
        <f>HYPERLINK("http://dx.doi.org/10.1016/j.ins.2016.11.008","http://dx.doi.org/10.1016/j.ins.2016.11.008")</f>
        <v>http://dx.doi.org/10.1016/j.ins.2016.11.008</v>
      </c>
      <c r="BG768" t="s">
        <v>74</v>
      </c>
      <c r="BH768" t="s">
        <v>74</v>
      </c>
      <c r="BI768">
        <v>13</v>
      </c>
      <c r="BJ768" t="s">
        <v>14477</v>
      </c>
      <c r="BK768" t="s">
        <v>103</v>
      </c>
      <c r="BL768" t="s">
        <v>14478</v>
      </c>
      <c r="BM768" t="s">
        <v>14479</v>
      </c>
      <c r="BN768" t="s">
        <v>74</v>
      </c>
      <c r="BO768" t="s">
        <v>74</v>
      </c>
      <c r="BP768" t="s">
        <v>74</v>
      </c>
      <c r="BQ768" t="s">
        <v>74</v>
      </c>
      <c r="BR768" t="s">
        <v>106</v>
      </c>
      <c r="BS768" t="s">
        <v>14480</v>
      </c>
      <c r="BT768" t="str">
        <f>HYPERLINK("https%3A%2F%2Fwww.webofscience.com%2Fwos%2Fwoscc%2Ffull-record%2FWOS:000392786000003","View Full Record in Web of Science")</f>
        <v>View Full Record in Web of Science</v>
      </c>
    </row>
    <row r="769" spans="1:72" x14ac:dyDescent="0.15">
      <c r="A769" t="s">
        <v>72</v>
      </c>
      <c r="B769" t="s">
        <v>14481</v>
      </c>
      <c r="C769" t="s">
        <v>74</v>
      </c>
      <c r="D769" t="s">
        <v>74</v>
      </c>
      <c r="E769" t="s">
        <v>74</v>
      </c>
      <c r="F769" t="s">
        <v>14482</v>
      </c>
      <c r="G769" t="s">
        <v>74</v>
      </c>
      <c r="H769" t="s">
        <v>74</v>
      </c>
      <c r="I769" t="s">
        <v>14483</v>
      </c>
      <c r="J769" t="s">
        <v>14484</v>
      </c>
      <c r="K769" t="s">
        <v>74</v>
      </c>
      <c r="L769" t="s">
        <v>74</v>
      </c>
      <c r="M769" t="s">
        <v>78</v>
      </c>
      <c r="N769" t="s">
        <v>79</v>
      </c>
      <c r="O769" t="s">
        <v>74</v>
      </c>
      <c r="P769" t="s">
        <v>74</v>
      </c>
      <c r="Q769" t="s">
        <v>74</v>
      </c>
      <c r="R769" t="s">
        <v>74</v>
      </c>
      <c r="S769" t="s">
        <v>74</v>
      </c>
      <c r="T769" t="s">
        <v>14485</v>
      </c>
      <c r="U769" t="s">
        <v>14486</v>
      </c>
      <c r="V769" t="s">
        <v>14487</v>
      </c>
      <c r="W769" t="s">
        <v>14488</v>
      </c>
      <c r="X769" t="s">
        <v>14489</v>
      </c>
      <c r="Y769" t="s">
        <v>14490</v>
      </c>
      <c r="Z769" t="s">
        <v>14491</v>
      </c>
      <c r="AA769" t="s">
        <v>14492</v>
      </c>
      <c r="AB769" t="s">
        <v>14493</v>
      </c>
      <c r="AC769" t="s">
        <v>14494</v>
      </c>
      <c r="AD769" t="s">
        <v>14495</v>
      </c>
      <c r="AE769" t="s">
        <v>14496</v>
      </c>
      <c r="AF769" t="s">
        <v>74</v>
      </c>
      <c r="AG769">
        <v>41</v>
      </c>
      <c r="AH769">
        <v>18</v>
      </c>
      <c r="AI769">
        <v>19</v>
      </c>
      <c r="AJ769">
        <v>1</v>
      </c>
      <c r="AK769">
        <v>19</v>
      </c>
      <c r="AL769" t="s">
        <v>2676</v>
      </c>
      <c r="AM769" t="s">
        <v>223</v>
      </c>
      <c r="AN769" t="s">
        <v>2677</v>
      </c>
      <c r="AO769" t="s">
        <v>14497</v>
      </c>
      <c r="AP769" t="s">
        <v>14498</v>
      </c>
      <c r="AQ769" t="s">
        <v>74</v>
      </c>
      <c r="AR769" t="s">
        <v>14499</v>
      </c>
      <c r="AS769" t="s">
        <v>14500</v>
      </c>
      <c r="AT769" t="s">
        <v>12516</v>
      </c>
      <c r="AU769">
        <v>2017</v>
      </c>
      <c r="AV769">
        <v>65</v>
      </c>
      <c r="AW769">
        <v>8</v>
      </c>
      <c r="AX769" t="s">
        <v>74</v>
      </c>
      <c r="AY769" t="s">
        <v>74</v>
      </c>
      <c r="AZ769" t="s">
        <v>74</v>
      </c>
      <c r="BA769" t="s">
        <v>74</v>
      </c>
      <c r="BB769">
        <v>1630</v>
      </c>
      <c r="BC769">
        <v>1640</v>
      </c>
      <c r="BD769" t="s">
        <v>74</v>
      </c>
      <c r="BE769" t="s">
        <v>14501</v>
      </c>
      <c r="BF769" t="str">
        <f>HYPERLINK("http://dx.doi.org/10.1021/acs.jafc.6b05037","http://dx.doi.org/10.1021/acs.jafc.6b05037")</f>
        <v>http://dx.doi.org/10.1021/acs.jafc.6b05037</v>
      </c>
      <c r="BG769" t="s">
        <v>74</v>
      </c>
      <c r="BH769" t="s">
        <v>74</v>
      </c>
      <c r="BI769">
        <v>11</v>
      </c>
      <c r="BJ769" t="s">
        <v>12047</v>
      </c>
      <c r="BK769" t="s">
        <v>103</v>
      </c>
      <c r="BL769" t="s">
        <v>12048</v>
      </c>
      <c r="BM769" t="s">
        <v>14502</v>
      </c>
      <c r="BN769">
        <v>28156112</v>
      </c>
      <c r="BO769" t="s">
        <v>74</v>
      </c>
      <c r="BP769" t="s">
        <v>74</v>
      </c>
      <c r="BQ769" t="s">
        <v>74</v>
      </c>
      <c r="BR769" t="s">
        <v>106</v>
      </c>
      <c r="BS769" t="s">
        <v>14503</v>
      </c>
      <c r="BT769" t="str">
        <f>HYPERLINK("https%3A%2F%2Fwww.webofscience.com%2Fwos%2Fwoscc%2Ffull-record%2FWOS:000395493500021","View Full Record in Web of Science")</f>
        <v>View Full Record in Web of Science</v>
      </c>
    </row>
    <row r="770" spans="1:72" x14ac:dyDescent="0.15">
      <c r="A770" t="s">
        <v>72</v>
      </c>
      <c r="B770" t="s">
        <v>14504</v>
      </c>
      <c r="C770" t="s">
        <v>74</v>
      </c>
      <c r="D770" t="s">
        <v>74</v>
      </c>
      <c r="E770" t="s">
        <v>74</v>
      </c>
      <c r="F770" t="s">
        <v>14505</v>
      </c>
      <c r="G770" t="s">
        <v>74</v>
      </c>
      <c r="H770" t="s">
        <v>74</v>
      </c>
      <c r="I770" t="s">
        <v>14506</v>
      </c>
      <c r="J770" t="s">
        <v>5407</v>
      </c>
      <c r="K770" t="s">
        <v>74</v>
      </c>
      <c r="L770" t="s">
        <v>74</v>
      </c>
      <c r="M770" t="s">
        <v>78</v>
      </c>
      <c r="N770" t="s">
        <v>79</v>
      </c>
      <c r="O770" t="s">
        <v>74</v>
      </c>
      <c r="P770" t="s">
        <v>74</v>
      </c>
      <c r="Q770" t="s">
        <v>74</v>
      </c>
      <c r="R770" t="s">
        <v>74</v>
      </c>
      <c r="S770" t="s">
        <v>74</v>
      </c>
      <c r="T770" t="s">
        <v>74</v>
      </c>
      <c r="U770" t="s">
        <v>14507</v>
      </c>
      <c r="V770" t="s">
        <v>14508</v>
      </c>
      <c r="W770" t="s">
        <v>14509</v>
      </c>
      <c r="X770" t="s">
        <v>14510</v>
      </c>
      <c r="Y770" t="s">
        <v>14511</v>
      </c>
      <c r="Z770" t="s">
        <v>14512</v>
      </c>
      <c r="AA770" t="s">
        <v>14513</v>
      </c>
      <c r="AB770" t="s">
        <v>74</v>
      </c>
      <c r="AC770" t="s">
        <v>14514</v>
      </c>
      <c r="AD770" t="s">
        <v>14515</v>
      </c>
      <c r="AE770" t="s">
        <v>14516</v>
      </c>
      <c r="AF770" t="s">
        <v>74</v>
      </c>
      <c r="AG770">
        <v>34</v>
      </c>
      <c r="AH770">
        <v>11</v>
      </c>
      <c r="AI770">
        <v>12</v>
      </c>
      <c r="AJ770">
        <v>0</v>
      </c>
      <c r="AK770">
        <v>12</v>
      </c>
      <c r="AL770" t="s">
        <v>1115</v>
      </c>
      <c r="AM770" t="s">
        <v>1116</v>
      </c>
      <c r="AN770" t="s">
        <v>1117</v>
      </c>
      <c r="AO770" t="s">
        <v>5416</v>
      </c>
      <c r="AP770" t="s">
        <v>5417</v>
      </c>
      <c r="AQ770" t="s">
        <v>74</v>
      </c>
      <c r="AR770" t="s">
        <v>5418</v>
      </c>
      <c r="AS770" t="s">
        <v>5419</v>
      </c>
      <c r="AT770" t="s">
        <v>12439</v>
      </c>
      <c r="AU770">
        <v>2017</v>
      </c>
      <c r="AV770">
        <v>34</v>
      </c>
      <c r="AW770">
        <v>3</v>
      </c>
      <c r="AX770" t="s">
        <v>74</v>
      </c>
      <c r="AY770" t="s">
        <v>74</v>
      </c>
      <c r="AZ770" t="s">
        <v>74</v>
      </c>
      <c r="BA770" t="s">
        <v>74</v>
      </c>
      <c r="BB770">
        <v>511</v>
      </c>
      <c r="BC770">
        <v>532</v>
      </c>
      <c r="BD770" t="s">
        <v>74</v>
      </c>
      <c r="BE770" t="s">
        <v>14517</v>
      </c>
      <c r="BF770" t="str">
        <f>HYPERLINK("http://dx.doi.org/10.1175/JTECH-D-16-0075.1","http://dx.doi.org/10.1175/JTECH-D-16-0075.1")</f>
        <v>http://dx.doi.org/10.1175/JTECH-D-16-0075.1</v>
      </c>
      <c r="BG770" t="s">
        <v>74</v>
      </c>
      <c r="BH770" t="s">
        <v>74</v>
      </c>
      <c r="BI770">
        <v>22</v>
      </c>
      <c r="BJ770" t="s">
        <v>5421</v>
      </c>
      <c r="BK770" t="s">
        <v>103</v>
      </c>
      <c r="BL770" t="s">
        <v>5422</v>
      </c>
      <c r="BM770" t="s">
        <v>14518</v>
      </c>
      <c r="BN770" t="s">
        <v>74</v>
      </c>
      <c r="BO770" t="s">
        <v>384</v>
      </c>
      <c r="BP770" t="s">
        <v>74</v>
      </c>
      <c r="BQ770" t="s">
        <v>74</v>
      </c>
      <c r="BR770" t="s">
        <v>106</v>
      </c>
      <c r="BS770" t="s">
        <v>14519</v>
      </c>
      <c r="BT770" t="str">
        <f>HYPERLINK("https%3A%2F%2Fwww.webofscience.com%2Fwos%2Fwoscc%2Ffull-record%2FWOS:000397581900004","View Full Record in Web of Science")</f>
        <v>View Full Record in Web of Science</v>
      </c>
    </row>
    <row r="771" spans="1:72" x14ac:dyDescent="0.15">
      <c r="A771" t="s">
        <v>72</v>
      </c>
      <c r="B771" t="s">
        <v>14520</v>
      </c>
      <c r="C771" t="s">
        <v>74</v>
      </c>
      <c r="D771" t="s">
        <v>74</v>
      </c>
      <c r="E771" t="s">
        <v>74</v>
      </c>
      <c r="F771" t="s">
        <v>14521</v>
      </c>
      <c r="G771" t="s">
        <v>74</v>
      </c>
      <c r="H771" t="s">
        <v>74</v>
      </c>
      <c r="I771" t="s">
        <v>14522</v>
      </c>
      <c r="J771" t="s">
        <v>14523</v>
      </c>
      <c r="K771" t="s">
        <v>74</v>
      </c>
      <c r="L771" t="s">
        <v>74</v>
      </c>
      <c r="M771" t="s">
        <v>78</v>
      </c>
      <c r="N771" t="s">
        <v>79</v>
      </c>
      <c r="O771" t="s">
        <v>74</v>
      </c>
      <c r="P771" t="s">
        <v>74</v>
      </c>
      <c r="Q771" t="s">
        <v>74</v>
      </c>
      <c r="R771" t="s">
        <v>74</v>
      </c>
      <c r="S771" t="s">
        <v>74</v>
      </c>
      <c r="T771" t="s">
        <v>14524</v>
      </c>
      <c r="U771" t="s">
        <v>14525</v>
      </c>
      <c r="V771" t="s">
        <v>14526</v>
      </c>
      <c r="W771" t="s">
        <v>14527</v>
      </c>
      <c r="X771" t="s">
        <v>14528</v>
      </c>
      <c r="Y771" t="s">
        <v>14529</v>
      </c>
      <c r="Z771" t="s">
        <v>14530</v>
      </c>
      <c r="AA771" t="s">
        <v>14531</v>
      </c>
      <c r="AB771" t="s">
        <v>14532</v>
      </c>
      <c r="AC771" t="s">
        <v>14533</v>
      </c>
      <c r="AD771" t="s">
        <v>14534</v>
      </c>
      <c r="AE771" t="s">
        <v>14535</v>
      </c>
      <c r="AF771" t="s">
        <v>74</v>
      </c>
      <c r="AG771">
        <v>50</v>
      </c>
      <c r="AH771">
        <v>13</v>
      </c>
      <c r="AI771">
        <v>13</v>
      </c>
      <c r="AJ771">
        <v>0</v>
      </c>
      <c r="AK771">
        <v>9</v>
      </c>
      <c r="AL771" t="s">
        <v>656</v>
      </c>
      <c r="AM771" t="s">
        <v>93</v>
      </c>
      <c r="AN771" t="s">
        <v>657</v>
      </c>
      <c r="AO771" t="s">
        <v>14536</v>
      </c>
      <c r="AP771" t="s">
        <v>14537</v>
      </c>
      <c r="AQ771" t="s">
        <v>74</v>
      </c>
      <c r="AR771" t="s">
        <v>14538</v>
      </c>
      <c r="AS771" t="s">
        <v>14539</v>
      </c>
      <c r="AT771" t="s">
        <v>12439</v>
      </c>
      <c r="AU771">
        <v>2017</v>
      </c>
      <c r="AV771">
        <v>155</v>
      </c>
      <c r="AW771" t="s">
        <v>74</v>
      </c>
      <c r="AX771" t="s">
        <v>74</v>
      </c>
      <c r="AY771" t="s">
        <v>74</v>
      </c>
      <c r="AZ771" t="s">
        <v>74</v>
      </c>
      <c r="BA771" t="s">
        <v>74</v>
      </c>
      <c r="BB771">
        <v>36</v>
      </c>
      <c r="BC771">
        <v>49</v>
      </c>
      <c r="BD771" t="s">
        <v>74</v>
      </c>
      <c r="BE771" t="s">
        <v>14540</v>
      </c>
      <c r="BF771" t="str">
        <f>HYPERLINK("http://dx.doi.org/10.1016/j.jastp.2017.02.003","http://dx.doi.org/10.1016/j.jastp.2017.02.003")</f>
        <v>http://dx.doi.org/10.1016/j.jastp.2017.02.003</v>
      </c>
      <c r="BG771" t="s">
        <v>74</v>
      </c>
      <c r="BH771" t="s">
        <v>74</v>
      </c>
      <c r="BI771">
        <v>14</v>
      </c>
      <c r="BJ771" t="s">
        <v>14541</v>
      </c>
      <c r="BK771" t="s">
        <v>103</v>
      </c>
      <c r="BL771" t="s">
        <v>14541</v>
      </c>
      <c r="BM771" t="s">
        <v>14542</v>
      </c>
      <c r="BN771" t="s">
        <v>74</v>
      </c>
      <c r="BO771" t="s">
        <v>1538</v>
      </c>
      <c r="BP771" t="s">
        <v>74</v>
      </c>
      <c r="BQ771" t="s">
        <v>74</v>
      </c>
      <c r="BR771" t="s">
        <v>106</v>
      </c>
      <c r="BS771" t="s">
        <v>14543</v>
      </c>
      <c r="BT771" t="str">
        <f>HYPERLINK("https%3A%2F%2Fwww.webofscience.com%2Fwos%2Fwoscc%2Ffull-record%2FWOS:000396973300005","View Full Record in Web of Science")</f>
        <v>View Full Record in Web of Science</v>
      </c>
    </row>
    <row r="772" spans="1:72" x14ac:dyDescent="0.15">
      <c r="A772" t="s">
        <v>72</v>
      </c>
      <c r="B772" t="s">
        <v>14544</v>
      </c>
      <c r="C772" t="s">
        <v>74</v>
      </c>
      <c r="D772" t="s">
        <v>74</v>
      </c>
      <c r="E772" t="s">
        <v>74</v>
      </c>
      <c r="F772" t="s">
        <v>14545</v>
      </c>
      <c r="G772" t="s">
        <v>74</v>
      </c>
      <c r="H772" t="s">
        <v>74</v>
      </c>
      <c r="I772" t="s">
        <v>14546</v>
      </c>
      <c r="J772" t="s">
        <v>14523</v>
      </c>
      <c r="K772" t="s">
        <v>74</v>
      </c>
      <c r="L772" t="s">
        <v>74</v>
      </c>
      <c r="M772" t="s">
        <v>78</v>
      </c>
      <c r="N772" t="s">
        <v>79</v>
      </c>
      <c r="O772" t="s">
        <v>74</v>
      </c>
      <c r="P772" t="s">
        <v>74</v>
      </c>
      <c r="Q772" t="s">
        <v>74</v>
      </c>
      <c r="R772" t="s">
        <v>74</v>
      </c>
      <c r="S772" t="s">
        <v>74</v>
      </c>
      <c r="T772" t="s">
        <v>14547</v>
      </c>
      <c r="U772" t="s">
        <v>14548</v>
      </c>
      <c r="V772" t="s">
        <v>14549</v>
      </c>
      <c r="W772" t="s">
        <v>14550</v>
      </c>
      <c r="X772" t="s">
        <v>14551</v>
      </c>
      <c r="Y772" t="s">
        <v>14552</v>
      </c>
      <c r="Z772" t="s">
        <v>74</v>
      </c>
      <c r="AA772" t="s">
        <v>14553</v>
      </c>
      <c r="AB772" t="s">
        <v>14554</v>
      </c>
      <c r="AC772" t="s">
        <v>14555</v>
      </c>
      <c r="AD772" t="s">
        <v>14556</v>
      </c>
      <c r="AE772" t="s">
        <v>14557</v>
      </c>
      <c r="AF772" t="s">
        <v>74</v>
      </c>
      <c r="AG772">
        <v>43</v>
      </c>
      <c r="AH772">
        <v>7</v>
      </c>
      <c r="AI772">
        <v>8</v>
      </c>
      <c r="AJ772">
        <v>0</v>
      </c>
      <c r="AK772">
        <v>4</v>
      </c>
      <c r="AL772" t="s">
        <v>656</v>
      </c>
      <c r="AM772" t="s">
        <v>93</v>
      </c>
      <c r="AN772" t="s">
        <v>657</v>
      </c>
      <c r="AO772" t="s">
        <v>14536</v>
      </c>
      <c r="AP772" t="s">
        <v>14537</v>
      </c>
      <c r="AQ772" t="s">
        <v>74</v>
      </c>
      <c r="AR772" t="s">
        <v>14538</v>
      </c>
      <c r="AS772" t="s">
        <v>14539</v>
      </c>
      <c r="AT772" t="s">
        <v>12439</v>
      </c>
      <c r="AU772">
        <v>2017</v>
      </c>
      <c r="AV772">
        <v>155</v>
      </c>
      <c r="AW772" t="s">
        <v>74</v>
      </c>
      <c r="AX772" t="s">
        <v>74</v>
      </c>
      <c r="AY772" t="s">
        <v>74</v>
      </c>
      <c r="AZ772" t="s">
        <v>74</v>
      </c>
      <c r="BA772" t="s">
        <v>74</v>
      </c>
      <c r="BB772">
        <v>86</v>
      </c>
      <c r="BC772">
        <v>94</v>
      </c>
      <c r="BD772" t="s">
        <v>74</v>
      </c>
      <c r="BE772" t="s">
        <v>14558</v>
      </c>
      <c r="BF772" t="str">
        <f>HYPERLINK("http://dx.doi.org/10.1016/j.jastp.2017.02.006","http://dx.doi.org/10.1016/j.jastp.2017.02.006")</f>
        <v>http://dx.doi.org/10.1016/j.jastp.2017.02.006</v>
      </c>
      <c r="BG772" t="s">
        <v>74</v>
      </c>
      <c r="BH772" t="s">
        <v>74</v>
      </c>
      <c r="BI772">
        <v>9</v>
      </c>
      <c r="BJ772" t="s">
        <v>14541</v>
      </c>
      <c r="BK772" t="s">
        <v>103</v>
      </c>
      <c r="BL772" t="s">
        <v>14541</v>
      </c>
      <c r="BM772" t="s">
        <v>14542</v>
      </c>
      <c r="BN772" t="s">
        <v>74</v>
      </c>
      <c r="BO772" t="s">
        <v>74</v>
      </c>
      <c r="BP772" t="s">
        <v>74</v>
      </c>
      <c r="BQ772" t="s">
        <v>74</v>
      </c>
      <c r="BR772" t="s">
        <v>106</v>
      </c>
      <c r="BS772" t="s">
        <v>14559</v>
      </c>
      <c r="BT772" t="str">
        <f>HYPERLINK("https%3A%2F%2Fwww.webofscience.com%2Fwos%2Fwoscc%2Ffull-record%2FWOS:000396973300010","View Full Record in Web of Science")</f>
        <v>View Full Record in Web of Science</v>
      </c>
    </row>
    <row r="773" spans="1:72" x14ac:dyDescent="0.15">
      <c r="A773" t="s">
        <v>72</v>
      </c>
      <c r="B773" t="s">
        <v>14560</v>
      </c>
      <c r="C773" t="s">
        <v>74</v>
      </c>
      <c r="D773" t="s">
        <v>74</v>
      </c>
      <c r="E773" t="s">
        <v>74</v>
      </c>
      <c r="F773" t="s">
        <v>14561</v>
      </c>
      <c r="G773" t="s">
        <v>74</v>
      </c>
      <c r="H773" t="s">
        <v>74</v>
      </c>
      <c r="I773" t="s">
        <v>14562</v>
      </c>
      <c r="J773" t="s">
        <v>1521</v>
      </c>
      <c r="K773" t="s">
        <v>74</v>
      </c>
      <c r="L773" t="s">
        <v>74</v>
      </c>
      <c r="M773" t="s">
        <v>78</v>
      </c>
      <c r="N773" t="s">
        <v>79</v>
      </c>
      <c r="O773" t="s">
        <v>74</v>
      </c>
      <c r="P773" t="s">
        <v>74</v>
      </c>
      <c r="Q773" t="s">
        <v>74</v>
      </c>
      <c r="R773" t="s">
        <v>74</v>
      </c>
      <c r="S773" t="s">
        <v>74</v>
      </c>
      <c r="T773" t="s">
        <v>74</v>
      </c>
      <c r="U773" t="s">
        <v>14563</v>
      </c>
      <c r="V773" t="s">
        <v>14564</v>
      </c>
      <c r="W773" t="s">
        <v>14565</v>
      </c>
      <c r="X773" t="s">
        <v>14566</v>
      </c>
      <c r="Y773" t="s">
        <v>14567</v>
      </c>
      <c r="Z773" t="s">
        <v>14568</v>
      </c>
      <c r="AA773" t="s">
        <v>14569</v>
      </c>
      <c r="AB773" t="s">
        <v>74</v>
      </c>
      <c r="AC773" t="s">
        <v>14570</v>
      </c>
      <c r="AD773" t="s">
        <v>14571</v>
      </c>
      <c r="AE773" t="s">
        <v>14572</v>
      </c>
      <c r="AF773" t="s">
        <v>74</v>
      </c>
      <c r="AG773">
        <v>37</v>
      </c>
      <c r="AH773">
        <v>145</v>
      </c>
      <c r="AI773">
        <v>158</v>
      </c>
      <c r="AJ773">
        <v>1</v>
      </c>
      <c r="AK773">
        <v>66</v>
      </c>
      <c r="AL773" t="s">
        <v>1115</v>
      </c>
      <c r="AM773" t="s">
        <v>1116</v>
      </c>
      <c r="AN773" t="s">
        <v>1569</v>
      </c>
      <c r="AO773" t="s">
        <v>1532</v>
      </c>
      <c r="AP773" t="s">
        <v>1533</v>
      </c>
      <c r="AQ773" t="s">
        <v>74</v>
      </c>
      <c r="AR773" t="s">
        <v>1534</v>
      </c>
      <c r="AS773" t="s">
        <v>1535</v>
      </c>
      <c r="AT773" t="s">
        <v>12439</v>
      </c>
      <c r="AU773">
        <v>2017</v>
      </c>
      <c r="AV773">
        <v>30</v>
      </c>
      <c r="AW773">
        <v>6</v>
      </c>
      <c r="AX773" t="s">
        <v>74</v>
      </c>
      <c r="AY773" t="s">
        <v>74</v>
      </c>
      <c r="AZ773" t="s">
        <v>74</v>
      </c>
      <c r="BA773" t="s">
        <v>74</v>
      </c>
      <c r="BB773">
        <v>2251</v>
      </c>
      <c r="BC773">
        <v>2267</v>
      </c>
      <c r="BD773" t="s">
        <v>74</v>
      </c>
      <c r="BE773" t="s">
        <v>14573</v>
      </c>
      <c r="BF773" t="str">
        <f>HYPERLINK("http://dx.doi.org/10.1175/JCLI-D-16-0408.1","http://dx.doi.org/10.1175/JCLI-D-16-0408.1")</f>
        <v>http://dx.doi.org/10.1175/JCLI-D-16-0408.1</v>
      </c>
      <c r="BG773" t="s">
        <v>74</v>
      </c>
      <c r="BH773" t="s">
        <v>74</v>
      </c>
      <c r="BI773">
        <v>17</v>
      </c>
      <c r="BJ773" t="s">
        <v>1261</v>
      </c>
      <c r="BK773" t="s">
        <v>103</v>
      </c>
      <c r="BL773" t="s">
        <v>1261</v>
      </c>
      <c r="BM773" t="s">
        <v>13284</v>
      </c>
      <c r="BN773">
        <v>32699487</v>
      </c>
      <c r="BO773" t="s">
        <v>1100</v>
      </c>
      <c r="BP773" t="s">
        <v>74</v>
      </c>
      <c r="BQ773" t="s">
        <v>74</v>
      </c>
      <c r="BR773" t="s">
        <v>106</v>
      </c>
      <c r="BS773" t="s">
        <v>14574</v>
      </c>
      <c r="BT773" t="str">
        <f>HYPERLINK("https%3A%2F%2Fwww.webofscience.com%2Fwos%2Fwoscc%2Ffull-record%2FWOS:000395765900022","View Full Record in Web of Science")</f>
        <v>View Full Record in Web of Science</v>
      </c>
    </row>
    <row r="774" spans="1:72" x14ac:dyDescent="0.15">
      <c r="A774" t="s">
        <v>72</v>
      </c>
      <c r="B774" t="s">
        <v>14575</v>
      </c>
      <c r="C774" t="s">
        <v>74</v>
      </c>
      <c r="D774" t="s">
        <v>74</v>
      </c>
      <c r="E774" t="s">
        <v>74</v>
      </c>
      <c r="F774" t="s">
        <v>14576</v>
      </c>
      <c r="G774" t="s">
        <v>74</v>
      </c>
      <c r="H774" t="s">
        <v>74</v>
      </c>
      <c r="I774" t="s">
        <v>14577</v>
      </c>
      <c r="J774" t="s">
        <v>14578</v>
      </c>
      <c r="K774" t="s">
        <v>74</v>
      </c>
      <c r="L774" t="s">
        <v>74</v>
      </c>
      <c r="M774" t="s">
        <v>78</v>
      </c>
      <c r="N774" t="s">
        <v>79</v>
      </c>
      <c r="O774" t="s">
        <v>74</v>
      </c>
      <c r="P774" t="s">
        <v>74</v>
      </c>
      <c r="Q774" t="s">
        <v>74</v>
      </c>
      <c r="R774" t="s">
        <v>74</v>
      </c>
      <c r="S774" t="s">
        <v>74</v>
      </c>
      <c r="T774" t="s">
        <v>14579</v>
      </c>
      <c r="U774" t="s">
        <v>14580</v>
      </c>
      <c r="V774" t="s">
        <v>14581</v>
      </c>
      <c r="W774" t="s">
        <v>14582</v>
      </c>
      <c r="X774" t="s">
        <v>14583</v>
      </c>
      <c r="Y774" t="s">
        <v>14584</v>
      </c>
      <c r="Z774" t="s">
        <v>5920</v>
      </c>
      <c r="AA774" t="s">
        <v>74</v>
      </c>
      <c r="AB774" t="s">
        <v>14585</v>
      </c>
      <c r="AC774" t="s">
        <v>14586</v>
      </c>
      <c r="AD774" t="s">
        <v>14587</v>
      </c>
      <c r="AE774" t="s">
        <v>14588</v>
      </c>
      <c r="AF774" t="s">
        <v>74</v>
      </c>
      <c r="AG774">
        <v>35</v>
      </c>
      <c r="AH774">
        <v>27</v>
      </c>
      <c r="AI774">
        <v>27</v>
      </c>
      <c r="AJ774">
        <v>0</v>
      </c>
      <c r="AK774">
        <v>29</v>
      </c>
      <c r="AL774" t="s">
        <v>5777</v>
      </c>
      <c r="AM774" t="s">
        <v>5778</v>
      </c>
      <c r="AN774" t="s">
        <v>5779</v>
      </c>
      <c r="AO774" t="s">
        <v>14589</v>
      </c>
      <c r="AP774" t="s">
        <v>14590</v>
      </c>
      <c r="AQ774" t="s">
        <v>74</v>
      </c>
      <c r="AR774" t="s">
        <v>14591</v>
      </c>
      <c r="AS774" t="s">
        <v>14592</v>
      </c>
      <c r="AT774" t="s">
        <v>12516</v>
      </c>
      <c r="AU774">
        <v>2017</v>
      </c>
      <c r="AV774">
        <v>53</v>
      </c>
      <c r="AW774" t="s">
        <v>74</v>
      </c>
      <c r="AX774" t="s">
        <v>74</v>
      </c>
      <c r="AY774" t="s">
        <v>74</v>
      </c>
      <c r="AZ774" t="s">
        <v>74</v>
      </c>
      <c r="BA774" t="s">
        <v>74</v>
      </c>
      <c r="BB774">
        <v>78</v>
      </c>
      <c r="BC774">
        <v>87</v>
      </c>
      <c r="BD774" t="s">
        <v>74</v>
      </c>
      <c r="BE774" t="s">
        <v>14593</v>
      </c>
      <c r="BF774" t="str">
        <f>HYPERLINK("http://dx.doi.org/10.1016/j.jes.2016.01.033","http://dx.doi.org/10.1016/j.jes.2016.01.033")</f>
        <v>http://dx.doi.org/10.1016/j.jes.2016.01.033</v>
      </c>
      <c r="BG774" t="s">
        <v>74</v>
      </c>
      <c r="BH774" t="s">
        <v>74</v>
      </c>
      <c r="BI774">
        <v>10</v>
      </c>
      <c r="BJ774" t="s">
        <v>2189</v>
      </c>
      <c r="BK774" t="s">
        <v>103</v>
      </c>
      <c r="BL774" t="s">
        <v>993</v>
      </c>
      <c r="BM774" t="s">
        <v>14594</v>
      </c>
      <c r="BN774">
        <v>28372763</v>
      </c>
      <c r="BO774" t="s">
        <v>74</v>
      </c>
      <c r="BP774" t="s">
        <v>74</v>
      </c>
      <c r="BQ774" t="s">
        <v>74</v>
      </c>
      <c r="BR774" t="s">
        <v>106</v>
      </c>
      <c r="BS774" t="s">
        <v>14595</v>
      </c>
      <c r="BT774" t="str">
        <f>HYPERLINK("https%3A%2F%2Fwww.webofscience.com%2Fwos%2Fwoscc%2Ffull-record%2FWOS:000399326400009","View Full Record in Web of Science")</f>
        <v>View Full Record in Web of Science</v>
      </c>
    </row>
    <row r="775" spans="1:72" x14ac:dyDescent="0.15">
      <c r="A775" t="s">
        <v>72</v>
      </c>
      <c r="B775" t="s">
        <v>14596</v>
      </c>
      <c r="C775" t="s">
        <v>74</v>
      </c>
      <c r="D775" t="s">
        <v>74</v>
      </c>
      <c r="E775" t="s">
        <v>74</v>
      </c>
      <c r="F775" t="s">
        <v>14597</v>
      </c>
      <c r="G775" t="s">
        <v>74</v>
      </c>
      <c r="H775" t="s">
        <v>74</v>
      </c>
      <c r="I775" t="s">
        <v>14598</v>
      </c>
      <c r="J775" t="s">
        <v>14599</v>
      </c>
      <c r="K775" t="s">
        <v>74</v>
      </c>
      <c r="L775" t="s">
        <v>74</v>
      </c>
      <c r="M775" t="s">
        <v>78</v>
      </c>
      <c r="N775" t="s">
        <v>79</v>
      </c>
      <c r="O775" t="s">
        <v>74</v>
      </c>
      <c r="P775" t="s">
        <v>74</v>
      </c>
      <c r="Q775" t="s">
        <v>74</v>
      </c>
      <c r="R775" t="s">
        <v>74</v>
      </c>
      <c r="S775" t="s">
        <v>74</v>
      </c>
      <c r="T775" t="s">
        <v>14600</v>
      </c>
      <c r="U775" t="s">
        <v>14601</v>
      </c>
      <c r="V775" t="s">
        <v>14602</v>
      </c>
      <c r="W775" t="s">
        <v>14603</v>
      </c>
      <c r="X775" t="s">
        <v>14604</v>
      </c>
      <c r="Y775" t="s">
        <v>14605</v>
      </c>
      <c r="Z775" t="s">
        <v>14606</v>
      </c>
      <c r="AA775" t="s">
        <v>14607</v>
      </c>
      <c r="AB775" t="s">
        <v>14608</v>
      </c>
      <c r="AC775" t="s">
        <v>14609</v>
      </c>
      <c r="AD775" t="s">
        <v>14610</v>
      </c>
      <c r="AE775" t="s">
        <v>14611</v>
      </c>
      <c r="AF775" t="s">
        <v>74</v>
      </c>
      <c r="AG775">
        <v>21</v>
      </c>
      <c r="AH775">
        <v>3</v>
      </c>
      <c r="AI775">
        <v>5</v>
      </c>
      <c r="AJ775">
        <v>1</v>
      </c>
      <c r="AK775">
        <v>13</v>
      </c>
      <c r="AL775" t="s">
        <v>681</v>
      </c>
      <c r="AM775" t="s">
        <v>682</v>
      </c>
      <c r="AN775" t="s">
        <v>683</v>
      </c>
      <c r="AO775" t="s">
        <v>14612</v>
      </c>
      <c r="AP775" t="s">
        <v>14613</v>
      </c>
      <c r="AQ775" t="s">
        <v>74</v>
      </c>
      <c r="AR775" t="s">
        <v>14614</v>
      </c>
      <c r="AS775" t="s">
        <v>14615</v>
      </c>
      <c r="AT775" t="s">
        <v>12439</v>
      </c>
      <c r="AU775">
        <v>2017</v>
      </c>
      <c r="AV775">
        <v>90</v>
      </c>
      <c r="AW775">
        <v>3</v>
      </c>
      <c r="AX775" t="s">
        <v>74</v>
      </c>
      <c r="AY775" t="s">
        <v>74</v>
      </c>
      <c r="AZ775" t="s">
        <v>74</v>
      </c>
      <c r="BA775" t="s">
        <v>74</v>
      </c>
      <c r="BB775">
        <v>1054</v>
      </c>
      <c r="BC775">
        <v>1061</v>
      </c>
      <c r="BD775" t="s">
        <v>74</v>
      </c>
      <c r="BE775" t="s">
        <v>14616</v>
      </c>
      <c r="BF775" t="str">
        <f>HYPERLINK("http://dx.doi.org/10.1111/jfb.13207","http://dx.doi.org/10.1111/jfb.13207")</f>
        <v>http://dx.doi.org/10.1111/jfb.13207</v>
      </c>
      <c r="BG775" t="s">
        <v>74</v>
      </c>
      <c r="BH775" t="s">
        <v>74</v>
      </c>
      <c r="BI775">
        <v>8</v>
      </c>
      <c r="BJ775" t="s">
        <v>1198</v>
      </c>
      <c r="BK775" t="s">
        <v>103</v>
      </c>
      <c r="BL775" t="s">
        <v>1198</v>
      </c>
      <c r="BM775" t="s">
        <v>14617</v>
      </c>
      <c r="BN775">
        <v>27859248</v>
      </c>
      <c r="BO775" t="s">
        <v>74</v>
      </c>
      <c r="BP775" t="s">
        <v>74</v>
      </c>
      <c r="BQ775" t="s">
        <v>74</v>
      </c>
      <c r="BR775" t="s">
        <v>106</v>
      </c>
      <c r="BS775" t="s">
        <v>14618</v>
      </c>
      <c r="BT775" t="str">
        <f>HYPERLINK("https%3A%2F%2Fwww.webofscience.com%2Fwos%2Fwoscc%2Ffull-record%2FWOS:000398087800023","View Full Record in Web of Science")</f>
        <v>View Full Record in Web of Science</v>
      </c>
    </row>
    <row r="776" spans="1:72" x14ac:dyDescent="0.15">
      <c r="A776" t="s">
        <v>72</v>
      </c>
      <c r="B776" t="s">
        <v>14619</v>
      </c>
      <c r="C776" t="s">
        <v>74</v>
      </c>
      <c r="D776" t="s">
        <v>74</v>
      </c>
      <c r="E776" t="s">
        <v>74</v>
      </c>
      <c r="F776" t="s">
        <v>14620</v>
      </c>
      <c r="G776" t="s">
        <v>74</v>
      </c>
      <c r="H776" t="s">
        <v>74</v>
      </c>
      <c r="I776" t="s">
        <v>14621</v>
      </c>
      <c r="J776" t="s">
        <v>6747</v>
      </c>
      <c r="K776" t="s">
        <v>74</v>
      </c>
      <c r="L776" t="s">
        <v>74</v>
      </c>
      <c r="M776" t="s">
        <v>78</v>
      </c>
      <c r="N776" t="s">
        <v>79</v>
      </c>
      <c r="O776" t="s">
        <v>74</v>
      </c>
      <c r="P776" t="s">
        <v>74</v>
      </c>
      <c r="Q776" t="s">
        <v>74</v>
      </c>
      <c r="R776" t="s">
        <v>74</v>
      </c>
      <c r="S776" t="s">
        <v>74</v>
      </c>
      <c r="T776" t="s">
        <v>14622</v>
      </c>
      <c r="U776" t="s">
        <v>14623</v>
      </c>
      <c r="V776" t="s">
        <v>14624</v>
      </c>
      <c r="W776" t="s">
        <v>14625</v>
      </c>
      <c r="X776" t="s">
        <v>14626</v>
      </c>
      <c r="Y776" t="s">
        <v>14627</v>
      </c>
      <c r="Z776" t="s">
        <v>14628</v>
      </c>
      <c r="AA776" t="s">
        <v>14629</v>
      </c>
      <c r="AB776" t="s">
        <v>14630</v>
      </c>
      <c r="AC776" t="s">
        <v>14631</v>
      </c>
      <c r="AD776" t="s">
        <v>14632</v>
      </c>
      <c r="AE776" t="s">
        <v>14633</v>
      </c>
      <c r="AF776" t="s">
        <v>74</v>
      </c>
      <c r="AG776">
        <v>67</v>
      </c>
      <c r="AH776">
        <v>51</v>
      </c>
      <c r="AI776">
        <v>61</v>
      </c>
      <c r="AJ776">
        <v>5</v>
      </c>
      <c r="AK776">
        <v>74</v>
      </c>
      <c r="AL776" t="s">
        <v>222</v>
      </c>
      <c r="AM776" t="s">
        <v>223</v>
      </c>
      <c r="AN776" t="s">
        <v>224</v>
      </c>
      <c r="AO776" t="s">
        <v>6760</v>
      </c>
      <c r="AP776" t="s">
        <v>6761</v>
      </c>
      <c r="AQ776" t="s">
        <v>74</v>
      </c>
      <c r="AR776" t="s">
        <v>6762</v>
      </c>
      <c r="AS776" t="s">
        <v>6763</v>
      </c>
      <c r="AT776" t="s">
        <v>12439</v>
      </c>
      <c r="AU776">
        <v>2017</v>
      </c>
      <c r="AV776">
        <v>122</v>
      </c>
      <c r="AW776">
        <v>3</v>
      </c>
      <c r="AX776" t="s">
        <v>74</v>
      </c>
      <c r="AY776" t="s">
        <v>74</v>
      </c>
      <c r="AZ776" t="s">
        <v>74</v>
      </c>
      <c r="BA776" t="s">
        <v>74</v>
      </c>
      <c r="BB776">
        <v>574</v>
      </c>
      <c r="BC776">
        <v>591</v>
      </c>
      <c r="BD776" t="s">
        <v>74</v>
      </c>
      <c r="BE776" t="s">
        <v>14634</v>
      </c>
      <c r="BF776" t="str">
        <f>HYPERLINK("http://dx.doi.org/10.1002/2016JF004018","http://dx.doi.org/10.1002/2016JF004018")</f>
        <v>http://dx.doi.org/10.1002/2016JF004018</v>
      </c>
      <c r="BG776" t="s">
        <v>74</v>
      </c>
      <c r="BH776" t="s">
        <v>74</v>
      </c>
      <c r="BI776">
        <v>18</v>
      </c>
      <c r="BJ776" t="s">
        <v>437</v>
      </c>
      <c r="BK776" t="s">
        <v>103</v>
      </c>
      <c r="BL776" t="s">
        <v>438</v>
      </c>
      <c r="BM776" t="s">
        <v>12816</v>
      </c>
      <c r="BN776" t="s">
        <v>74</v>
      </c>
      <c r="BO776" t="s">
        <v>412</v>
      </c>
      <c r="BP776" t="s">
        <v>74</v>
      </c>
      <c r="BQ776" t="s">
        <v>74</v>
      </c>
      <c r="BR776" t="s">
        <v>106</v>
      </c>
      <c r="BS776" t="s">
        <v>14635</v>
      </c>
      <c r="BT776" t="str">
        <f>HYPERLINK("https%3A%2F%2Fwww.webofscience.com%2Fwos%2Fwoscc%2Ffull-record%2FWOS:000399350400001","View Full Record in Web of Science")</f>
        <v>View Full Record in Web of Science</v>
      </c>
    </row>
    <row r="777" spans="1:72" x14ac:dyDescent="0.15">
      <c r="A777" t="s">
        <v>72</v>
      </c>
      <c r="B777" t="s">
        <v>14636</v>
      </c>
      <c r="C777" t="s">
        <v>74</v>
      </c>
      <c r="D777" t="s">
        <v>74</v>
      </c>
      <c r="E777" t="s">
        <v>74</v>
      </c>
      <c r="F777" t="s">
        <v>14637</v>
      </c>
      <c r="G777" t="s">
        <v>74</v>
      </c>
      <c r="H777" t="s">
        <v>74</v>
      </c>
      <c r="I777" t="s">
        <v>14638</v>
      </c>
      <c r="J777" t="s">
        <v>210</v>
      </c>
      <c r="K777" t="s">
        <v>74</v>
      </c>
      <c r="L777" t="s">
        <v>74</v>
      </c>
      <c r="M777" t="s">
        <v>78</v>
      </c>
      <c r="N777" t="s">
        <v>79</v>
      </c>
      <c r="O777" t="s">
        <v>74</v>
      </c>
      <c r="P777" t="s">
        <v>74</v>
      </c>
      <c r="Q777" t="s">
        <v>74</v>
      </c>
      <c r="R777" t="s">
        <v>74</v>
      </c>
      <c r="S777" t="s">
        <v>74</v>
      </c>
      <c r="T777" t="s">
        <v>74</v>
      </c>
      <c r="U777" t="s">
        <v>14639</v>
      </c>
      <c r="V777" t="s">
        <v>14640</v>
      </c>
      <c r="W777" t="s">
        <v>14641</v>
      </c>
      <c r="X777" t="s">
        <v>14642</v>
      </c>
      <c r="Y777" t="s">
        <v>14643</v>
      </c>
      <c r="Z777" t="s">
        <v>14644</v>
      </c>
      <c r="AA777" t="s">
        <v>14645</v>
      </c>
      <c r="AB777" t="s">
        <v>14646</v>
      </c>
      <c r="AC777" t="s">
        <v>14647</v>
      </c>
      <c r="AD777" t="s">
        <v>14648</v>
      </c>
      <c r="AE777" t="s">
        <v>14649</v>
      </c>
      <c r="AF777" t="s">
        <v>74</v>
      </c>
      <c r="AG777">
        <v>57</v>
      </c>
      <c r="AH777">
        <v>33</v>
      </c>
      <c r="AI777">
        <v>35</v>
      </c>
      <c r="AJ777">
        <v>1</v>
      </c>
      <c r="AK777">
        <v>23</v>
      </c>
      <c r="AL777" t="s">
        <v>222</v>
      </c>
      <c r="AM777" t="s">
        <v>223</v>
      </c>
      <c r="AN777" t="s">
        <v>224</v>
      </c>
      <c r="AO777" t="s">
        <v>225</v>
      </c>
      <c r="AP777" t="s">
        <v>226</v>
      </c>
      <c r="AQ777" t="s">
        <v>74</v>
      </c>
      <c r="AR777" t="s">
        <v>227</v>
      </c>
      <c r="AS777" t="s">
        <v>228</v>
      </c>
      <c r="AT777" t="s">
        <v>12439</v>
      </c>
      <c r="AU777">
        <v>2017</v>
      </c>
      <c r="AV777">
        <v>122</v>
      </c>
      <c r="AW777">
        <v>3</v>
      </c>
      <c r="AX777" t="s">
        <v>74</v>
      </c>
      <c r="AY777" t="s">
        <v>74</v>
      </c>
      <c r="AZ777" t="s">
        <v>74</v>
      </c>
      <c r="BA777" t="s">
        <v>74</v>
      </c>
      <c r="BB777">
        <v>2108</v>
      </c>
      <c r="BC777">
        <v>2119</v>
      </c>
      <c r="BD777" t="s">
        <v>74</v>
      </c>
      <c r="BE777" t="s">
        <v>14650</v>
      </c>
      <c r="BF777" t="str">
        <f>HYPERLINK("http://dx.doi.org/10.1002/2016JC012325","http://dx.doi.org/10.1002/2016JC012325")</f>
        <v>http://dx.doi.org/10.1002/2016JC012325</v>
      </c>
      <c r="BG777" t="s">
        <v>74</v>
      </c>
      <c r="BH777" t="s">
        <v>74</v>
      </c>
      <c r="BI777">
        <v>12</v>
      </c>
      <c r="BJ777" t="s">
        <v>127</v>
      </c>
      <c r="BK777" t="s">
        <v>103</v>
      </c>
      <c r="BL777" t="s">
        <v>127</v>
      </c>
      <c r="BM777" t="s">
        <v>12644</v>
      </c>
      <c r="BN777" t="s">
        <v>74</v>
      </c>
      <c r="BO777" t="s">
        <v>14651</v>
      </c>
      <c r="BP777" t="s">
        <v>74</v>
      </c>
      <c r="BQ777" t="s">
        <v>74</v>
      </c>
      <c r="BR777" t="s">
        <v>106</v>
      </c>
      <c r="BS777" t="s">
        <v>14652</v>
      </c>
      <c r="BT777" t="str">
        <f>HYPERLINK("https%3A%2F%2Fwww.webofscience.com%2Fwos%2Fwoscc%2Ffull-record%2FWOS:000400678900026","View Full Record in Web of Science")</f>
        <v>View Full Record in Web of Science</v>
      </c>
    </row>
    <row r="778" spans="1:72" x14ac:dyDescent="0.15">
      <c r="A778" t="s">
        <v>72</v>
      </c>
      <c r="B778" t="s">
        <v>14653</v>
      </c>
      <c r="C778" t="s">
        <v>74</v>
      </c>
      <c r="D778" t="s">
        <v>74</v>
      </c>
      <c r="E778" t="s">
        <v>74</v>
      </c>
      <c r="F778" t="s">
        <v>14654</v>
      </c>
      <c r="G778" t="s">
        <v>74</v>
      </c>
      <c r="H778" t="s">
        <v>74</v>
      </c>
      <c r="I778" t="s">
        <v>14655</v>
      </c>
      <c r="J778" t="s">
        <v>210</v>
      </c>
      <c r="K778" t="s">
        <v>74</v>
      </c>
      <c r="L778" t="s">
        <v>74</v>
      </c>
      <c r="M778" t="s">
        <v>78</v>
      </c>
      <c r="N778" t="s">
        <v>79</v>
      </c>
      <c r="O778" t="s">
        <v>74</v>
      </c>
      <c r="P778" t="s">
        <v>74</v>
      </c>
      <c r="Q778" t="s">
        <v>74</v>
      </c>
      <c r="R778" t="s">
        <v>74</v>
      </c>
      <c r="S778" t="s">
        <v>74</v>
      </c>
      <c r="T778" t="s">
        <v>74</v>
      </c>
      <c r="U778" t="s">
        <v>14656</v>
      </c>
      <c r="V778" t="s">
        <v>14657</v>
      </c>
      <c r="W778" t="s">
        <v>14658</v>
      </c>
      <c r="X778" t="s">
        <v>14659</v>
      </c>
      <c r="Y778" t="s">
        <v>14660</v>
      </c>
      <c r="Z778" t="s">
        <v>14661</v>
      </c>
      <c r="AA778" t="s">
        <v>14662</v>
      </c>
      <c r="AB778" t="s">
        <v>14663</v>
      </c>
      <c r="AC778" t="s">
        <v>14664</v>
      </c>
      <c r="AD778" t="s">
        <v>14665</v>
      </c>
      <c r="AE778" t="s">
        <v>14666</v>
      </c>
      <c r="AF778" t="s">
        <v>74</v>
      </c>
      <c r="AG778">
        <v>50</v>
      </c>
      <c r="AH778">
        <v>72</v>
      </c>
      <c r="AI778">
        <v>78</v>
      </c>
      <c r="AJ778">
        <v>1</v>
      </c>
      <c r="AK778">
        <v>17</v>
      </c>
      <c r="AL778" t="s">
        <v>222</v>
      </c>
      <c r="AM778" t="s">
        <v>223</v>
      </c>
      <c r="AN778" t="s">
        <v>224</v>
      </c>
      <c r="AO778" t="s">
        <v>225</v>
      </c>
      <c r="AP778" t="s">
        <v>226</v>
      </c>
      <c r="AQ778" t="s">
        <v>74</v>
      </c>
      <c r="AR778" t="s">
        <v>227</v>
      </c>
      <c r="AS778" t="s">
        <v>228</v>
      </c>
      <c r="AT778" t="s">
        <v>12439</v>
      </c>
      <c r="AU778">
        <v>2017</v>
      </c>
      <c r="AV778">
        <v>122</v>
      </c>
      <c r="AW778">
        <v>3</v>
      </c>
      <c r="AX778" t="s">
        <v>74</v>
      </c>
      <c r="AY778" t="s">
        <v>74</v>
      </c>
      <c r="AZ778" t="s">
        <v>74</v>
      </c>
      <c r="BA778" t="s">
        <v>74</v>
      </c>
      <c r="BB778">
        <v>2539</v>
      </c>
      <c r="BC778">
        <v>2549</v>
      </c>
      <c r="BD778" t="s">
        <v>74</v>
      </c>
      <c r="BE778" t="s">
        <v>14667</v>
      </c>
      <c r="BF778" t="str">
        <f>HYPERLINK("http://dx.doi.org/10.1002/2016JC012398","http://dx.doi.org/10.1002/2016JC012398")</f>
        <v>http://dx.doi.org/10.1002/2016JC012398</v>
      </c>
      <c r="BG778" t="s">
        <v>74</v>
      </c>
      <c r="BH778" t="s">
        <v>74</v>
      </c>
      <c r="BI778">
        <v>11</v>
      </c>
      <c r="BJ778" t="s">
        <v>127</v>
      </c>
      <c r="BK778" t="s">
        <v>103</v>
      </c>
      <c r="BL778" t="s">
        <v>127</v>
      </c>
      <c r="BM778" t="s">
        <v>12644</v>
      </c>
      <c r="BN778" t="s">
        <v>74</v>
      </c>
      <c r="BO778" t="s">
        <v>513</v>
      </c>
      <c r="BP778" t="s">
        <v>74</v>
      </c>
      <c r="BQ778" t="s">
        <v>74</v>
      </c>
      <c r="BR778" t="s">
        <v>106</v>
      </c>
      <c r="BS778" t="s">
        <v>14668</v>
      </c>
      <c r="BT778" t="str">
        <f>HYPERLINK("https%3A%2F%2Fwww.webofscience.com%2Fwos%2Fwoscc%2Ffull-record%2FWOS:000400678900048","View Full Record in Web of Science")</f>
        <v>View Full Record in Web of Science</v>
      </c>
    </row>
    <row r="779" spans="1:72" x14ac:dyDescent="0.15">
      <c r="A779" t="s">
        <v>72</v>
      </c>
      <c r="B779" t="s">
        <v>14669</v>
      </c>
      <c r="C779" t="s">
        <v>74</v>
      </c>
      <c r="D779" t="s">
        <v>74</v>
      </c>
      <c r="E779" t="s">
        <v>74</v>
      </c>
      <c r="F779" t="s">
        <v>14670</v>
      </c>
      <c r="G779" t="s">
        <v>74</v>
      </c>
      <c r="H779" t="s">
        <v>74</v>
      </c>
      <c r="I779" t="s">
        <v>14671</v>
      </c>
      <c r="J779" t="s">
        <v>14672</v>
      </c>
      <c r="K779" t="s">
        <v>74</v>
      </c>
      <c r="L779" t="s">
        <v>74</v>
      </c>
      <c r="M779" t="s">
        <v>78</v>
      </c>
      <c r="N779" t="s">
        <v>79</v>
      </c>
      <c r="O779" t="s">
        <v>74</v>
      </c>
      <c r="P779" t="s">
        <v>74</v>
      </c>
      <c r="Q779" t="s">
        <v>74</v>
      </c>
      <c r="R779" t="s">
        <v>74</v>
      </c>
      <c r="S779" t="s">
        <v>74</v>
      </c>
      <c r="T779" t="s">
        <v>14673</v>
      </c>
      <c r="U779" t="s">
        <v>14674</v>
      </c>
      <c r="V779" t="s">
        <v>14675</v>
      </c>
      <c r="W779" t="s">
        <v>14676</v>
      </c>
      <c r="X779" t="s">
        <v>14677</v>
      </c>
      <c r="Y779" t="s">
        <v>14678</v>
      </c>
      <c r="Z779" t="s">
        <v>14679</v>
      </c>
      <c r="AA779" t="s">
        <v>14680</v>
      </c>
      <c r="AB779" t="s">
        <v>14681</v>
      </c>
      <c r="AC779" t="s">
        <v>14682</v>
      </c>
      <c r="AD779" t="s">
        <v>14682</v>
      </c>
      <c r="AE779" t="s">
        <v>14683</v>
      </c>
      <c r="AF779" t="s">
        <v>74</v>
      </c>
      <c r="AG779">
        <v>430</v>
      </c>
      <c r="AH779">
        <v>94</v>
      </c>
      <c r="AI779">
        <v>98</v>
      </c>
      <c r="AJ779">
        <v>4</v>
      </c>
      <c r="AK779">
        <v>47</v>
      </c>
      <c r="AL779" t="s">
        <v>222</v>
      </c>
      <c r="AM779" t="s">
        <v>223</v>
      </c>
      <c r="AN779" t="s">
        <v>224</v>
      </c>
      <c r="AO779" t="s">
        <v>14684</v>
      </c>
      <c r="AP779" t="s">
        <v>14685</v>
      </c>
      <c r="AQ779" t="s">
        <v>74</v>
      </c>
      <c r="AR779" t="s">
        <v>14686</v>
      </c>
      <c r="AS779" t="s">
        <v>14687</v>
      </c>
      <c r="AT779" t="s">
        <v>12439</v>
      </c>
      <c r="AU779">
        <v>2017</v>
      </c>
      <c r="AV779">
        <v>122</v>
      </c>
      <c r="AW779">
        <v>3</v>
      </c>
      <c r="AX779" t="s">
        <v>74</v>
      </c>
      <c r="AY779" t="s">
        <v>74</v>
      </c>
      <c r="AZ779" t="s">
        <v>74</v>
      </c>
      <c r="BA779" t="s">
        <v>74</v>
      </c>
      <c r="BB779">
        <v>2328</v>
      </c>
      <c r="BC779">
        <v>2372</v>
      </c>
      <c r="BD779" t="s">
        <v>74</v>
      </c>
      <c r="BE779" t="s">
        <v>14688</v>
      </c>
      <c r="BF779" t="str">
        <f>HYPERLINK("http://dx.doi.org/10.1002/2016JB013457","http://dx.doi.org/10.1002/2016JB013457")</f>
        <v>http://dx.doi.org/10.1002/2016JB013457</v>
      </c>
      <c r="BG779" t="s">
        <v>74</v>
      </c>
      <c r="BH779" t="s">
        <v>74</v>
      </c>
      <c r="BI779">
        <v>45</v>
      </c>
      <c r="BJ779" t="s">
        <v>176</v>
      </c>
      <c r="BK779" t="s">
        <v>103</v>
      </c>
      <c r="BL779" t="s">
        <v>176</v>
      </c>
      <c r="BM779" t="s">
        <v>14689</v>
      </c>
      <c r="BN779" t="s">
        <v>74</v>
      </c>
      <c r="BO779" t="s">
        <v>231</v>
      </c>
      <c r="BP779" t="s">
        <v>74</v>
      </c>
      <c r="BQ779" t="s">
        <v>74</v>
      </c>
      <c r="BR779" t="s">
        <v>106</v>
      </c>
      <c r="BS779" t="s">
        <v>14690</v>
      </c>
      <c r="BT779" t="str">
        <f>HYPERLINK("https%3A%2F%2Fwww.webofscience.com%2Fwos%2Fwoscc%2Ffull-record%2FWOS:000399660300042","View Full Record in Web of Science")</f>
        <v>View Full Record in Web of Science</v>
      </c>
    </row>
    <row r="780" spans="1:72" x14ac:dyDescent="0.15">
      <c r="A780" t="s">
        <v>72</v>
      </c>
      <c r="B780" t="s">
        <v>14691</v>
      </c>
      <c r="C780" t="s">
        <v>74</v>
      </c>
      <c r="D780" t="s">
        <v>74</v>
      </c>
      <c r="E780" t="s">
        <v>74</v>
      </c>
      <c r="F780" t="s">
        <v>14692</v>
      </c>
      <c r="G780" t="s">
        <v>74</v>
      </c>
      <c r="H780" t="s">
        <v>74</v>
      </c>
      <c r="I780" t="s">
        <v>14693</v>
      </c>
      <c r="J780" t="s">
        <v>14672</v>
      </c>
      <c r="K780" t="s">
        <v>74</v>
      </c>
      <c r="L780" t="s">
        <v>74</v>
      </c>
      <c r="M780" t="s">
        <v>78</v>
      </c>
      <c r="N780" t="s">
        <v>79</v>
      </c>
      <c r="O780" t="s">
        <v>74</v>
      </c>
      <c r="P780" t="s">
        <v>74</v>
      </c>
      <c r="Q780" t="s">
        <v>74</v>
      </c>
      <c r="R780" t="s">
        <v>74</v>
      </c>
      <c r="S780" t="s">
        <v>74</v>
      </c>
      <c r="T780" t="s">
        <v>14694</v>
      </c>
      <c r="U780" t="s">
        <v>14695</v>
      </c>
      <c r="V780" t="s">
        <v>14696</v>
      </c>
      <c r="W780" t="s">
        <v>14697</v>
      </c>
      <c r="X780" t="s">
        <v>14698</v>
      </c>
      <c r="Y780" t="s">
        <v>14699</v>
      </c>
      <c r="Z780" t="s">
        <v>14700</v>
      </c>
      <c r="AA780" t="s">
        <v>14701</v>
      </c>
      <c r="AB780" t="s">
        <v>14702</v>
      </c>
      <c r="AC780" t="s">
        <v>14703</v>
      </c>
      <c r="AD780" t="s">
        <v>14704</v>
      </c>
      <c r="AE780" t="s">
        <v>14705</v>
      </c>
      <c r="AF780" t="s">
        <v>74</v>
      </c>
      <c r="AG780">
        <v>67</v>
      </c>
      <c r="AH780">
        <v>22</v>
      </c>
      <c r="AI780">
        <v>22</v>
      </c>
      <c r="AJ780">
        <v>2</v>
      </c>
      <c r="AK780">
        <v>15</v>
      </c>
      <c r="AL780" t="s">
        <v>222</v>
      </c>
      <c r="AM780" t="s">
        <v>223</v>
      </c>
      <c r="AN780" t="s">
        <v>224</v>
      </c>
      <c r="AO780" t="s">
        <v>14684</v>
      </c>
      <c r="AP780" t="s">
        <v>14685</v>
      </c>
      <c r="AQ780" t="s">
        <v>74</v>
      </c>
      <c r="AR780" t="s">
        <v>14686</v>
      </c>
      <c r="AS780" t="s">
        <v>14687</v>
      </c>
      <c r="AT780" t="s">
        <v>12439</v>
      </c>
      <c r="AU780">
        <v>2017</v>
      </c>
      <c r="AV780">
        <v>122</v>
      </c>
      <c r="AW780">
        <v>3</v>
      </c>
      <c r="AX780" t="s">
        <v>74</v>
      </c>
      <c r="AY780" t="s">
        <v>74</v>
      </c>
      <c r="AZ780" t="s">
        <v>74</v>
      </c>
      <c r="BA780" t="s">
        <v>74</v>
      </c>
      <c r="BB780">
        <v>2390</v>
      </c>
      <c r="BC780">
        <v>2408</v>
      </c>
      <c r="BD780" t="s">
        <v>74</v>
      </c>
      <c r="BE780" t="s">
        <v>14706</v>
      </c>
      <c r="BF780" t="str">
        <f>HYPERLINK("http://dx.doi.org/10.1002/2016JB013841","http://dx.doi.org/10.1002/2016JB013841")</f>
        <v>http://dx.doi.org/10.1002/2016JB013841</v>
      </c>
      <c r="BG780" t="s">
        <v>74</v>
      </c>
      <c r="BH780" t="s">
        <v>74</v>
      </c>
      <c r="BI780">
        <v>19</v>
      </c>
      <c r="BJ780" t="s">
        <v>176</v>
      </c>
      <c r="BK780" t="s">
        <v>103</v>
      </c>
      <c r="BL780" t="s">
        <v>176</v>
      </c>
      <c r="BM780" t="s">
        <v>14689</v>
      </c>
      <c r="BN780" t="s">
        <v>74</v>
      </c>
      <c r="BO780" t="s">
        <v>2617</v>
      </c>
      <c r="BP780" t="s">
        <v>74</v>
      </c>
      <c r="BQ780" t="s">
        <v>74</v>
      </c>
      <c r="BR780" t="s">
        <v>106</v>
      </c>
      <c r="BS780" t="s">
        <v>14707</v>
      </c>
      <c r="BT780" t="str">
        <f>HYPERLINK("https%3A%2F%2Fwww.webofscience.com%2Fwos%2Fwoscc%2Ffull-record%2FWOS:000399660300044","View Full Record in Web of Science")</f>
        <v>View Full Record in Web of Science</v>
      </c>
    </row>
    <row r="781" spans="1:72" x14ac:dyDescent="0.15">
      <c r="A781" t="s">
        <v>72</v>
      </c>
      <c r="B781" t="s">
        <v>14708</v>
      </c>
      <c r="C781" t="s">
        <v>74</v>
      </c>
      <c r="D781" t="s">
        <v>74</v>
      </c>
      <c r="E781" t="s">
        <v>74</v>
      </c>
      <c r="F781" t="s">
        <v>14709</v>
      </c>
      <c r="G781" t="s">
        <v>74</v>
      </c>
      <c r="H781" t="s">
        <v>74</v>
      </c>
      <c r="I781" t="s">
        <v>14710</v>
      </c>
      <c r="J781" t="s">
        <v>6805</v>
      </c>
      <c r="K781" t="s">
        <v>74</v>
      </c>
      <c r="L781" t="s">
        <v>74</v>
      </c>
      <c r="M781" t="s">
        <v>78</v>
      </c>
      <c r="N781" t="s">
        <v>79</v>
      </c>
      <c r="O781" t="s">
        <v>74</v>
      </c>
      <c r="P781" t="s">
        <v>74</v>
      </c>
      <c r="Q781" t="s">
        <v>74</v>
      </c>
      <c r="R781" t="s">
        <v>74</v>
      </c>
      <c r="S781" t="s">
        <v>74</v>
      </c>
      <c r="T781" t="s">
        <v>74</v>
      </c>
      <c r="U781" t="s">
        <v>14711</v>
      </c>
      <c r="V781" t="s">
        <v>14712</v>
      </c>
      <c r="W781" t="s">
        <v>14713</v>
      </c>
      <c r="X781" t="s">
        <v>14714</v>
      </c>
      <c r="Y781" t="s">
        <v>14715</v>
      </c>
      <c r="Z781" t="s">
        <v>14716</v>
      </c>
      <c r="AA781" t="s">
        <v>14717</v>
      </c>
      <c r="AB781" t="s">
        <v>14718</v>
      </c>
      <c r="AC781" t="s">
        <v>14719</v>
      </c>
      <c r="AD781" t="s">
        <v>14720</v>
      </c>
      <c r="AE781" t="s">
        <v>14721</v>
      </c>
      <c r="AF781" t="s">
        <v>74</v>
      </c>
      <c r="AG781">
        <v>57</v>
      </c>
      <c r="AH781">
        <v>35</v>
      </c>
      <c r="AI781">
        <v>37</v>
      </c>
      <c r="AJ781">
        <v>0</v>
      </c>
      <c r="AK781">
        <v>8</v>
      </c>
      <c r="AL781" t="s">
        <v>6817</v>
      </c>
      <c r="AM781" t="s">
        <v>6818</v>
      </c>
      <c r="AN781" t="s">
        <v>6819</v>
      </c>
      <c r="AO781" t="s">
        <v>6820</v>
      </c>
      <c r="AP781" t="s">
        <v>6821</v>
      </c>
      <c r="AQ781" t="s">
        <v>74</v>
      </c>
      <c r="AR781" t="s">
        <v>6822</v>
      </c>
      <c r="AS781" t="s">
        <v>6823</v>
      </c>
      <c r="AT781" t="s">
        <v>12439</v>
      </c>
      <c r="AU781">
        <v>2017</v>
      </c>
      <c r="AV781">
        <v>174</v>
      </c>
      <c r="AW781">
        <v>2</v>
      </c>
      <c r="AX781" t="s">
        <v>74</v>
      </c>
      <c r="AY781" t="s">
        <v>74</v>
      </c>
      <c r="AZ781" t="s">
        <v>74</v>
      </c>
      <c r="BA781" t="s">
        <v>74</v>
      </c>
      <c r="BB781">
        <v>365</v>
      </c>
      <c r="BC781">
        <v>376</v>
      </c>
      <c r="BD781" t="s">
        <v>74</v>
      </c>
      <c r="BE781" t="s">
        <v>14722</v>
      </c>
      <c r="BF781" t="str">
        <f>HYPERLINK("http://dx.doi.org/10.1144/jgs2016-053","http://dx.doi.org/10.1144/jgs2016-053")</f>
        <v>http://dx.doi.org/10.1144/jgs2016-053</v>
      </c>
      <c r="BG781" t="s">
        <v>74</v>
      </c>
      <c r="BH781" t="s">
        <v>74</v>
      </c>
      <c r="BI781">
        <v>12</v>
      </c>
      <c r="BJ781" t="s">
        <v>437</v>
      </c>
      <c r="BK781" t="s">
        <v>103</v>
      </c>
      <c r="BL781" t="s">
        <v>438</v>
      </c>
      <c r="BM781" t="s">
        <v>14723</v>
      </c>
      <c r="BN781" t="s">
        <v>74</v>
      </c>
      <c r="BO781" t="s">
        <v>664</v>
      </c>
      <c r="BP781" t="s">
        <v>74</v>
      </c>
      <c r="BQ781" t="s">
        <v>74</v>
      </c>
      <c r="BR781" t="s">
        <v>106</v>
      </c>
      <c r="BS781" t="s">
        <v>14724</v>
      </c>
      <c r="BT781" t="str">
        <f>HYPERLINK("https%3A%2F%2Fwww.webofscience.com%2Fwos%2Fwoscc%2Ffull-record%2FWOS:000396821200013","View Full Record in Web of Science")</f>
        <v>View Full Record in Web of Science</v>
      </c>
    </row>
    <row r="782" spans="1:72" x14ac:dyDescent="0.15">
      <c r="A782" t="s">
        <v>72</v>
      </c>
      <c r="B782" t="s">
        <v>14725</v>
      </c>
      <c r="C782" t="s">
        <v>74</v>
      </c>
      <c r="D782" t="s">
        <v>74</v>
      </c>
      <c r="E782" t="s">
        <v>74</v>
      </c>
      <c r="F782" t="s">
        <v>14726</v>
      </c>
      <c r="G782" t="s">
        <v>74</v>
      </c>
      <c r="H782" t="s">
        <v>74</v>
      </c>
      <c r="I782" t="s">
        <v>14727</v>
      </c>
      <c r="J782" t="s">
        <v>718</v>
      </c>
      <c r="K782" t="s">
        <v>74</v>
      </c>
      <c r="L782" t="s">
        <v>74</v>
      </c>
      <c r="M782" t="s">
        <v>78</v>
      </c>
      <c r="N782" t="s">
        <v>79</v>
      </c>
      <c r="O782" t="s">
        <v>74</v>
      </c>
      <c r="P782" t="s">
        <v>74</v>
      </c>
      <c r="Q782" t="s">
        <v>74</v>
      </c>
      <c r="R782" t="s">
        <v>74</v>
      </c>
      <c r="S782" t="s">
        <v>74</v>
      </c>
      <c r="T782" t="s">
        <v>14728</v>
      </c>
      <c r="U782" t="s">
        <v>14729</v>
      </c>
      <c r="V782" t="s">
        <v>14730</v>
      </c>
      <c r="W782" t="s">
        <v>14731</v>
      </c>
      <c r="X782" t="s">
        <v>2399</v>
      </c>
      <c r="Y782" t="s">
        <v>14732</v>
      </c>
      <c r="Z782" t="s">
        <v>14733</v>
      </c>
      <c r="AA782" t="s">
        <v>14734</v>
      </c>
      <c r="AB782" t="s">
        <v>14735</v>
      </c>
      <c r="AC782" t="s">
        <v>3154</v>
      </c>
      <c r="AD782" t="s">
        <v>3155</v>
      </c>
      <c r="AE782" t="s">
        <v>74</v>
      </c>
      <c r="AF782" t="s">
        <v>74</v>
      </c>
      <c r="AG782">
        <v>75</v>
      </c>
      <c r="AH782">
        <v>22</v>
      </c>
      <c r="AI782">
        <v>23</v>
      </c>
      <c r="AJ782">
        <v>0</v>
      </c>
      <c r="AK782">
        <v>28</v>
      </c>
      <c r="AL782" t="s">
        <v>729</v>
      </c>
      <c r="AM782" t="s">
        <v>730</v>
      </c>
      <c r="AN782" t="s">
        <v>731</v>
      </c>
      <c r="AO782" t="s">
        <v>732</v>
      </c>
      <c r="AP782" t="s">
        <v>733</v>
      </c>
      <c r="AQ782" t="s">
        <v>74</v>
      </c>
      <c r="AR782" t="s">
        <v>734</v>
      </c>
      <c r="AS782" t="s">
        <v>735</v>
      </c>
      <c r="AT782" t="s">
        <v>12439</v>
      </c>
      <c r="AU782">
        <v>2017</v>
      </c>
      <c r="AV782">
        <v>164</v>
      </c>
      <c r="AW782">
        <v>3</v>
      </c>
      <c r="AX782" t="s">
        <v>74</v>
      </c>
      <c r="AY782" t="s">
        <v>74</v>
      </c>
      <c r="AZ782" t="s">
        <v>74</v>
      </c>
      <c r="BA782" t="s">
        <v>74</v>
      </c>
      <c r="BB782" t="s">
        <v>74</v>
      </c>
      <c r="BC782" t="s">
        <v>74</v>
      </c>
      <c r="BD782" t="s">
        <v>74</v>
      </c>
      <c r="BE782" t="s">
        <v>14736</v>
      </c>
      <c r="BF782" t="str">
        <f>HYPERLINK("http://dx.doi.org/10.1007/s00227-016-3067-8","http://dx.doi.org/10.1007/s00227-016-3067-8")</f>
        <v>http://dx.doi.org/10.1007/s00227-016-3067-8</v>
      </c>
      <c r="BG782" t="s">
        <v>74</v>
      </c>
      <c r="BH782" t="s">
        <v>74</v>
      </c>
      <c r="BI782">
        <v>14</v>
      </c>
      <c r="BJ782" t="s">
        <v>737</v>
      </c>
      <c r="BK782" t="s">
        <v>103</v>
      </c>
      <c r="BL782" t="s">
        <v>737</v>
      </c>
      <c r="BM782" t="s">
        <v>14737</v>
      </c>
      <c r="BN782" t="s">
        <v>74</v>
      </c>
      <c r="BO782" t="s">
        <v>1100</v>
      </c>
      <c r="BP782" t="s">
        <v>74</v>
      </c>
      <c r="BQ782" t="s">
        <v>74</v>
      </c>
      <c r="BR782" t="s">
        <v>106</v>
      </c>
      <c r="BS782" t="s">
        <v>14738</v>
      </c>
      <c r="BT782" t="str">
        <f>HYPERLINK("https%3A%2F%2Fwww.webofscience.com%2Fwos%2Fwoscc%2Ffull-record%2FWOS:000395180300002","View Full Record in Web of Science")</f>
        <v>View Full Record in Web of Science</v>
      </c>
    </row>
    <row r="783" spans="1:72" x14ac:dyDescent="0.15">
      <c r="A783" t="s">
        <v>72</v>
      </c>
      <c r="B783" t="s">
        <v>14739</v>
      </c>
      <c r="C783" t="s">
        <v>74</v>
      </c>
      <c r="D783" t="s">
        <v>74</v>
      </c>
      <c r="E783" t="s">
        <v>74</v>
      </c>
      <c r="F783" t="s">
        <v>14740</v>
      </c>
      <c r="G783" t="s">
        <v>74</v>
      </c>
      <c r="H783" t="s">
        <v>74</v>
      </c>
      <c r="I783" t="s">
        <v>14741</v>
      </c>
      <c r="J783" t="s">
        <v>6054</v>
      </c>
      <c r="K783" t="s">
        <v>74</v>
      </c>
      <c r="L783" t="s">
        <v>74</v>
      </c>
      <c r="M783" t="s">
        <v>78</v>
      </c>
      <c r="N783" t="s">
        <v>79</v>
      </c>
      <c r="O783" t="s">
        <v>74</v>
      </c>
      <c r="P783" t="s">
        <v>74</v>
      </c>
      <c r="Q783" t="s">
        <v>74</v>
      </c>
      <c r="R783" t="s">
        <v>74</v>
      </c>
      <c r="S783" t="s">
        <v>74</v>
      </c>
      <c r="T783" t="s">
        <v>14742</v>
      </c>
      <c r="U783" t="s">
        <v>14743</v>
      </c>
      <c r="V783" t="s">
        <v>14744</v>
      </c>
      <c r="W783" t="s">
        <v>14745</v>
      </c>
      <c r="X783" t="s">
        <v>14746</v>
      </c>
      <c r="Y783" t="s">
        <v>14747</v>
      </c>
      <c r="Z783" t="s">
        <v>14748</v>
      </c>
      <c r="AA783" t="s">
        <v>14749</v>
      </c>
      <c r="AB783" t="s">
        <v>14750</v>
      </c>
      <c r="AC783" t="s">
        <v>14751</v>
      </c>
      <c r="AD783" t="s">
        <v>14752</v>
      </c>
      <c r="AE783" t="s">
        <v>14753</v>
      </c>
      <c r="AF783" t="s">
        <v>74</v>
      </c>
      <c r="AG783">
        <v>35</v>
      </c>
      <c r="AH783">
        <v>9</v>
      </c>
      <c r="AI783">
        <v>9</v>
      </c>
      <c r="AJ783">
        <v>4</v>
      </c>
      <c r="AK783">
        <v>37</v>
      </c>
      <c r="AL783" t="s">
        <v>374</v>
      </c>
      <c r="AM783" t="s">
        <v>93</v>
      </c>
      <c r="AN783" t="s">
        <v>375</v>
      </c>
      <c r="AO783" t="s">
        <v>6063</v>
      </c>
      <c r="AP783" t="s">
        <v>6064</v>
      </c>
      <c r="AQ783" t="s">
        <v>74</v>
      </c>
      <c r="AR783" t="s">
        <v>6065</v>
      </c>
      <c r="AS783" t="s">
        <v>6066</v>
      </c>
      <c r="AT783" t="s">
        <v>12439</v>
      </c>
      <c r="AU783">
        <v>2017</v>
      </c>
      <c r="AV783">
        <v>77</v>
      </c>
      <c r="AW783" t="s">
        <v>74</v>
      </c>
      <c r="AX783" t="s">
        <v>74</v>
      </c>
      <c r="AY783" t="s">
        <v>74</v>
      </c>
      <c r="AZ783" t="s">
        <v>74</v>
      </c>
      <c r="BA783" t="s">
        <v>74</v>
      </c>
      <c r="BB783">
        <v>90</v>
      </c>
      <c r="BC783">
        <v>96</v>
      </c>
      <c r="BD783" t="s">
        <v>74</v>
      </c>
      <c r="BE783" t="s">
        <v>14754</v>
      </c>
      <c r="BF783" t="str">
        <f>HYPERLINK("http://dx.doi.org/10.1016/j.marpol.2016.12.014","http://dx.doi.org/10.1016/j.marpol.2016.12.014")</f>
        <v>http://dx.doi.org/10.1016/j.marpol.2016.12.014</v>
      </c>
      <c r="BG783" t="s">
        <v>74</v>
      </c>
      <c r="BH783" t="s">
        <v>74</v>
      </c>
      <c r="BI783">
        <v>7</v>
      </c>
      <c r="BJ783" t="s">
        <v>6068</v>
      </c>
      <c r="BK783" t="s">
        <v>3321</v>
      </c>
      <c r="BL783" t="s">
        <v>6069</v>
      </c>
      <c r="BM783" t="s">
        <v>13162</v>
      </c>
      <c r="BN783" t="s">
        <v>74</v>
      </c>
      <c r="BO783" t="s">
        <v>74</v>
      </c>
      <c r="BP783" t="s">
        <v>74</v>
      </c>
      <c r="BQ783" t="s">
        <v>74</v>
      </c>
      <c r="BR783" t="s">
        <v>106</v>
      </c>
      <c r="BS783" t="s">
        <v>14755</v>
      </c>
      <c r="BT783" t="str">
        <f>HYPERLINK("https%3A%2F%2Fwww.webofscience.com%2Fwos%2Fwoscc%2Ffull-record%2FWOS:000394557400011","View Full Record in Web of Science")</f>
        <v>View Full Record in Web of Science</v>
      </c>
    </row>
    <row r="784" spans="1:72" x14ac:dyDescent="0.15">
      <c r="A784" t="s">
        <v>72</v>
      </c>
      <c r="B784" t="s">
        <v>14756</v>
      </c>
      <c r="C784" t="s">
        <v>74</v>
      </c>
      <c r="D784" t="s">
        <v>74</v>
      </c>
      <c r="E784" t="s">
        <v>74</v>
      </c>
      <c r="F784" t="s">
        <v>14757</v>
      </c>
      <c r="G784" t="s">
        <v>74</v>
      </c>
      <c r="H784" t="s">
        <v>74</v>
      </c>
      <c r="I784" t="s">
        <v>14758</v>
      </c>
      <c r="J784" t="s">
        <v>14759</v>
      </c>
      <c r="K784" t="s">
        <v>74</v>
      </c>
      <c r="L784" t="s">
        <v>74</v>
      </c>
      <c r="M784" t="s">
        <v>78</v>
      </c>
      <c r="N784" t="s">
        <v>79</v>
      </c>
      <c r="O784" t="s">
        <v>74</v>
      </c>
      <c r="P784" t="s">
        <v>74</v>
      </c>
      <c r="Q784" t="s">
        <v>74</v>
      </c>
      <c r="R784" t="s">
        <v>74</v>
      </c>
      <c r="S784" t="s">
        <v>74</v>
      </c>
      <c r="T784" t="s">
        <v>14760</v>
      </c>
      <c r="U784" t="s">
        <v>14761</v>
      </c>
      <c r="V784" t="s">
        <v>14762</v>
      </c>
      <c r="W784" t="s">
        <v>14763</v>
      </c>
      <c r="X784" t="s">
        <v>14764</v>
      </c>
      <c r="Y784" t="s">
        <v>14765</v>
      </c>
      <c r="Z784" t="s">
        <v>14766</v>
      </c>
      <c r="AA784" t="s">
        <v>14767</v>
      </c>
      <c r="AB784" t="s">
        <v>14768</v>
      </c>
      <c r="AC784" t="s">
        <v>14769</v>
      </c>
      <c r="AD784" t="s">
        <v>14770</v>
      </c>
      <c r="AE784" t="s">
        <v>14771</v>
      </c>
      <c r="AF784" t="s">
        <v>74</v>
      </c>
      <c r="AG784">
        <v>59</v>
      </c>
      <c r="AH784">
        <v>12</v>
      </c>
      <c r="AI784">
        <v>13</v>
      </c>
      <c r="AJ784">
        <v>0</v>
      </c>
      <c r="AK784">
        <v>11</v>
      </c>
      <c r="AL784" t="s">
        <v>611</v>
      </c>
      <c r="AM784" t="s">
        <v>612</v>
      </c>
      <c r="AN784" t="s">
        <v>613</v>
      </c>
      <c r="AO784" t="s">
        <v>74</v>
      </c>
      <c r="AP784" t="s">
        <v>14772</v>
      </c>
      <c r="AQ784" t="s">
        <v>74</v>
      </c>
      <c r="AR784" t="s">
        <v>14759</v>
      </c>
      <c r="AS784" t="s">
        <v>14773</v>
      </c>
      <c r="AT784" t="s">
        <v>12439</v>
      </c>
      <c r="AU784">
        <v>2017</v>
      </c>
      <c r="AV784">
        <v>5</v>
      </c>
      <c r="AW784">
        <v>1</v>
      </c>
      <c r="AX784" t="s">
        <v>74</v>
      </c>
      <c r="AY784" t="s">
        <v>74</v>
      </c>
      <c r="AZ784" t="s">
        <v>74</v>
      </c>
      <c r="BA784" t="s">
        <v>74</v>
      </c>
      <c r="BB784" t="s">
        <v>74</v>
      </c>
      <c r="BC784" t="s">
        <v>74</v>
      </c>
      <c r="BD784">
        <v>8</v>
      </c>
      <c r="BE784" t="s">
        <v>14774</v>
      </c>
      <c r="BF784" t="str">
        <f>HYPERLINK("http://dx.doi.org/10.3390/microorganisms5010008","http://dx.doi.org/10.3390/microorganisms5010008")</f>
        <v>http://dx.doi.org/10.3390/microorganisms5010008</v>
      </c>
      <c r="BG784" t="s">
        <v>74</v>
      </c>
      <c r="BH784" t="s">
        <v>74</v>
      </c>
      <c r="BI784">
        <v>16</v>
      </c>
      <c r="BJ784" t="s">
        <v>410</v>
      </c>
      <c r="BK784" t="s">
        <v>103</v>
      </c>
      <c r="BL784" t="s">
        <v>410</v>
      </c>
      <c r="BM784" t="s">
        <v>14775</v>
      </c>
      <c r="BN784">
        <v>28230808</v>
      </c>
      <c r="BO784" t="s">
        <v>4360</v>
      </c>
      <c r="BP784" t="s">
        <v>74</v>
      </c>
      <c r="BQ784" t="s">
        <v>74</v>
      </c>
      <c r="BR784" t="s">
        <v>106</v>
      </c>
      <c r="BS784" t="s">
        <v>14776</v>
      </c>
      <c r="BT784" t="str">
        <f>HYPERLINK("https%3A%2F%2Fwww.webofscience.com%2Fwos%2Fwoscc%2Ffull-record%2FWOS:000443143000007","View Full Record in Web of Science")</f>
        <v>View Full Record in Web of Science</v>
      </c>
    </row>
    <row r="785" spans="1:72" x14ac:dyDescent="0.15">
      <c r="A785" t="s">
        <v>72</v>
      </c>
      <c r="B785" t="s">
        <v>14777</v>
      </c>
      <c r="C785" t="s">
        <v>74</v>
      </c>
      <c r="D785" t="s">
        <v>74</v>
      </c>
      <c r="E785" t="s">
        <v>74</v>
      </c>
      <c r="F785" t="s">
        <v>14778</v>
      </c>
      <c r="G785" t="s">
        <v>74</v>
      </c>
      <c r="H785" t="s">
        <v>74</v>
      </c>
      <c r="I785" t="s">
        <v>14779</v>
      </c>
      <c r="J785" t="s">
        <v>14780</v>
      </c>
      <c r="K785" t="s">
        <v>74</v>
      </c>
      <c r="L785" t="s">
        <v>74</v>
      </c>
      <c r="M785" t="s">
        <v>78</v>
      </c>
      <c r="N785" t="s">
        <v>79</v>
      </c>
      <c r="O785" t="s">
        <v>74</v>
      </c>
      <c r="P785" t="s">
        <v>74</v>
      </c>
      <c r="Q785" t="s">
        <v>74</v>
      </c>
      <c r="R785" t="s">
        <v>74</v>
      </c>
      <c r="S785" t="s">
        <v>74</v>
      </c>
      <c r="T785" t="s">
        <v>74</v>
      </c>
      <c r="U785" t="s">
        <v>14781</v>
      </c>
      <c r="V785" t="s">
        <v>14782</v>
      </c>
      <c r="W785" t="s">
        <v>14783</v>
      </c>
      <c r="X785" t="s">
        <v>14784</v>
      </c>
      <c r="Y785" t="s">
        <v>14785</v>
      </c>
      <c r="Z785" t="s">
        <v>14786</v>
      </c>
      <c r="AA785" t="s">
        <v>14787</v>
      </c>
      <c r="AB785" t="s">
        <v>14788</v>
      </c>
      <c r="AC785" t="s">
        <v>14789</v>
      </c>
      <c r="AD785" t="s">
        <v>14790</v>
      </c>
      <c r="AE785" t="s">
        <v>14791</v>
      </c>
      <c r="AF785" t="s">
        <v>74</v>
      </c>
      <c r="AG785">
        <v>53</v>
      </c>
      <c r="AH785">
        <v>90</v>
      </c>
      <c r="AI785">
        <v>115</v>
      </c>
      <c r="AJ785">
        <v>9</v>
      </c>
      <c r="AK785">
        <v>142</v>
      </c>
      <c r="AL785" t="s">
        <v>1611</v>
      </c>
      <c r="AM785" t="s">
        <v>403</v>
      </c>
      <c r="AN785" t="s">
        <v>1612</v>
      </c>
      <c r="AO785" t="s">
        <v>14792</v>
      </c>
      <c r="AP785" t="s">
        <v>14793</v>
      </c>
      <c r="AQ785" t="s">
        <v>74</v>
      </c>
      <c r="AR785" t="s">
        <v>14794</v>
      </c>
      <c r="AS785" t="s">
        <v>14795</v>
      </c>
      <c r="AT785" t="s">
        <v>12439</v>
      </c>
      <c r="AU785">
        <v>2017</v>
      </c>
      <c r="AV785">
        <v>7</v>
      </c>
      <c r="AW785">
        <v>3</v>
      </c>
      <c r="AX785" t="s">
        <v>74</v>
      </c>
      <c r="AY785" t="s">
        <v>74</v>
      </c>
      <c r="AZ785" t="s">
        <v>74</v>
      </c>
      <c r="BA785" t="s">
        <v>74</v>
      </c>
      <c r="BB785">
        <v>195</v>
      </c>
      <c r="BC785" t="s">
        <v>1485</v>
      </c>
      <c r="BD785" t="s">
        <v>74</v>
      </c>
      <c r="BE785" t="s">
        <v>14796</v>
      </c>
      <c r="BF785" t="str">
        <f>HYPERLINK("http://dx.doi.org/10.1038/NCLIMATE3228","http://dx.doi.org/10.1038/NCLIMATE3228")</f>
        <v>http://dx.doi.org/10.1038/NCLIMATE3228</v>
      </c>
      <c r="BG785" t="s">
        <v>74</v>
      </c>
      <c r="BH785" t="s">
        <v>74</v>
      </c>
      <c r="BI785">
        <v>7</v>
      </c>
      <c r="BJ785" t="s">
        <v>14797</v>
      </c>
      <c r="BK785" t="s">
        <v>5266</v>
      </c>
      <c r="BL785" t="s">
        <v>3615</v>
      </c>
      <c r="BM785" t="s">
        <v>14798</v>
      </c>
      <c r="BN785" t="s">
        <v>74</v>
      </c>
      <c r="BO785" t="s">
        <v>74</v>
      </c>
      <c r="BP785" t="s">
        <v>74</v>
      </c>
      <c r="BQ785" t="s">
        <v>74</v>
      </c>
      <c r="BR785" t="s">
        <v>106</v>
      </c>
      <c r="BS785" t="s">
        <v>14799</v>
      </c>
      <c r="BT785" t="str">
        <f>HYPERLINK("https%3A%2F%2Fwww.webofscience.com%2Fwos%2Fwoscc%2Ffull-record%2FWOS:000396349400014","View Full Record in Web of Science")</f>
        <v>View Full Record in Web of Science</v>
      </c>
    </row>
    <row r="786" spans="1:72" x14ac:dyDescent="0.15">
      <c r="A786" t="s">
        <v>72</v>
      </c>
      <c r="B786" t="s">
        <v>14800</v>
      </c>
      <c r="C786" t="s">
        <v>74</v>
      </c>
      <c r="D786" t="s">
        <v>74</v>
      </c>
      <c r="E786" t="s">
        <v>74</v>
      </c>
      <c r="F786" t="s">
        <v>14801</v>
      </c>
      <c r="G786" t="s">
        <v>74</v>
      </c>
      <c r="H786" t="s">
        <v>74</v>
      </c>
      <c r="I786" t="s">
        <v>14802</v>
      </c>
      <c r="J786" t="s">
        <v>6948</v>
      </c>
      <c r="K786" t="s">
        <v>74</v>
      </c>
      <c r="L786" t="s">
        <v>74</v>
      </c>
      <c r="M786" t="s">
        <v>78</v>
      </c>
      <c r="N786" t="s">
        <v>79</v>
      </c>
      <c r="O786" t="s">
        <v>74</v>
      </c>
      <c r="P786" t="s">
        <v>74</v>
      </c>
      <c r="Q786" t="s">
        <v>74</v>
      </c>
      <c r="R786" t="s">
        <v>74</v>
      </c>
      <c r="S786" t="s">
        <v>74</v>
      </c>
      <c r="T786" t="s">
        <v>74</v>
      </c>
      <c r="U786" t="s">
        <v>14803</v>
      </c>
      <c r="V786" t="s">
        <v>14804</v>
      </c>
      <c r="W786" t="s">
        <v>14805</v>
      </c>
      <c r="X786" t="s">
        <v>14806</v>
      </c>
      <c r="Y786" t="s">
        <v>14807</v>
      </c>
      <c r="Z786" t="s">
        <v>14808</v>
      </c>
      <c r="AA786" t="s">
        <v>14809</v>
      </c>
      <c r="AB786" t="s">
        <v>14810</v>
      </c>
      <c r="AC786" t="s">
        <v>14811</v>
      </c>
      <c r="AD786" t="s">
        <v>14812</v>
      </c>
      <c r="AE786" t="s">
        <v>14813</v>
      </c>
      <c r="AF786" t="s">
        <v>74</v>
      </c>
      <c r="AG786">
        <v>30</v>
      </c>
      <c r="AH786">
        <v>61</v>
      </c>
      <c r="AI786">
        <v>66</v>
      </c>
      <c r="AJ786">
        <v>1</v>
      </c>
      <c r="AK786">
        <v>58</v>
      </c>
      <c r="AL786" t="s">
        <v>1611</v>
      </c>
      <c r="AM786" t="s">
        <v>430</v>
      </c>
      <c r="AN786" t="s">
        <v>10905</v>
      </c>
      <c r="AO786" t="s">
        <v>6960</v>
      </c>
      <c r="AP786" t="s">
        <v>6961</v>
      </c>
      <c r="AQ786" t="s">
        <v>74</v>
      </c>
      <c r="AR786" t="s">
        <v>6962</v>
      </c>
      <c r="AS786" t="s">
        <v>6963</v>
      </c>
      <c r="AT786" t="s">
        <v>12439</v>
      </c>
      <c r="AU786">
        <v>2017</v>
      </c>
      <c r="AV786">
        <v>10</v>
      </c>
      <c r="AW786">
        <v>3</v>
      </c>
      <c r="AX786" t="s">
        <v>74</v>
      </c>
      <c r="AY786" t="s">
        <v>74</v>
      </c>
      <c r="AZ786" t="s">
        <v>74</v>
      </c>
      <c r="BA786" t="s">
        <v>74</v>
      </c>
      <c r="BB786">
        <v>213</v>
      </c>
      <c r="BC786" t="s">
        <v>1485</v>
      </c>
      <c r="BD786" t="s">
        <v>74</v>
      </c>
      <c r="BE786" t="s">
        <v>14814</v>
      </c>
      <c r="BF786" t="str">
        <f>HYPERLINK("http://dx.doi.org/10.1038/NGEO2888","http://dx.doi.org/10.1038/NGEO2888")</f>
        <v>http://dx.doi.org/10.1038/NGEO2888</v>
      </c>
      <c r="BG786" t="s">
        <v>74</v>
      </c>
      <c r="BH786" t="s">
        <v>74</v>
      </c>
      <c r="BI786">
        <v>6</v>
      </c>
      <c r="BJ786" t="s">
        <v>437</v>
      </c>
      <c r="BK786" t="s">
        <v>103</v>
      </c>
      <c r="BL786" t="s">
        <v>438</v>
      </c>
      <c r="BM786" t="s">
        <v>13924</v>
      </c>
      <c r="BN786" t="s">
        <v>74</v>
      </c>
      <c r="BO786" t="s">
        <v>74</v>
      </c>
      <c r="BP786" t="s">
        <v>74</v>
      </c>
      <c r="BQ786" t="s">
        <v>74</v>
      </c>
      <c r="BR786" t="s">
        <v>106</v>
      </c>
      <c r="BS786" t="s">
        <v>14815</v>
      </c>
      <c r="BT786" t="str">
        <f>HYPERLINK("https%3A%2F%2Fwww.webofscience.com%2Fwos%2Fwoscc%2Ffull-record%2FWOS:000395791400014","View Full Record in Web of Science")</f>
        <v>View Full Record in Web of Science</v>
      </c>
    </row>
    <row r="787" spans="1:72" x14ac:dyDescent="0.15">
      <c r="A787" t="s">
        <v>72</v>
      </c>
      <c r="B787" t="s">
        <v>14816</v>
      </c>
      <c r="C787" t="s">
        <v>74</v>
      </c>
      <c r="D787" t="s">
        <v>74</v>
      </c>
      <c r="E787" t="s">
        <v>74</v>
      </c>
      <c r="F787" t="s">
        <v>14817</v>
      </c>
      <c r="G787" t="s">
        <v>74</v>
      </c>
      <c r="H787" t="s">
        <v>74</v>
      </c>
      <c r="I787" t="s">
        <v>14818</v>
      </c>
      <c r="J787" t="s">
        <v>2835</v>
      </c>
      <c r="K787" t="s">
        <v>74</v>
      </c>
      <c r="L787" t="s">
        <v>74</v>
      </c>
      <c r="M787" t="s">
        <v>78</v>
      </c>
      <c r="N787" t="s">
        <v>79</v>
      </c>
      <c r="O787" t="s">
        <v>74</v>
      </c>
      <c r="P787" t="s">
        <v>74</v>
      </c>
      <c r="Q787" t="s">
        <v>74</v>
      </c>
      <c r="R787" t="s">
        <v>74</v>
      </c>
      <c r="S787" t="s">
        <v>74</v>
      </c>
      <c r="T787" t="s">
        <v>74</v>
      </c>
      <c r="U787" t="s">
        <v>14819</v>
      </c>
      <c r="V787" t="s">
        <v>14820</v>
      </c>
      <c r="W787" t="s">
        <v>14821</v>
      </c>
      <c r="X787" t="s">
        <v>14822</v>
      </c>
      <c r="Y787" t="s">
        <v>14823</v>
      </c>
      <c r="Z787" t="s">
        <v>14824</v>
      </c>
      <c r="AA787" t="s">
        <v>14825</v>
      </c>
      <c r="AB787" t="s">
        <v>14826</v>
      </c>
      <c r="AC787" t="s">
        <v>74</v>
      </c>
      <c r="AD787" t="s">
        <v>74</v>
      </c>
      <c r="AE787" t="s">
        <v>74</v>
      </c>
      <c r="AF787" t="s">
        <v>74</v>
      </c>
      <c r="AG787">
        <v>118</v>
      </c>
      <c r="AH787">
        <v>22</v>
      </c>
      <c r="AI787">
        <v>25</v>
      </c>
      <c r="AJ787">
        <v>7</v>
      </c>
      <c r="AK787">
        <v>34</v>
      </c>
      <c r="AL787" t="s">
        <v>222</v>
      </c>
      <c r="AM787" t="s">
        <v>223</v>
      </c>
      <c r="AN787" t="s">
        <v>224</v>
      </c>
      <c r="AO787" t="s">
        <v>2848</v>
      </c>
      <c r="AP787" t="s">
        <v>2849</v>
      </c>
      <c r="AQ787" t="s">
        <v>74</v>
      </c>
      <c r="AR787" t="s">
        <v>2835</v>
      </c>
      <c r="AS787" t="s">
        <v>2850</v>
      </c>
      <c r="AT787" t="s">
        <v>12439</v>
      </c>
      <c r="AU787">
        <v>2017</v>
      </c>
      <c r="AV787">
        <v>32</v>
      </c>
      <c r="AW787">
        <v>3</v>
      </c>
      <c r="AX787" t="s">
        <v>74</v>
      </c>
      <c r="AY787" t="s">
        <v>74</v>
      </c>
      <c r="AZ787" t="s">
        <v>74</v>
      </c>
      <c r="BA787" t="s">
        <v>74</v>
      </c>
      <c r="BB787">
        <v>265</v>
      </c>
      <c r="BC787">
        <v>283</v>
      </c>
      <c r="BD787" t="s">
        <v>74</v>
      </c>
      <c r="BE787" t="s">
        <v>14827</v>
      </c>
      <c r="BF787" t="str">
        <f>HYPERLINK("http://dx.doi.org/10.1002/2016PA003056","http://dx.doi.org/10.1002/2016PA003056")</f>
        <v>http://dx.doi.org/10.1002/2016PA003056</v>
      </c>
      <c r="BG787" t="s">
        <v>74</v>
      </c>
      <c r="BH787" t="s">
        <v>74</v>
      </c>
      <c r="BI787">
        <v>19</v>
      </c>
      <c r="BJ787" t="s">
        <v>2852</v>
      </c>
      <c r="BK787" t="s">
        <v>103</v>
      </c>
      <c r="BL787" t="s">
        <v>2853</v>
      </c>
      <c r="BM787" t="s">
        <v>12848</v>
      </c>
      <c r="BN787" t="s">
        <v>74</v>
      </c>
      <c r="BO787" t="s">
        <v>7751</v>
      </c>
      <c r="BP787" t="s">
        <v>74</v>
      </c>
      <c r="BQ787" t="s">
        <v>74</v>
      </c>
      <c r="BR787" t="s">
        <v>106</v>
      </c>
      <c r="BS787" t="s">
        <v>14828</v>
      </c>
      <c r="BT787" t="str">
        <f>HYPERLINK("https%3A%2F%2Fwww.webofscience.com%2Fwos%2Fwoscc%2Ffull-record%2FWOS:000399449100003","View Full Record in Web of Science")</f>
        <v>View Full Record in Web of Science</v>
      </c>
    </row>
    <row r="788" spans="1:72" x14ac:dyDescent="0.15">
      <c r="A788" t="s">
        <v>72</v>
      </c>
      <c r="B788" t="s">
        <v>14829</v>
      </c>
      <c r="C788" t="s">
        <v>74</v>
      </c>
      <c r="D788" t="s">
        <v>74</v>
      </c>
      <c r="E788" t="s">
        <v>74</v>
      </c>
      <c r="F788" t="s">
        <v>14830</v>
      </c>
      <c r="G788" t="s">
        <v>74</v>
      </c>
      <c r="H788" t="s">
        <v>74</v>
      </c>
      <c r="I788" t="s">
        <v>14831</v>
      </c>
      <c r="J788" t="s">
        <v>14832</v>
      </c>
      <c r="K788" t="s">
        <v>74</v>
      </c>
      <c r="L788" t="s">
        <v>74</v>
      </c>
      <c r="M788" t="s">
        <v>78</v>
      </c>
      <c r="N788" t="s">
        <v>79</v>
      </c>
      <c r="O788" t="s">
        <v>74</v>
      </c>
      <c r="P788" t="s">
        <v>74</v>
      </c>
      <c r="Q788" t="s">
        <v>74</v>
      </c>
      <c r="R788" t="s">
        <v>74</v>
      </c>
      <c r="S788" t="s">
        <v>74</v>
      </c>
      <c r="T788" t="s">
        <v>74</v>
      </c>
      <c r="U788" t="s">
        <v>14833</v>
      </c>
      <c r="V788" t="s">
        <v>14834</v>
      </c>
      <c r="W788" t="s">
        <v>14835</v>
      </c>
      <c r="X788" t="s">
        <v>14836</v>
      </c>
      <c r="Y788" t="s">
        <v>14837</v>
      </c>
      <c r="Z788" t="s">
        <v>14838</v>
      </c>
      <c r="AA788" t="s">
        <v>14839</v>
      </c>
      <c r="AB788" t="s">
        <v>14840</v>
      </c>
      <c r="AC788" t="s">
        <v>14841</v>
      </c>
      <c r="AD788" t="s">
        <v>14842</v>
      </c>
      <c r="AE788" t="s">
        <v>14843</v>
      </c>
      <c r="AF788" t="s">
        <v>74</v>
      </c>
      <c r="AG788">
        <v>45</v>
      </c>
      <c r="AH788">
        <v>54</v>
      </c>
      <c r="AI788">
        <v>56</v>
      </c>
      <c r="AJ788">
        <v>1</v>
      </c>
      <c r="AK788">
        <v>41</v>
      </c>
      <c r="AL788" t="s">
        <v>3861</v>
      </c>
      <c r="AM788" t="s">
        <v>3862</v>
      </c>
      <c r="AN788" t="s">
        <v>3863</v>
      </c>
      <c r="AO788" t="s">
        <v>14844</v>
      </c>
      <c r="AP788" t="s">
        <v>14845</v>
      </c>
      <c r="AQ788" t="s">
        <v>74</v>
      </c>
      <c r="AR788" t="s">
        <v>14846</v>
      </c>
      <c r="AS788" t="s">
        <v>14847</v>
      </c>
      <c r="AT788" t="s">
        <v>12439</v>
      </c>
      <c r="AU788">
        <v>2017</v>
      </c>
      <c r="AV788">
        <v>15</v>
      </c>
      <c r="AW788">
        <v>3</v>
      </c>
      <c r="AX788" t="s">
        <v>74</v>
      </c>
      <c r="AY788" t="s">
        <v>74</v>
      </c>
      <c r="AZ788" t="s">
        <v>74</v>
      </c>
      <c r="BA788" t="s">
        <v>74</v>
      </c>
      <c r="BB788" t="s">
        <v>74</v>
      </c>
      <c r="BC788" t="s">
        <v>74</v>
      </c>
      <c r="BD788" t="s">
        <v>14848</v>
      </c>
      <c r="BE788" t="s">
        <v>14849</v>
      </c>
      <c r="BF788" t="str">
        <f>HYPERLINK("http://dx.doi.org/10.1371/journal.pbio.2001656","http://dx.doi.org/10.1371/journal.pbio.2001656")</f>
        <v>http://dx.doi.org/10.1371/journal.pbio.2001656</v>
      </c>
      <c r="BG788" t="s">
        <v>74</v>
      </c>
      <c r="BH788" t="s">
        <v>74</v>
      </c>
      <c r="BI788">
        <v>10</v>
      </c>
      <c r="BJ788" t="s">
        <v>14850</v>
      </c>
      <c r="BK788" t="s">
        <v>103</v>
      </c>
      <c r="BL788" t="s">
        <v>14851</v>
      </c>
      <c r="BM788" t="s">
        <v>14852</v>
      </c>
      <c r="BN788">
        <v>28350825</v>
      </c>
      <c r="BO788" t="s">
        <v>14853</v>
      </c>
      <c r="BP788" t="s">
        <v>74</v>
      </c>
      <c r="BQ788" t="s">
        <v>74</v>
      </c>
      <c r="BR788" t="s">
        <v>106</v>
      </c>
      <c r="BS788" t="s">
        <v>14854</v>
      </c>
      <c r="BT788" t="str">
        <f>HYPERLINK("https%3A%2F%2Fwww.webofscience.com%2Fwos%2Fwoscc%2Ffull-record%2FWOS:000397909600016","View Full Record in Web of Science")</f>
        <v>View Full Record in Web of Science</v>
      </c>
    </row>
    <row r="789" spans="1:72" x14ac:dyDescent="0.15">
      <c r="A789" t="s">
        <v>72</v>
      </c>
      <c r="B789" t="s">
        <v>14855</v>
      </c>
      <c r="C789" t="s">
        <v>74</v>
      </c>
      <c r="D789" t="s">
        <v>74</v>
      </c>
      <c r="E789" t="s">
        <v>74</v>
      </c>
      <c r="F789" t="s">
        <v>14856</v>
      </c>
      <c r="G789" t="s">
        <v>74</v>
      </c>
      <c r="H789" t="s">
        <v>74</v>
      </c>
      <c r="I789" t="s">
        <v>14857</v>
      </c>
      <c r="J789" t="s">
        <v>3849</v>
      </c>
      <c r="K789" t="s">
        <v>74</v>
      </c>
      <c r="L789" t="s">
        <v>74</v>
      </c>
      <c r="M789" t="s">
        <v>78</v>
      </c>
      <c r="N789" t="s">
        <v>79</v>
      </c>
      <c r="O789" t="s">
        <v>74</v>
      </c>
      <c r="P789" t="s">
        <v>74</v>
      </c>
      <c r="Q789" t="s">
        <v>74</v>
      </c>
      <c r="R789" t="s">
        <v>74</v>
      </c>
      <c r="S789" t="s">
        <v>74</v>
      </c>
      <c r="T789" t="s">
        <v>74</v>
      </c>
      <c r="U789" t="s">
        <v>14858</v>
      </c>
      <c r="V789" t="s">
        <v>14859</v>
      </c>
      <c r="W789" t="s">
        <v>14860</v>
      </c>
      <c r="X789" t="s">
        <v>14861</v>
      </c>
      <c r="Y789" t="s">
        <v>14862</v>
      </c>
      <c r="Z789" t="s">
        <v>14863</v>
      </c>
      <c r="AA789" t="s">
        <v>14864</v>
      </c>
      <c r="AB789" t="s">
        <v>14865</v>
      </c>
      <c r="AC789" t="s">
        <v>14866</v>
      </c>
      <c r="AD789" t="s">
        <v>14867</v>
      </c>
      <c r="AE789" t="s">
        <v>14868</v>
      </c>
      <c r="AF789" t="s">
        <v>74</v>
      </c>
      <c r="AG789">
        <v>75</v>
      </c>
      <c r="AH789">
        <v>7</v>
      </c>
      <c r="AI789">
        <v>7</v>
      </c>
      <c r="AJ789">
        <v>1</v>
      </c>
      <c r="AK789">
        <v>15</v>
      </c>
      <c r="AL789" t="s">
        <v>3861</v>
      </c>
      <c r="AM789" t="s">
        <v>3862</v>
      </c>
      <c r="AN789" t="s">
        <v>3863</v>
      </c>
      <c r="AO789" t="s">
        <v>3864</v>
      </c>
      <c r="AP789" t="s">
        <v>74</v>
      </c>
      <c r="AQ789" t="s">
        <v>74</v>
      </c>
      <c r="AR789" t="s">
        <v>3849</v>
      </c>
      <c r="AS789" t="s">
        <v>3865</v>
      </c>
      <c r="AT789" t="s">
        <v>12516</v>
      </c>
      <c r="AU789">
        <v>2017</v>
      </c>
      <c r="AV789">
        <v>12</v>
      </c>
      <c r="AW789">
        <v>3</v>
      </c>
      <c r="AX789" t="s">
        <v>74</v>
      </c>
      <c r="AY789" t="s">
        <v>74</v>
      </c>
      <c r="AZ789" t="s">
        <v>74</v>
      </c>
      <c r="BA789" t="s">
        <v>74</v>
      </c>
      <c r="BB789" t="s">
        <v>74</v>
      </c>
      <c r="BC789" t="s">
        <v>74</v>
      </c>
      <c r="BD789" t="s">
        <v>14869</v>
      </c>
      <c r="BE789" t="s">
        <v>14870</v>
      </c>
      <c r="BF789" t="str">
        <f>HYPERLINK("http://dx.doi.org/10.1371/journal.pone.0172169","http://dx.doi.org/10.1371/journal.pone.0172169")</f>
        <v>http://dx.doi.org/10.1371/journal.pone.0172169</v>
      </c>
      <c r="BG789" t="s">
        <v>74</v>
      </c>
      <c r="BH789" t="s">
        <v>74</v>
      </c>
      <c r="BI789">
        <v>20</v>
      </c>
      <c r="BJ789" t="s">
        <v>1617</v>
      </c>
      <c r="BK789" t="s">
        <v>103</v>
      </c>
      <c r="BL789" t="s">
        <v>1618</v>
      </c>
      <c r="BM789" t="s">
        <v>14871</v>
      </c>
      <c r="BN789">
        <v>28248970</v>
      </c>
      <c r="BO789" t="s">
        <v>4540</v>
      </c>
      <c r="BP789" t="s">
        <v>74</v>
      </c>
      <c r="BQ789" t="s">
        <v>74</v>
      </c>
      <c r="BR789" t="s">
        <v>106</v>
      </c>
      <c r="BS789" t="s">
        <v>14872</v>
      </c>
      <c r="BT789" t="str">
        <f>HYPERLINK("https%3A%2F%2Fwww.webofscience.com%2Fwos%2Fwoscc%2Ffull-record%2FWOS:000395983500027","View Full Record in Web of Science")</f>
        <v>View Full Record in Web of Science</v>
      </c>
    </row>
    <row r="790" spans="1:72" x14ac:dyDescent="0.15">
      <c r="A790" t="s">
        <v>72</v>
      </c>
      <c r="B790" t="s">
        <v>14873</v>
      </c>
      <c r="C790" t="s">
        <v>74</v>
      </c>
      <c r="D790" t="s">
        <v>74</v>
      </c>
      <c r="E790" t="s">
        <v>74</v>
      </c>
      <c r="F790" t="s">
        <v>14874</v>
      </c>
      <c r="G790" t="s">
        <v>74</v>
      </c>
      <c r="H790" t="s">
        <v>74</v>
      </c>
      <c r="I790" t="s">
        <v>14875</v>
      </c>
      <c r="J790" t="s">
        <v>3849</v>
      </c>
      <c r="K790" t="s">
        <v>74</v>
      </c>
      <c r="L790" t="s">
        <v>74</v>
      </c>
      <c r="M790" t="s">
        <v>78</v>
      </c>
      <c r="N790" t="s">
        <v>79</v>
      </c>
      <c r="O790" t="s">
        <v>74</v>
      </c>
      <c r="P790" t="s">
        <v>74</v>
      </c>
      <c r="Q790" t="s">
        <v>74</v>
      </c>
      <c r="R790" t="s">
        <v>74</v>
      </c>
      <c r="S790" t="s">
        <v>74</v>
      </c>
      <c r="T790" t="s">
        <v>74</v>
      </c>
      <c r="U790" t="s">
        <v>14876</v>
      </c>
      <c r="V790" t="s">
        <v>14877</v>
      </c>
      <c r="W790" t="s">
        <v>14878</v>
      </c>
      <c r="X790" t="s">
        <v>14879</v>
      </c>
      <c r="Y790" t="s">
        <v>14880</v>
      </c>
      <c r="Z790" t="s">
        <v>14881</v>
      </c>
      <c r="AA790" t="s">
        <v>14882</v>
      </c>
      <c r="AB790" t="s">
        <v>14883</v>
      </c>
      <c r="AC790" t="s">
        <v>14884</v>
      </c>
      <c r="AD790" t="s">
        <v>14884</v>
      </c>
      <c r="AE790" t="s">
        <v>14885</v>
      </c>
      <c r="AF790" t="s">
        <v>74</v>
      </c>
      <c r="AG790">
        <v>79</v>
      </c>
      <c r="AH790">
        <v>53</v>
      </c>
      <c r="AI790">
        <v>56</v>
      </c>
      <c r="AJ790">
        <v>1</v>
      </c>
      <c r="AK790">
        <v>45</v>
      </c>
      <c r="AL790" t="s">
        <v>3861</v>
      </c>
      <c r="AM790" t="s">
        <v>3862</v>
      </c>
      <c r="AN790" t="s">
        <v>3863</v>
      </c>
      <c r="AO790" t="s">
        <v>3864</v>
      </c>
      <c r="AP790" t="s">
        <v>74</v>
      </c>
      <c r="AQ790" t="s">
        <v>74</v>
      </c>
      <c r="AR790" t="s">
        <v>3849</v>
      </c>
      <c r="AS790" t="s">
        <v>3865</v>
      </c>
      <c r="AT790" t="s">
        <v>12516</v>
      </c>
      <c r="AU790">
        <v>2017</v>
      </c>
      <c r="AV790">
        <v>12</v>
      </c>
      <c r="AW790">
        <v>3</v>
      </c>
      <c r="AX790" t="s">
        <v>74</v>
      </c>
      <c r="AY790" t="s">
        <v>74</v>
      </c>
      <c r="AZ790" t="s">
        <v>74</v>
      </c>
      <c r="BA790" t="s">
        <v>74</v>
      </c>
      <c r="BB790" t="s">
        <v>74</v>
      </c>
      <c r="BC790" t="s">
        <v>74</v>
      </c>
      <c r="BD790" t="s">
        <v>14886</v>
      </c>
      <c r="BE790" t="s">
        <v>14887</v>
      </c>
      <c r="BF790" t="str">
        <f>HYPERLINK("http://dx.doi.org/10.1371/journal.pone.0172002","http://dx.doi.org/10.1371/journal.pone.0172002")</f>
        <v>http://dx.doi.org/10.1371/journal.pone.0172002</v>
      </c>
      <c r="BG790" t="s">
        <v>74</v>
      </c>
      <c r="BH790" t="s">
        <v>74</v>
      </c>
      <c r="BI790">
        <v>18</v>
      </c>
      <c r="BJ790" t="s">
        <v>1617</v>
      </c>
      <c r="BK790" t="s">
        <v>103</v>
      </c>
      <c r="BL790" t="s">
        <v>1618</v>
      </c>
      <c r="BM790" t="s">
        <v>14871</v>
      </c>
      <c r="BN790">
        <v>28249036</v>
      </c>
      <c r="BO790" t="s">
        <v>7299</v>
      </c>
      <c r="BP790" t="s">
        <v>74</v>
      </c>
      <c r="BQ790" t="s">
        <v>74</v>
      </c>
      <c r="BR790" t="s">
        <v>106</v>
      </c>
      <c r="BS790" t="s">
        <v>14888</v>
      </c>
      <c r="BT790" t="str">
        <f>HYPERLINK("https%3A%2F%2Fwww.webofscience.com%2Fwos%2Fwoscc%2Ffull-record%2FWOS:000395983500025","View Full Record in Web of Science")</f>
        <v>View Full Record in Web of Science</v>
      </c>
    </row>
    <row r="791" spans="1:72" x14ac:dyDescent="0.15">
      <c r="A791" t="s">
        <v>72</v>
      </c>
      <c r="B791" t="s">
        <v>14889</v>
      </c>
      <c r="C791" t="s">
        <v>74</v>
      </c>
      <c r="D791" t="s">
        <v>74</v>
      </c>
      <c r="E791" t="s">
        <v>74</v>
      </c>
      <c r="F791" t="s">
        <v>14890</v>
      </c>
      <c r="G791" t="s">
        <v>74</v>
      </c>
      <c r="H791" t="s">
        <v>74</v>
      </c>
      <c r="I791" t="s">
        <v>14891</v>
      </c>
      <c r="J791" t="s">
        <v>1000</v>
      </c>
      <c r="K791" t="s">
        <v>74</v>
      </c>
      <c r="L791" t="s">
        <v>74</v>
      </c>
      <c r="M791" t="s">
        <v>78</v>
      </c>
      <c r="N791" t="s">
        <v>79</v>
      </c>
      <c r="O791" t="s">
        <v>74</v>
      </c>
      <c r="P791" t="s">
        <v>74</v>
      </c>
      <c r="Q791" t="s">
        <v>74</v>
      </c>
      <c r="R791" t="s">
        <v>74</v>
      </c>
      <c r="S791" t="s">
        <v>74</v>
      </c>
      <c r="T791" t="s">
        <v>14892</v>
      </c>
      <c r="U791" t="s">
        <v>14893</v>
      </c>
      <c r="V791" t="s">
        <v>14894</v>
      </c>
      <c r="W791" t="s">
        <v>14895</v>
      </c>
      <c r="X791" t="s">
        <v>14896</v>
      </c>
      <c r="Y791" t="s">
        <v>14897</v>
      </c>
      <c r="Z791" t="s">
        <v>14898</v>
      </c>
      <c r="AA791" t="s">
        <v>14899</v>
      </c>
      <c r="AB791" t="s">
        <v>14900</v>
      </c>
      <c r="AC791" t="s">
        <v>14901</v>
      </c>
      <c r="AD791" t="s">
        <v>14902</v>
      </c>
      <c r="AE791" t="s">
        <v>14903</v>
      </c>
      <c r="AF791" t="s">
        <v>74</v>
      </c>
      <c r="AG791">
        <v>57</v>
      </c>
      <c r="AH791">
        <v>16</v>
      </c>
      <c r="AI791">
        <v>16</v>
      </c>
      <c r="AJ791">
        <v>0</v>
      </c>
      <c r="AK791">
        <v>17</v>
      </c>
      <c r="AL791" t="s">
        <v>986</v>
      </c>
      <c r="AM791" t="s">
        <v>430</v>
      </c>
      <c r="AN791" t="s">
        <v>987</v>
      </c>
      <c r="AO791" t="s">
        <v>1013</v>
      </c>
      <c r="AP791" t="s">
        <v>1014</v>
      </c>
      <c r="AQ791" t="s">
        <v>74</v>
      </c>
      <c r="AR791" t="s">
        <v>1015</v>
      </c>
      <c r="AS791" t="s">
        <v>1016</v>
      </c>
      <c r="AT791" t="s">
        <v>12439</v>
      </c>
      <c r="AU791">
        <v>2017</v>
      </c>
      <c r="AV791">
        <v>40</v>
      </c>
      <c r="AW791">
        <v>3</v>
      </c>
      <c r="AX791" t="s">
        <v>74</v>
      </c>
      <c r="AY791" t="s">
        <v>74</v>
      </c>
      <c r="AZ791" t="s">
        <v>74</v>
      </c>
      <c r="BA791" t="s">
        <v>74</v>
      </c>
      <c r="BB791">
        <v>603</v>
      </c>
      <c r="BC791">
        <v>613</v>
      </c>
      <c r="BD791" t="s">
        <v>74</v>
      </c>
      <c r="BE791" t="s">
        <v>14904</v>
      </c>
      <c r="BF791" t="str">
        <f>HYPERLINK("http://dx.doi.org/10.1007/s00300-016-1983-1","http://dx.doi.org/10.1007/s00300-016-1983-1")</f>
        <v>http://dx.doi.org/10.1007/s00300-016-1983-1</v>
      </c>
      <c r="BG791" t="s">
        <v>74</v>
      </c>
      <c r="BH791" t="s">
        <v>74</v>
      </c>
      <c r="BI791">
        <v>11</v>
      </c>
      <c r="BJ791" t="s">
        <v>1018</v>
      </c>
      <c r="BK791" t="s">
        <v>103</v>
      </c>
      <c r="BL791" t="s">
        <v>326</v>
      </c>
      <c r="BM791" t="s">
        <v>13499</v>
      </c>
      <c r="BN791" t="s">
        <v>74</v>
      </c>
      <c r="BO791" t="s">
        <v>74</v>
      </c>
      <c r="BP791" t="s">
        <v>74</v>
      </c>
      <c r="BQ791" t="s">
        <v>74</v>
      </c>
      <c r="BR791" t="s">
        <v>106</v>
      </c>
      <c r="BS791" t="s">
        <v>14905</v>
      </c>
      <c r="BT791" t="str">
        <f>HYPERLINK("https%3A%2F%2Fwww.webofscience.com%2Fwos%2Fwoscc%2Ffull-record%2FWOS:000395177000009","View Full Record in Web of Science")</f>
        <v>View Full Record in Web of Science</v>
      </c>
    </row>
    <row r="792" spans="1:72" x14ac:dyDescent="0.15">
      <c r="A792" t="s">
        <v>72</v>
      </c>
      <c r="B792" t="s">
        <v>14906</v>
      </c>
      <c r="C792" t="s">
        <v>74</v>
      </c>
      <c r="D792" t="s">
        <v>74</v>
      </c>
      <c r="E792" t="s">
        <v>74</v>
      </c>
      <c r="F792" t="s">
        <v>14907</v>
      </c>
      <c r="G792" t="s">
        <v>74</v>
      </c>
      <c r="H792" t="s">
        <v>74</v>
      </c>
      <c r="I792" t="s">
        <v>14908</v>
      </c>
      <c r="J792" t="s">
        <v>1000</v>
      </c>
      <c r="K792" t="s">
        <v>74</v>
      </c>
      <c r="L792" t="s">
        <v>74</v>
      </c>
      <c r="M792" t="s">
        <v>78</v>
      </c>
      <c r="N792" t="s">
        <v>79</v>
      </c>
      <c r="O792" t="s">
        <v>74</v>
      </c>
      <c r="P792" t="s">
        <v>74</v>
      </c>
      <c r="Q792" t="s">
        <v>74</v>
      </c>
      <c r="R792" t="s">
        <v>74</v>
      </c>
      <c r="S792" t="s">
        <v>74</v>
      </c>
      <c r="T792" t="s">
        <v>14909</v>
      </c>
      <c r="U792" t="s">
        <v>14910</v>
      </c>
      <c r="V792" t="s">
        <v>14911</v>
      </c>
      <c r="W792" t="s">
        <v>14912</v>
      </c>
      <c r="X792" t="s">
        <v>74</v>
      </c>
      <c r="Y792" t="s">
        <v>14913</v>
      </c>
      <c r="Z792" t="s">
        <v>14914</v>
      </c>
      <c r="AA792" t="s">
        <v>14915</v>
      </c>
      <c r="AB792" t="s">
        <v>14916</v>
      </c>
      <c r="AC792" t="s">
        <v>14917</v>
      </c>
      <c r="AD792" t="s">
        <v>14918</v>
      </c>
      <c r="AE792" t="s">
        <v>14919</v>
      </c>
      <c r="AF792" t="s">
        <v>74</v>
      </c>
      <c r="AG792">
        <v>38</v>
      </c>
      <c r="AH792">
        <v>5</v>
      </c>
      <c r="AI792">
        <v>6</v>
      </c>
      <c r="AJ792">
        <v>3</v>
      </c>
      <c r="AK792">
        <v>107</v>
      </c>
      <c r="AL792" t="s">
        <v>986</v>
      </c>
      <c r="AM792" t="s">
        <v>430</v>
      </c>
      <c r="AN792" t="s">
        <v>987</v>
      </c>
      <c r="AO792" t="s">
        <v>1013</v>
      </c>
      <c r="AP792" t="s">
        <v>1014</v>
      </c>
      <c r="AQ792" t="s">
        <v>74</v>
      </c>
      <c r="AR792" t="s">
        <v>1015</v>
      </c>
      <c r="AS792" t="s">
        <v>1016</v>
      </c>
      <c r="AT792" t="s">
        <v>12439</v>
      </c>
      <c r="AU792">
        <v>2017</v>
      </c>
      <c r="AV792">
        <v>40</v>
      </c>
      <c r="AW792">
        <v>3</v>
      </c>
      <c r="AX792" t="s">
        <v>74</v>
      </c>
      <c r="AY792" t="s">
        <v>74</v>
      </c>
      <c r="AZ792" t="s">
        <v>74</v>
      </c>
      <c r="BA792" t="s">
        <v>74</v>
      </c>
      <c r="BB792">
        <v>713</v>
      </c>
      <c r="BC792">
        <v>717</v>
      </c>
      <c r="BD792" t="s">
        <v>74</v>
      </c>
      <c r="BE792" t="s">
        <v>14920</v>
      </c>
      <c r="BF792" t="str">
        <f>HYPERLINK("http://dx.doi.org/10.1007/s00300-016-1968-0","http://dx.doi.org/10.1007/s00300-016-1968-0")</f>
        <v>http://dx.doi.org/10.1007/s00300-016-1968-0</v>
      </c>
      <c r="BG792" t="s">
        <v>74</v>
      </c>
      <c r="BH792" t="s">
        <v>74</v>
      </c>
      <c r="BI792">
        <v>5</v>
      </c>
      <c r="BJ792" t="s">
        <v>1018</v>
      </c>
      <c r="BK792" t="s">
        <v>103</v>
      </c>
      <c r="BL792" t="s">
        <v>326</v>
      </c>
      <c r="BM792" t="s">
        <v>13499</v>
      </c>
      <c r="BN792" t="s">
        <v>74</v>
      </c>
      <c r="BO792" t="s">
        <v>74</v>
      </c>
      <c r="BP792" t="s">
        <v>74</v>
      </c>
      <c r="BQ792" t="s">
        <v>74</v>
      </c>
      <c r="BR792" t="s">
        <v>106</v>
      </c>
      <c r="BS792" t="s">
        <v>14921</v>
      </c>
      <c r="BT792" t="str">
        <f>HYPERLINK("https%3A%2F%2Fwww.webofscience.com%2Fwos%2Fwoscc%2Ffull-record%2FWOS:000395177000018","View Full Record in Web of Science")</f>
        <v>View Full Record in Web of Science</v>
      </c>
    </row>
    <row r="793" spans="1:72" x14ac:dyDescent="0.15">
      <c r="A793" t="s">
        <v>72</v>
      </c>
      <c r="B793" t="s">
        <v>14922</v>
      </c>
      <c r="C793" t="s">
        <v>74</v>
      </c>
      <c r="D793" t="s">
        <v>74</v>
      </c>
      <c r="E793" t="s">
        <v>74</v>
      </c>
      <c r="F793" t="s">
        <v>14923</v>
      </c>
      <c r="G793" t="s">
        <v>74</v>
      </c>
      <c r="H793" t="s">
        <v>74</v>
      </c>
      <c r="I793" t="s">
        <v>14924</v>
      </c>
      <c r="J793" t="s">
        <v>5255</v>
      </c>
      <c r="K793" t="s">
        <v>74</v>
      </c>
      <c r="L793" t="s">
        <v>74</v>
      </c>
      <c r="M793" t="s">
        <v>78</v>
      </c>
      <c r="N793" t="s">
        <v>79</v>
      </c>
      <c r="O793" t="s">
        <v>74</v>
      </c>
      <c r="P793" t="s">
        <v>74</v>
      </c>
      <c r="Q793" t="s">
        <v>74</v>
      </c>
      <c r="R793" t="s">
        <v>74</v>
      </c>
      <c r="S793" t="s">
        <v>74</v>
      </c>
      <c r="T793" t="s">
        <v>74</v>
      </c>
      <c r="U793" t="s">
        <v>14925</v>
      </c>
      <c r="V793" t="s">
        <v>14926</v>
      </c>
      <c r="W793" t="s">
        <v>14927</v>
      </c>
      <c r="X793" t="s">
        <v>14928</v>
      </c>
      <c r="Y793" t="s">
        <v>723</v>
      </c>
      <c r="Z793" t="s">
        <v>724</v>
      </c>
      <c r="AA793" t="s">
        <v>14929</v>
      </c>
      <c r="AB793" t="s">
        <v>14930</v>
      </c>
      <c r="AC793" t="s">
        <v>14931</v>
      </c>
      <c r="AD793" t="s">
        <v>14932</v>
      </c>
      <c r="AE793" t="s">
        <v>14933</v>
      </c>
      <c r="AF793" t="s">
        <v>74</v>
      </c>
      <c r="AG793">
        <v>26</v>
      </c>
      <c r="AH793">
        <v>62</v>
      </c>
      <c r="AI793">
        <v>71</v>
      </c>
      <c r="AJ793">
        <v>1</v>
      </c>
      <c r="AK793">
        <v>13</v>
      </c>
      <c r="AL793" t="s">
        <v>803</v>
      </c>
      <c r="AM793" t="s">
        <v>430</v>
      </c>
      <c r="AN793" t="s">
        <v>804</v>
      </c>
      <c r="AO793" t="s">
        <v>5261</v>
      </c>
      <c r="AP793" t="s">
        <v>5262</v>
      </c>
      <c r="AQ793" t="s">
        <v>74</v>
      </c>
      <c r="AR793" t="s">
        <v>5263</v>
      </c>
      <c r="AS793" t="s">
        <v>5264</v>
      </c>
      <c r="AT793" t="s">
        <v>12439</v>
      </c>
      <c r="AU793">
        <v>2017</v>
      </c>
      <c r="AV793">
        <v>53</v>
      </c>
      <c r="AW793">
        <v>2</v>
      </c>
      <c r="AX793" t="s">
        <v>74</v>
      </c>
      <c r="AY793" t="s">
        <v>74</v>
      </c>
      <c r="AZ793" t="s">
        <v>74</v>
      </c>
      <c r="BA793" t="s">
        <v>74</v>
      </c>
      <c r="BB793">
        <v>160</v>
      </c>
      <c r="BC793">
        <v>166</v>
      </c>
      <c r="BD793" t="s">
        <v>74</v>
      </c>
      <c r="BE793" t="s">
        <v>14934</v>
      </c>
      <c r="BF793" t="str">
        <f>HYPERLINK("http://dx.doi.org/10.1017/S0032247417000055","http://dx.doi.org/10.1017/S0032247417000055")</f>
        <v>http://dx.doi.org/10.1017/S0032247417000055</v>
      </c>
      <c r="BG793" t="s">
        <v>74</v>
      </c>
      <c r="BH793" t="s">
        <v>74</v>
      </c>
      <c r="BI793">
        <v>7</v>
      </c>
      <c r="BJ793" t="s">
        <v>2339</v>
      </c>
      <c r="BK793" t="s">
        <v>103</v>
      </c>
      <c r="BL793" t="s">
        <v>993</v>
      </c>
      <c r="BM793" t="s">
        <v>13413</v>
      </c>
      <c r="BN793" t="s">
        <v>74</v>
      </c>
      <c r="BO793" t="s">
        <v>412</v>
      </c>
      <c r="BP793" t="s">
        <v>74</v>
      </c>
      <c r="BQ793" t="s">
        <v>74</v>
      </c>
      <c r="BR793" t="s">
        <v>106</v>
      </c>
      <c r="BS793" t="s">
        <v>14935</v>
      </c>
      <c r="BT793" t="str">
        <f>HYPERLINK("https%3A%2F%2Fwww.webofscience.com%2Fwos%2Fwoscc%2Ffull-record%2FWOS:000398224700005","View Full Record in Web of Science")</f>
        <v>View Full Record in Web of Science</v>
      </c>
    </row>
    <row r="794" spans="1:72" x14ac:dyDescent="0.15">
      <c r="A794" t="s">
        <v>72</v>
      </c>
      <c r="B794" t="s">
        <v>14936</v>
      </c>
      <c r="C794" t="s">
        <v>74</v>
      </c>
      <c r="D794" t="s">
        <v>74</v>
      </c>
      <c r="E794" t="s">
        <v>74</v>
      </c>
      <c r="F794" t="s">
        <v>14937</v>
      </c>
      <c r="G794" t="s">
        <v>74</v>
      </c>
      <c r="H794" t="s">
        <v>74</v>
      </c>
      <c r="I794" t="s">
        <v>14938</v>
      </c>
      <c r="J794" t="s">
        <v>1675</v>
      </c>
      <c r="K794" t="s">
        <v>74</v>
      </c>
      <c r="L794" t="s">
        <v>74</v>
      </c>
      <c r="M794" t="s">
        <v>78</v>
      </c>
      <c r="N794" t="s">
        <v>79</v>
      </c>
      <c r="O794" t="s">
        <v>74</v>
      </c>
      <c r="P794" t="s">
        <v>74</v>
      </c>
      <c r="Q794" t="s">
        <v>74</v>
      </c>
      <c r="R794" t="s">
        <v>74</v>
      </c>
      <c r="S794" t="s">
        <v>74</v>
      </c>
      <c r="T794" t="s">
        <v>14939</v>
      </c>
      <c r="U794" t="s">
        <v>14940</v>
      </c>
      <c r="V794" t="s">
        <v>14941</v>
      </c>
      <c r="W794" t="s">
        <v>14942</v>
      </c>
      <c r="X794" t="s">
        <v>14943</v>
      </c>
      <c r="Y794" t="s">
        <v>14944</v>
      </c>
      <c r="Z794" t="s">
        <v>14945</v>
      </c>
      <c r="AA794" t="s">
        <v>14946</v>
      </c>
      <c r="AB794" t="s">
        <v>14947</v>
      </c>
      <c r="AC794" t="s">
        <v>14948</v>
      </c>
      <c r="AD794" t="s">
        <v>14948</v>
      </c>
      <c r="AE794" t="s">
        <v>14949</v>
      </c>
      <c r="AF794" t="s">
        <v>74</v>
      </c>
      <c r="AG794">
        <v>93</v>
      </c>
      <c r="AH794">
        <v>29</v>
      </c>
      <c r="AI794">
        <v>32</v>
      </c>
      <c r="AJ794">
        <v>2</v>
      </c>
      <c r="AK794">
        <v>50</v>
      </c>
      <c r="AL794" t="s">
        <v>1141</v>
      </c>
      <c r="AM794" t="s">
        <v>318</v>
      </c>
      <c r="AN794" t="s">
        <v>1142</v>
      </c>
      <c r="AO794" t="s">
        <v>1688</v>
      </c>
      <c r="AP794" t="s">
        <v>1689</v>
      </c>
      <c r="AQ794" t="s">
        <v>74</v>
      </c>
      <c r="AR794" t="s">
        <v>1690</v>
      </c>
      <c r="AS794" t="s">
        <v>1691</v>
      </c>
      <c r="AT794" t="s">
        <v>12439</v>
      </c>
      <c r="AU794">
        <v>2017</v>
      </c>
      <c r="AV794">
        <v>11</v>
      </c>
      <c r="AW794" t="s">
        <v>74</v>
      </c>
      <c r="AX794" t="s">
        <v>74</v>
      </c>
      <c r="AY794" t="s">
        <v>74</v>
      </c>
      <c r="AZ794" t="s">
        <v>74</v>
      </c>
      <c r="BA794" t="s">
        <v>74</v>
      </c>
      <c r="BB794">
        <v>19</v>
      </c>
      <c r="BC794">
        <v>29</v>
      </c>
      <c r="BD794" t="s">
        <v>74</v>
      </c>
      <c r="BE794" t="s">
        <v>14950</v>
      </c>
      <c r="BF794" t="str">
        <f>HYPERLINK("http://dx.doi.org/10.1016/j.polar.2016.12.001","http://dx.doi.org/10.1016/j.polar.2016.12.001")</f>
        <v>http://dx.doi.org/10.1016/j.polar.2016.12.001</v>
      </c>
      <c r="BG794" t="s">
        <v>74</v>
      </c>
      <c r="BH794" t="s">
        <v>74</v>
      </c>
      <c r="BI794">
        <v>11</v>
      </c>
      <c r="BJ794" t="s">
        <v>1693</v>
      </c>
      <c r="BK794" t="s">
        <v>103</v>
      </c>
      <c r="BL794" t="s">
        <v>270</v>
      </c>
      <c r="BM794" t="s">
        <v>13729</v>
      </c>
      <c r="BN794" t="s">
        <v>74</v>
      </c>
      <c r="BO794" t="s">
        <v>74</v>
      </c>
      <c r="BP794" t="s">
        <v>74</v>
      </c>
      <c r="BQ794" t="s">
        <v>74</v>
      </c>
      <c r="BR794" t="s">
        <v>106</v>
      </c>
      <c r="BS794" t="s">
        <v>14951</v>
      </c>
      <c r="BT794" t="str">
        <f>HYPERLINK("https%3A%2F%2Fwww.webofscience.com%2Fwos%2Fwoscc%2Ffull-record%2FWOS:000395455800003","View Full Record in Web of Science")</f>
        <v>View Full Record in Web of Science</v>
      </c>
    </row>
    <row r="795" spans="1:72" x14ac:dyDescent="0.15">
      <c r="A795" t="s">
        <v>72</v>
      </c>
      <c r="B795" t="s">
        <v>14952</v>
      </c>
      <c r="C795" t="s">
        <v>74</v>
      </c>
      <c r="D795" t="s">
        <v>74</v>
      </c>
      <c r="E795" t="s">
        <v>74</v>
      </c>
      <c r="F795" t="s">
        <v>14953</v>
      </c>
      <c r="G795" t="s">
        <v>74</v>
      </c>
      <c r="H795" t="s">
        <v>74</v>
      </c>
      <c r="I795" t="s">
        <v>14954</v>
      </c>
      <c r="J795" t="s">
        <v>12853</v>
      </c>
      <c r="K795" t="s">
        <v>74</v>
      </c>
      <c r="L795" t="s">
        <v>74</v>
      </c>
      <c r="M795" t="s">
        <v>78</v>
      </c>
      <c r="N795" t="s">
        <v>79</v>
      </c>
      <c r="O795" t="s">
        <v>74</v>
      </c>
      <c r="P795" t="s">
        <v>74</v>
      </c>
      <c r="Q795" t="s">
        <v>74</v>
      </c>
      <c r="R795" t="s">
        <v>74</v>
      </c>
      <c r="S795" t="s">
        <v>74</v>
      </c>
      <c r="T795" t="s">
        <v>14955</v>
      </c>
      <c r="U795" t="s">
        <v>14956</v>
      </c>
      <c r="V795" t="s">
        <v>14957</v>
      </c>
      <c r="W795" t="s">
        <v>14958</v>
      </c>
      <c r="X795" t="s">
        <v>14959</v>
      </c>
      <c r="Y795" t="s">
        <v>14960</v>
      </c>
      <c r="Z795" t="s">
        <v>14961</v>
      </c>
      <c r="AA795" t="s">
        <v>74</v>
      </c>
      <c r="AB795" t="s">
        <v>14962</v>
      </c>
      <c r="AC795" t="s">
        <v>14963</v>
      </c>
      <c r="AD795" t="s">
        <v>14963</v>
      </c>
      <c r="AE795" t="s">
        <v>14964</v>
      </c>
      <c r="AF795" t="s">
        <v>74</v>
      </c>
      <c r="AG795">
        <v>50</v>
      </c>
      <c r="AH795">
        <v>10</v>
      </c>
      <c r="AI795">
        <v>10</v>
      </c>
      <c r="AJ795">
        <v>2</v>
      </c>
      <c r="AK795">
        <v>7</v>
      </c>
      <c r="AL795" t="s">
        <v>12884</v>
      </c>
      <c r="AM795" t="s">
        <v>12864</v>
      </c>
      <c r="AN795" t="s">
        <v>12885</v>
      </c>
      <c r="AO795" t="s">
        <v>12866</v>
      </c>
      <c r="AP795" t="s">
        <v>12867</v>
      </c>
      <c r="AQ795" t="s">
        <v>74</v>
      </c>
      <c r="AR795" t="s">
        <v>12868</v>
      </c>
      <c r="AS795" t="s">
        <v>12869</v>
      </c>
      <c r="AT795" t="s">
        <v>12439</v>
      </c>
      <c r="AU795">
        <v>2017</v>
      </c>
      <c r="AV795">
        <v>38</v>
      </c>
      <c r="AW795">
        <v>1</v>
      </c>
      <c r="AX795" t="s">
        <v>74</v>
      </c>
      <c r="AY795" t="s">
        <v>74</v>
      </c>
      <c r="AZ795" t="s">
        <v>74</v>
      </c>
      <c r="BA795" t="s">
        <v>74</v>
      </c>
      <c r="BB795">
        <v>1</v>
      </c>
      <c r="BC795">
        <v>19</v>
      </c>
      <c r="BD795" t="s">
        <v>74</v>
      </c>
      <c r="BE795" t="s">
        <v>14965</v>
      </c>
      <c r="BF795" t="str">
        <f>HYPERLINK("http://dx.doi.org/10.1515/popore-2017-0002","http://dx.doi.org/10.1515/popore-2017-0002")</f>
        <v>http://dx.doi.org/10.1515/popore-2017-0002</v>
      </c>
      <c r="BG795" t="s">
        <v>74</v>
      </c>
      <c r="BH795" t="s">
        <v>74</v>
      </c>
      <c r="BI795">
        <v>19</v>
      </c>
      <c r="BJ795" t="s">
        <v>1693</v>
      </c>
      <c r="BK795" t="s">
        <v>103</v>
      </c>
      <c r="BL795" t="s">
        <v>270</v>
      </c>
      <c r="BM795" t="s">
        <v>12871</v>
      </c>
      <c r="BN795" t="s">
        <v>74</v>
      </c>
      <c r="BO795" t="s">
        <v>131</v>
      </c>
      <c r="BP795" t="s">
        <v>74</v>
      </c>
      <c r="BQ795" t="s">
        <v>74</v>
      </c>
      <c r="BR795" t="s">
        <v>106</v>
      </c>
      <c r="BS795" t="s">
        <v>14966</v>
      </c>
      <c r="BT795" t="str">
        <f>HYPERLINK("https%3A%2F%2Fwww.webofscience.com%2Fwos%2Fwoscc%2Ffull-record%2FWOS:000399252800001","View Full Record in Web of Science")</f>
        <v>View Full Record in Web of Science</v>
      </c>
    </row>
    <row r="796" spans="1:72" x14ac:dyDescent="0.15">
      <c r="A796" t="s">
        <v>72</v>
      </c>
      <c r="B796" t="s">
        <v>14967</v>
      </c>
      <c r="C796" t="s">
        <v>74</v>
      </c>
      <c r="D796" t="s">
        <v>74</v>
      </c>
      <c r="E796" t="s">
        <v>74</v>
      </c>
      <c r="F796" t="s">
        <v>14968</v>
      </c>
      <c r="G796" t="s">
        <v>74</v>
      </c>
      <c r="H796" t="s">
        <v>74</v>
      </c>
      <c r="I796" t="s">
        <v>14969</v>
      </c>
      <c r="J796" t="s">
        <v>12054</v>
      </c>
      <c r="K796" t="s">
        <v>74</v>
      </c>
      <c r="L796" t="s">
        <v>74</v>
      </c>
      <c r="M796" t="s">
        <v>78</v>
      </c>
      <c r="N796" t="s">
        <v>79</v>
      </c>
      <c r="O796" t="s">
        <v>74</v>
      </c>
      <c r="P796" t="s">
        <v>74</v>
      </c>
      <c r="Q796" t="s">
        <v>74</v>
      </c>
      <c r="R796" t="s">
        <v>74</v>
      </c>
      <c r="S796" t="s">
        <v>74</v>
      </c>
      <c r="T796" t="s">
        <v>14970</v>
      </c>
      <c r="U796" t="s">
        <v>14971</v>
      </c>
      <c r="V796" t="s">
        <v>14972</v>
      </c>
      <c r="W796" t="s">
        <v>14973</v>
      </c>
      <c r="X796" t="s">
        <v>14974</v>
      </c>
      <c r="Y796" t="s">
        <v>14975</v>
      </c>
      <c r="Z796" t="s">
        <v>14976</v>
      </c>
      <c r="AA796" t="s">
        <v>14977</v>
      </c>
      <c r="AB796" t="s">
        <v>14978</v>
      </c>
      <c r="AC796" t="s">
        <v>14979</v>
      </c>
      <c r="AD796" t="s">
        <v>14980</v>
      </c>
      <c r="AE796" t="s">
        <v>14981</v>
      </c>
      <c r="AF796" t="s">
        <v>74</v>
      </c>
      <c r="AG796">
        <v>67</v>
      </c>
      <c r="AH796">
        <v>45</v>
      </c>
      <c r="AI796">
        <v>49</v>
      </c>
      <c r="AJ796">
        <v>2</v>
      </c>
      <c r="AK796">
        <v>76</v>
      </c>
      <c r="AL796" t="s">
        <v>5879</v>
      </c>
      <c r="AM796" t="s">
        <v>430</v>
      </c>
      <c r="AN796" t="s">
        <v>7176</v>
      </c>
      <c r="AO796" t="s">
        <v>12064</v>
      </c>
      <c r="AP796" t="s">
        <v>12065</v>
      </c>
      <c r="AQ796" t="s">
        <v>74</v>
      </c>
      <c r="AR796" t="s">
        <v>12066</v>
      </c>
      <c r="AS796" t="s">
        <v>12067</v>
      </c>
      <c r="AT796" t="s">
        <v>12516</v>
      </c>
      <c r="AU796">
        <v>2017</v>
      </c>
      <c r="AV796">
        <v>190</v>
      </c>
      <c r="AW796" t="s">
        <v>74</v>
      </c>
      <c r="AX796" t="s">
        <v>74</v>
      </c>
      <c r="AY796" t="s">
        <v>74</v>
      </c>
      <c r="AZ796" t="s">
        <v>74</v>
      </c>
      <c r="BA796" t="s">
        <v>74</v>
      </c>
      <c r="BB796">
        <v>348</v>
      </c>
      <c r="BC796">
        <v>365</v>
      </c>
      <c r="BD796" t="s">
        <v>74</v>
      </c>
      <c r="BE796" t="s">
        <v>14982</v>
      </c>
      <c r="BF796" t="str">
        <f>HYPERLINK("http://dx.doi.org/10.1016/j.rse.2017.01.004","http://dx.doi.org/10.1016/j.rse.2017.01.004")</f>
        <v>http://dx.doi.org/10.1016/j.rse.2017.01.004</v>
      </c>
      <c r="BG796" t="s">
        <v>74</v>
      </c>
      <c r="BH796" t="s">
        <v>74</v>
      </c>
      <c r="BI796">
        <v>18</v>
      </c>
      <c r="BJ796" t="s">
        <v>3490</v>
      </c>
      <c r="BK796" t="s">
        <v>103</v>
      </c>
      <c r="BL796" t="s">
        <v>3491</v>
      </c>
      <c r="BM796" t="s">
        <v>14983</v>
      </c>
      <c r="BN796" t="s">
        <v>74</v>
      </c>
      <c r="BO796" t="s">
        <v>74</v>
      </c>
      <c r="BP796" t="s">
        <v>74</v>
      </c>
      <c r="BQ796" t="s">
        <v>74</v>
      </c>
      <c r="BR796" t="s">
        <v>106</v>
      </c>
      <c r="BS796" t="s">
        <v>14984</v>
      </c>
      <c r="BT796" t="str">
        <f>HYPERLINK("https%3A%2F%2Fwww.webofscience.com%2Fwos%2Fwoscc%2Ffull-record%2FWOS:000394399300027","View Full Record in Web of Science")</f>
        <v>View Full Record in Web of Science</v>
      </c>
    </row>
    <row r="797" spans="1:72" x14ac:dyDescent="0.15">
      <c r="A797" t="s">
        <v>72</v>
      </c>
      <c r="B797" t="s">
        <v>14985</v>
      </c>
      <c r="C797" t="s">
        <v>74</v>
      </c>
      <c r="D797" t="s">
        <v>74</v>
      </c>
      <c r="E797" t="s">
        <v>74</v>
      </c>
      <c r="F797" t="s">
        <v>14986</v>
      </c>
      <c r="G797" t="s">
        <v>74</v>
      </c>
      <c r="H797" t="s">
        <v>74</v>
      </c>
      <c r="I797" t="s">
        <v>14987</v>
      </c>
      <c r="J797" t="s">
        <v>3123</v>
      </c>
      <c r="K797" t="s">
        <v>74</v>
      </c>
      <c r="L797" t="s">
        <v>74</v>
      </c>
      <c r="M797" t="s">
        <v>78</v>
      </c>
      <c r="N797" t="s">
        <v>518</v>
      </c>
      <c r="O797" t="s">
        <v>74</v>
      </c>
      <c r="P797" t="s">
        <v>74</v>
      </c>
      <c r="Q797" t="s">
        <v>74</v>
      </c>
      <c r="R797" t="s">
        <v>74</v>
      </c>
      <c r="S797" t="s">
        <v>74</v>
      </c>
      <c r="T797" t="s">
        <v>74</v>
      </c>
      <c r="U797" t="s">
        <v>14988</v>
      </c>
      <c r="V797" t="s">
        <v>14989</v>
      </c>
      <c r="W797" t="s">
        <v>14990</v>
      </c>
      <c r="X797" t="s">
        <v>14991</v>
      </c>
      <c r="Y797" t="s">
        <v>14992</v>
      </c>
      <c r="Z797" t="s">
        <v>10429</v>
      </c>
      <c r="AA797" t="s">
        <v>14993</v>
      </c>
      <c r="AB797" t="s">
        <v>14994</v>
      </c>
      <c r="AC797" t="s">
        <v>14995</v>
      </c>
      <c r="AD797" t="s">
        <v>14996</v>
      </c>
      <c r="AE797" t="s">
        <v>14997</v>
      </c>
      <c r="AF797" t="s">
        <v>74</v>
      </c>
      <c r="AG797">
        <v>223</v>
      </c>
      <c r="AH797">
        <v>85</v>
      </c>
      <c r="AI797">
        <v>98</v>
      </c>
      <c r="AJ797">
        <v>4</v>
      </c>
      <c r="AK797">
        <v>78</v>
      </c>
      <c r="AL797" t="s">
        <v>222</v>
      </c>
      <c r="AM797" t="s">
        <v>223</v>
      </c>
      <c r="AN797" t="s">
        <v>224</v>
      </c>
      <c r="AO797" t="s">
        <v>3135</v>
      </c>
      <c r="AP797" t="s">
        <v>3136</v>
      </c>
      <c r="AQ797" t="s">
        <v>74</v>
      </c>
      <c r="AR797" t="s">
        <v>3137</v>
      </c>
      <c r="AS797" t="s">
        <v>3138</v>
      </c>
      <c r="AT797" t="s">
        <v>12439</v>
      </c>
      <c r="AU797">
        <v>2017</v>
      </c>
      <c r="AV797">
        <v>55</v>
      </c>
      <c r="AW797">
        <v>1</v>
      </c>
      <c r="AX797" t="s">
        <v>74</v>
      </c>
      <c r="AY797" t="s">
        <v>74</v>
      </c>
      <c r="AZ797" t="s">
        <v>74</v>
      </c>
      <c r="BA797" t="s">
        <v>74</v>
      </c>
      <c r="BB797">
        <v>235</v>
      </c>
      <c r="BC797">
        <v>276</v>
      </c>
      <c r="BD797" t="s">
        <v>74</v>
      </c>
      <c r="BE797" t="s">
        <v>14998</v>
      </c>
      <c r="BF797" t="str">
        <f>HYPERLINK("http://dx.doi.org/10.1002/2016RG000532","http://dx.doi.org/10.1002/2016RG000532")</f>
        <v>http://dx.doi.org/10.1002/2016RG000532</v>
      </c>
      <c r="BG797" t="s">
        <v>74</v>
      </c>
      <c r="BH797" t="s">
        <v>74</v>
      </c>
      <c r="BI797">
        <v>42</v>
      </c>
      <c r="BJ797" t="s">
        <v>176</v>
      </c>
      <c r="BK797" t="s">
        <v>103</v>
      </c>
      <c r="BL797" t="s">
        <v>176</v>
      </c>
      <c r="BM797" t="s">
        <v>14999</v>
      </c>
      <c r="BN797" t="s">
        <v>74</v>
      </c>
      <c r="BO797" t="s">
        <v>8123</v>
      </c>
      <c r="BP797" t="s">
        <v>74</v>
      </c>
      <c r="BQ797" t="s">
        <v>74</v>
      </c>
      <c r="BR797" t="s">
        <v>106</v>
      </c>
      <c r="BS797" t="s">
        <v>15000</v>
      </c>
      <c r="BT797" t="str">
        <f>HYPERLINK("https%3A%2F%2Fwww.webofscience.com%2Fwos%2Fwoscc%2Ffull-record%2FWOS:000399361000007","View Full Record in Web of Science")</f>
        <v>View Full Record in Web of Science</v>
      </c>
    </row>
    <row r="798" spans="1:72" x14ac:dyDescent="0.15">
      <c r="A798" t="s">
        <v>72</v>
      </c>
      <c r="B798" t="s">
        <v>15001</v>
      </c>
      <c r="C798" t="s">
        <v>74</v>
      </c>
      <c r="D798" t="s">
        <v>74</v>
      </c>
      <c r="E798" t="s">
        <v>74</v>
      </c>
      <c r="F798" t="s">
        <v>15002</v>
      </c>
      <c r="G798" t="s">
        <v>74</v>
      </c>
      <c r="H798" t="s">
        <v>74</v>
      </c>
      <c r="I798" t="s">
        <v>15003</v>
      </c>
      <c r="J798" t="s">
        <v>5365</v>
      </c>
      <c r="K798" t="s">
        <v>74</v>
      </c>
      <c r="L798" t="s">
        <v>74</v>
      </c>
      <c r="M798" t="s">
        <v>78</v>
      </c>
      <c r="N798" t="s">
        <v>79</v>
      </c>
      <c r="O798" t="s">
        <v>74</v>
      </c>
      <c r="P798" t="s">
        <v>74</v>
      </c>
      <c r="Q798" t="s">
        <v>74</v>
      </c>
      <c r="R798" t="s">
        <v>74</v>
      </c>
      <c r="S798" t="s">
        <v>74</v>
      </c>
      <c r="T798" t="s">
        <v>15004</v>
      </c>
      <c r="U798" t="s">
        <v>15005</v>
      </c>
      <c r="V798" t="s">
        <v>15006</v>
      </c>
      <c r="W798" t="s">
        <v>15007</v>
      </c>
      <c r="X798" t="s">
        <v>15008</v>
      </c>
      <c r="Y798" t="s">
        <v>15009</v>
      </c>
      <c r="Z798" t="s">
        <v>15010</v>
      </c>
      <c r="AA798" t="s">
        <v>15011</v>
      </c>
      <c r="AB798" t="s">
        <v>15012</v>
      </c>
      <c r="AC798" t="s">
        <v>15013</v>
      </c>
      <c r="AD798" t="s">
        <v>15014</v>
      </c>
      <c r="AE798" t="s">
        <v>15015</v>
      </c>
      <c r="AF798" t="s">
        <v>74</v>
      </c>
      <c r="AG798">
        <v>75</v>
      </c>
      <c r="AH798">
        <v>27</v>
      </c>
      <c r="AI798">
        <v>29</v>
      </c>
      <c r="AJ798">
        <v>3</v>
      </c>
      <c r="AK798">
        <v>51</v>
      </c>
      <c r="AL798" t="s">
        <v>5377</v>
      </c>
      <c r="AM798" t="s">
        <v>403</v>
      </c>
      <c r="AN798" t="s">
        <v>5378</v>
      </c>
      <c r="AO798" t="s">
        <v>5379</v>
      </c>
      <c r="AP798" t="s">
        <v>74</v>
      </c>
      <c r="AQ798" t="s">
        <v>74</v>
      </c>
      <c r="AR798" t="s">
        <v>5380</v>
      </c>
      <c r="AS798" t="s">
        <v>5381</v>
      </c>
      <c r="AT798" t="s">
        <v>12439</v>
      </c>
      <c r="AU798">
        <v>2017</v>
      </c>
      <c r="AV798">
        <v>4</v>
      </c>
      <c r="AW798">
        <v>3</v>
      </c>
      <c r="AX798" t="s">
        <v>74</v>
      </c>
      <c r="AY798" t="s">
        <v>74</v>
      </c>
      <c r="AZ798" t="s">
        <v>74</v>
      </c>
      <c r="BA798" t="s">
        <v>74</v>
      </c>
      <c r="BB798" t="s">
        <v>74</v>
      </c>
      <c r="BC798" t="s">
        <v>74</v>
      </c>
      <c r="BD798">
        <v>170033</v>
      </c>
      <c r="BE798" t="s">
        <v>15016</v>
      </c>
      <c r="BF798" t="str">
        <f>HYPERLINK("http://dx.doi.org/10.1098/rsos.170033","http://dx.doi.org/10.1098/rsos.170033")</f>
        <v>http://dx.doi.org/10.1098/rsos.170033</v>
      </c>
      <c r="BG798" t="s">
        <v>74</v>
      </c>
      <c r="BH798" t="s">
        <v>74</v>
      </c>
      <c r="BI798">
        <v>14</v>
      </c>
      <c r="BJ798" t="s">
        <v>1617</v>
      </c>
      <c r="BK798" t="s">
        <v>103</v>
      </c>
      <c r="BL798" t="s">
        <v>1618</v>
      </c>
      <c r="BM798" t="s">
        <v>15017</v>
      </c>
      <c r="BN798">
        <v>28405400</v>
      </c>
      <c r="BO798" t="s">
        <v>4540</v>
      </c>
      <c r="BP798" t="s">
        <v>74</v>
      </c>
      <c r="BQ798" t="s">
        <v>74</v>
      </c>
      <c r="BR798" t="s">
        <v>106</v>
      </c>
      <c r="BS798" t="s">
        <v>15018</v>
      </c>
      <c r="BT798" t="str">
        <f>HYPERLINK("https%3A%2F%2Fwww.webofscience.com%2Fwos%2Fwoscc%2Ffull-record%2FWOS:000398107700051","View Full Record in Web of Science")</f>
        <v>View Full Record in Web of Science</v>
      </c>
    </row>
    <row r="799" spans="1:72" x14ac:dyDescent="0.15">
      <c r="A799" t="s">
        <v>72</v>
      </c>
      <c r="B799" t="s">
        <v>15019</v>
      </c>
      <c r="C799" t="s">
        <v>74</v>
      </c>
      <c r="D799" t="s">
        <v>74</v>
      </c>
      <c r="E799" t="s">
        <v>74</v>
      </c>
      <c r="F799" t="s">
        <v>15020</v>
      </c>
      <c r="G799" t="s">
        <v>74</v>
      </c>
      <c r="H799" t="s">
        <v>74</v>
      </c>
      <c r="I799" t="s">
        <v>15021</v>
      </c>
      <c r="J799" t="s">
        <v>5365</v>
      </c>
      <c r="K799" t="s">
        <v>74</v>
      </c>
      <c r="L799" t="s">
        <v>74</v>
      </c>
      <c r="M799" t="s">
        <v>78</v>
      </c>
      <c r="N799" t="s">
        <v>79</v>
      </c>
      <c r="O799" t="s">
        <v>74</v>
      </c>
      <c r="P799" t="s">
        <v>74</v>
      </c>
      <c r="Q799" t="s">
        <v>74</v>
      </c>
      <c r="R799" t="s">
        <v>74</v>
      </c>
      <c r="S799" t="s">
        <v>74</v>
      </c>
      <c r="T799" t="s">
        <v>15022</v>
      </c>
      <c r="U799" t="s">
        <v>15023</v>
      </c>
      <c r="V799" t="s">
        <v>15024</v>
      </c>
      <c r="W799" t="s">
        <v>15025</v>
      </c>
      <c r="X799" t="s">
        <v>15026</v>
      </c>
      <c r="Y799" t="s">
        <v>15027</v>
      </c>
      <c r="Z799" t="s">
        <v>15028</v>
      </c>
      <c r="AA799" t="s">
        <v>15029</v>
      </c>
      <c r="AB799" t="s">
        <v>15030</v>
      </c>
      <c r="AC799" t="s">
        <v>15031</v>
      </c>
      <c r="AD799" t="s">
        <v>15031</v>
      </c>
      <c r="AE799" t="s">
        <v>15032</v>
      </c>
      <c r="AF799" t="s">
        <v>74</v>
      </c>
      <c r="AG799">
        <v>85</v>
      </c>
      <c r="AH799">
        <v>38</v>
      </c>
      <c r="AI799">
        <v>41</v>
      </c>
      <c r="AJ799">
        <v>2</v>
      </c>
      <c r="AK799">
        <v>37</v>
      </c>
      <c r="AL799" t="s">
        <v>5377</v>
      </c>
      <c r="AM799" t="s">
        <v>403</v>
      </c>
      <c r="AN799" t="s">
        <v>5378</v>
      </c>
      <c r="AO799" t="s">
        <v>5379</v>
      </c>
      <c r="AP799" t="s">
        <v>74</v>
      </c>
      <c r="AQ799" t="s">
        <v>74</v>
      </c>
      <c r="AR799" t="s">
        <v>5380</v>
      </c>
      <c r="AS799" t="s">
        <v>5381</v>
      </c>
      <c r="AT799" t="s">
        <v>12439</v>
      </c>
      <c r="AU799">
        <v>2017</v>
      </c>
      <c r="AV799">
        <v>4</v>
      </c>
      <c r="AW799">
        <v>3</v>
      </c>
      <c r="AX799" t="s">
        <v>74</v>
      </c>
      <c r="AY799" t="s">
        <v>74</v>
      </c>
      <c r="AZ799" t="s">
        <v>74</v>
      </c>
      <c r="BA799" t="s">
        <v>74</v>
      </c>
      <c r="BB799" t="s">
        <v>74</v>
      </c>
      <c r="BC799" t="s">
        <v>74</v>
      </c>
      <c r="BD799">
        <v>160290</v>
      </c>
      <c r="BE799" t="s">
        <v>15033</v>
      </c>
      <c r="BF799" t="str">
        <f>HYPERLINK("http://dx.doi.org/10.1098/rsos.160290","http://dx.doi.org/10.1098/rsos.160290")</f>
        <v>http://dx.doi.org/10.1098/rsos.160290</v>
      </c>
      <c r="BG799" t="s">
        <v>74</v>
      </c>
      <c r="BH799" t="s">
        <v>74</v>
      </c>
      <c r="BI799">
        <v>15</v>
      </c>
      <c r="BJ799" t="s">
        <v>1617</v>
      </c>
      <c r="BK799" t="s">
        <v>103</v>
      </c>
      <c r="BL799" t="s">
        <v>1618</v>
      </c>
      <c r="BM799" t="s">
        <v>15017</v>
      </c>
      <c r="BN799">
        <v>28405350</v>
      </c>
      <c r="BO799" t="s">
        <v>3679</v>
      </c>
      <c r="BP799" t="s">
        <v>74</v>
      </c>
      <c r="BQ799" t="s">
        <v>74</v>
      </c>
      <c r="BR799" t="s">
        <v>106</v>
      </c>
      <c r="BS799" t="s">
        <v>15034</v>
      </c>
      <c r="BT799" t="str">
        <f>HYPERLINK("https%3A%2F%2Fwww.webofscience.com%2Fwos%2Fwoscc%2Ffull-record%2FWOS:000398107700001","View Full Record in Web of Science")</f>
        <v>View Full Record in Web of Science</v>
      </c>
    </row>
    <row r="800" spans="1:72" x14ac:dyDescent="0.15">
      <c r="A800" t="s">
        <v>72</v>
      </c>
      <c r="B800" t="s">
        <v>15035</v>
      </c>
      <c r="C800" t="s">
        <v>74</v>
      </c>
      <c r="D800" t="s">
        <v>74</v>
      </c>
      <c r="E800" t="s">
        <v>74</v>
      </c>
      <c r="F800" t="s">
        <v>15036</v>
      </c>
      <c r="G800" t="s">
        <v>74</v>
      </c>
      <c r="H800" t="s">
        <v>74</v>
      </c>
      <c r="I800" t="s">
        <v>15037</v>
      </c>
      <c r="J800" t="s">
        <v>3145</v>
      </c>
      <c r="K800" t="s">
        <v>74</v>
      </c>
      <c r="L800" t="s">
        <v>74</v>
      </c>
      <c r="M800" t="s">
        <v>78</v>
      </c>
      <c r="N800" t="s">
        <v>79</v>
      </c>
      <c r="O800" t="s">
        <v>74</v>
      </c>
      <c r="P800" t="s">
        <v>74</v>
      </c>
      <c r="Q800" t="s">
        <v>74</v>
      </c>
      <c r="R800" t="s">
        <v>74</v>
      </c>
      <c r="S800" t="s">
        <v>74</v>
      </c>
      <c r="T800" t="s">
        <v>74</v>
      </c>
      <c r="U800" t="s">
        <v>15038</v>
      </c>
      <c r="V800" t="s">
        <v>15039</v>
      </c>
      <c r="W800" t="s">
        <v>15040</v>
      </c>
      <c r="X800" t="s">
        <v>15041</v>
      </c>
      <c r="Y800" t="s">
        <v>15042</v>
      </c>
      <c r="Z800" t="s">
        <v>15043</v>
      </c>
      <c r="AA800" t="s">
        <v>15044</v>
      </c>
      <c r="AB800" t="s">
        <v>15045</v>
      </c>
      <c r="AC800" t="s">
        <v>15046</v>
      </c>
      <c r="AD800" t="s">
        <v>15047</v>
      </c>
      <c r="AE800" t="s">
        <v>15048</v>
      </c>
      <c r="AF800" t="s">
        <v>74</v>
      </c>
      <c r="AG800">
        <v>89</v>
      </c>
      <c r="AH800">
        <v>116</v>
      </c>
      <c r="AI800">
        <v>124</v>
      </c>
      <c r="AJ800">
        <v>15</v>
      </c>
      <c r="AK800">
        <v>105</v>
      </c>
      <c r="AL800" t="s">
        <v>3156</v>
      </c>
      <c r="AM800" t="s">
        <v>223</v>
      </c>
      <c r="AN800" t="s">
        <v>3157</v>
      </c>
      <c r="AO800" t="s">
        <v>3158</v>
      </c>
      <c r="AP800" t="s">
        <v>74</v>
      </c>
      <c r="AQ800" t="s">
        <v>74</v>
      </c>
      <c r="AR800" t="s">
        <v>3159</v>
      </c>
      <c r="AS800" t="s">
        <v>3160</v>
      </c>
      <c r="AT800" t="s">
        <v>12439</v>
      </c>
      <c r="AU800">
        <v>2017</v>
      </c>
      <c r="AV800">
        <v>3</v>
      </c>
      <c r="AW800">
        <v>3</v>
      </c>
      <c r="AX800" t="s">
        <v>74</v>
      </c>
      <c r="AY800" t="s">
        <v>74</v>
      </c>
      <c r="AZ800" t="s">
        <v>74</v>
      </c>
      <c r="BA800" t="s">
        <v>74</v>
      </c>
      <c r="BB800" t="s">
        <v>74</v>
      </c>
      <c r="BC800" t="s">
        <v>74</v>
      </c>
      <c r="BD800" t="s">
        <v>15049</v>
      </c>
      <c r="BE800" t="s">
        <v>15050</v>
      </c>
      <c r="BF800" t="str">
        <f>HYPERLINK("http://dx.doi.org/10.1126/sciadv.1600762","http://dx.doi.org/10.1126/sciadv.1600762")</f>
        <v>http://dx.doi.org/10.1126/sciadv.1600762</v>
      </c>
      <c r="BG800" t="s">
        <v>74</v>
      </c>
      <c r="BH800" t="s">
        <v>74</v>
      </c>
      <c r="BI800">
        <v>9</v>
      </c>
      <c r="BJ800" t="s">
        <v>1617</v>
      </c>
      <c r="BK800" t="s">
        <v>103</v>
      </c>
      <c r="BL800" t="s">
        <v>1618</v>
      </c>
      <c r="BM800" t="s">
        <v>15051</v>
      </c>
      <c r="BN800">
        <v>28435857</v>
      </c>
      <c r="BO800" t="s">
        <v>4540</v>
      </c>
      <c r="BP800" t="s">
        <v>74</v>
      </c>
      <c r="BQ800" t="s">
        <v>74</v>
      </c>
      <c r="BR800" t="s">
        <v>106</v>
      </c>
      <c r="BS800" t="s">
        <v>15052</v>
      </c>
      <c r="BT800" t="str">
        <f>HYPERLINK("https%3A%2F%2Fwww.webofscience.com%2Fwos%2Fwoscc%2Ffull-record%2FWOS:000416722700003","View Full Record in Web of Science")</f>
        <v>View Full Record in Web of Science</v>
      </c>
    </row>
    <row r="801" spans="1:72" x14ac:dyDescent="0.15">
      <c r="A801" t="s">
        <v>72</v>
      </c>
      <c r="B801" t="s">
        <v>15053</v>
      </c>
      <c r="C801" t="s">
        <v>74</v>
      </c>
      <c r="D801" t="s">
        <v>74</v>
      </c>
      <c r="E801" t="s">
        <v>74</v>
      </c>
      <c r="F801" t="s">
        <v>15054</v>
      </c>
      <c r="G801" t="s">
        <v>74</v>
      </c>
      <c r="H801" t="s">
        <v>74</v>
      </c>
      <c r="I801" t="s">
        <v>15055</v>
      </c>
      <c r="J801" t="s">
        <v>15056</v>
      </c>
      <c r="K801" t="s">
        <v>74</v>
      </c>
      <c r="L801" t="s">
        <v>74</v>
      </c>
      <c r="M801" t="s">
        <v>78</v>
      </c>
      <c r="N801" t="s">
        <v>518</v>
      </c>
      <c r="O801" t="s">
        <v>74</v>
      </c>
      <c r="P801" t="s">
        <v>74</v>
      </c>
      <c r="Q801" t="s">
        <v>74</v>
      </c>
      <c r="R801" t="s">
        <v>74</v>
      </c>
      <c r="S801" t="s">
        <v>74</v>
      </c>
      <c r="T801" t="s">
        <v>15057</v>
      </c>
      <c r="U801" t="s">
        <v>15058</v>
      </c>
      <c r="V801" t="s">
        <v>15059</v>
      </c>
      <c r="W801" t="s">
        <v>15060</v>
      </c>
      <c r="X801" t="s">
        <v>15061</v>
      </c>
      <c r="Y801" t="s">
        <v>15062</v>
      </c>
      <c r="Z801" t="s">
        <v>15063</v>
      </c>
      <c r="AA801" t="s">
        <v>15064</v>
      </c>
      <c r="AB801" t="s">
        <v>15065</v>
      </c>
      <c r="AC801" t="s">
        <v>15066</v>
      </c>
      <c r="AD801" t="s">
        <v>15067</v>
      </c>
      <c r="AE801" t="s">
        <v>15068</v>
      </c>
      <c r="AF801" t="s">
        <v>74</v>
      </c>
      <c r="AG801">
        <v>118</v>
      </c>
      <c r="AH801">
        <v>50</v>
      </c>
      <c r="AI801">
        <v>50</v>
      </c>
      <c r="AJ801">
        <v>3</v>
      </c>
      <c r="AK801">
        <v>27</v>
      </c>
      <c r="AL801" t="s">
        <v>986</v>
      </c>
      <c r="AM801" t="s">
        <v>1191</v>
      </c>
      <c r="AN801" t="s">
        <v>1192</v>
      </c>
      <c r="AO801" t="s">
        <v>15069</v>
      </c>
      <c r="AP801" t="s">
        <v>15070</v>
      </c>
      <c r="AQ801" t="s">
        <v>74</v>
      </c>
      <c r="AR801" t="s">
        <v>15071</v>
      </c>
      <c r="AS801" t="s">
        <v>15072</v>
      </c>
      <c r="AT801" t="s">
        <v>12439</v>
      </c>
      <c r="AU801">
        <v>2017</v>
      </c>
      <c r="AV801">
        <v>206</v>
      </c>
      <c r="AW801" t="s">
        <v>15073</v>
      </c>
      <c r="AX801" t="s">
        <v>74</v>
      </c>
      <c r="AY801" t="s">
        <v>74</v>
      </c>
      <c r="AZ801" t="s">
        <v>74</v>
      </c>
      <c r="BA801" t="s">
        <v>74</v>
      </c>
      <c r="BB801">
        <v>157</v>
      </c>
      <c r="BC801">
        <v>189</v>
      </c>
      <c r="BD801" t="s">
        <v>74</v>
      </c>
      <c r="BE801" t="s">
        <v>15074</v>
      </c>
      <c r="BF801" t="str">
        <f>HYPERLINK("http://dx.doi.org/10.1007/s11214-016-0285-9","http://dx.doi.org/10.1007/s11214-016-0285-9")</f>
        <v>http://dx.doi.org/10.1007/s11214-016-0285-9</v>
      </c>
      <c r="BG801" t="s">
        <v>74</v>
      </c>
      <c r="BH801" t="s">
        <v>74</v>
      </c>
      <c r="BI801">
        <v>33</v>
      </c>
      <c r="BJ801" t="s">
        <v>494</v>
      </c>
      <c r="BK801" t="s">
        <v>103</v>
      </c>
      <c r="BL801" t="s">
        <v>494</v>
      </c>
      <c r="BM801" t="s">
        <v>15075</v>
      </c>
      <c r="BN801" t="s">
        <v>74</v>
      </c>
      <c r="BO801" t="s">
        <v>74</v>
      </c>
      <c r="BP801" t="s">
        <v>74</v>
      </c>
      <c r="BQ801" t="s">
        <v>74</v>
      </c>
      <c r="BR801" t="s">
        <v>106</v>
      </c>
      <c r="BS801" t="s">
        <v>15076</v>
      </c>
      <c r="BT801" t="str">
        <f>HYPERLINK("https%3A%2F%2Fwww.webofscience.com%2Fwos%2Fwoscc%2Ffull-record%2FWOS:000399021100007","View Full Record in Web of Science")</f>
        <v>View Full Record in Web of Science</v>
      </c>
    </row>
    <row r="802" spans="1:72" x14ac:dyDescent="0.15">
      <c r="A802" t="s">
        <v>72</v>
      </c>
      <c r="B802" t="s">
        <v>15077</v>
      </c>
      <c r="C802" t="s">
        <v>74</v>
      </c>
      <c r="D802" t="s">
        <v>74</v>
      </c>
      <c r="E802" t="s">
        <v>74</v>
      </c>
      <c r="F802" t="s">
        <v>15078</v>
      </c>
      <c r="G802" t="s">
        <v>74</v>
      </c>
      <c r="H802" t="s">
        <v>74</v>
      </c>
      <c r="I802" t="s">
        <v>15079</v>
      </c>
      <c r="J802" t="s">
        <v>15056</v>
      </c>
      <c r="K802" t="s">
        <v>74</v>
      </c>
      <c r="L802" t="s">
        <v>74</v>
      </c>
      <c r="M802" t="s">
        <v>78</v>
      </c>
      <c r="N802" t="s">
        <v>518</v>
      </c>
      <c r="O802" t="s">
        <v>74</v>
      </c>
      <c r="P802" t="s">
        <v>74</v>
      </c>
      <c r="Q802" t="s">
        <v>74</v>
      </c>
      <c r="R802" t="s">
        <v>74</v>
      </c>
      <c r="S802" t="s">
        <v>74</v>
      </c>
      <c r="T802" t="s">
        <v>74</v>
      </c>
      <c r="U802" t="s">
        <v>15080</v>
      </c>
      <c r="V802" t="s">
        <v>15081</v>
      </c>
      <c r="W802" t="s">
        <v>15082</v>
      </c>
      <c r="X802" t="s">
        <v>15083</v>
      </c>
      <c r="Y802" t="s">
        <v>15084</v>
      </c>
      <c r="Z802" t="s">
        <v>15085</v>
      </c>
      <c r="AA802" t="s">
        <v>15086</v>
      </c>
      <c r="AB802" t="s">
        <v>15087</v>
      </c>
      <c r="AC802" t="s">
        <v>15088</v>
      </c>
      <c r="AD802" t="s">
        <v>15089</v>
      </c>
      <c r="AE802" t="s">
        <v>15090</v>
      </c>
      <c r="AF802" t="s">
        <v>74</v>
      </c>
      <c r="AG802">
        <v>94</v>
      </c>
      <c r="AH802">
        <v>16</v>
      </c>
      <c r="AI802">
        <v>17</v>
      </c>
      <c r="AJ802">
        <v>3</v>
      </c>
      <c r="AK802">
        <v>19</v>
      </c>
      <c r="AL802" t="s">
        <v>986</v>
      </c>
      <c r="AM802" t="s">
        <v>1191</v>
      </c>
      <c r="AN802" t="s">
        <v>1192</v>
      </c>
      <c r="AO802" t="s">
        <v>15069</v>
      </c>
      <c r="AP802" t="s">
        <v>15070</v>
      </c>
      <c r="AQ802" t="s">
        <v>74</v>
      </c>
      <c r="AR802" t="s">
        <v>15071</v>
      </c>
      <c r="AS802" t="s">
        <v>15072</v>
      </c>
      <c r="AT802" t="s">
        <v>12439</v>
      </c>
      <c r="AU802">
        <v>2017</v>
      </c>
      <c r="AV802">
        <v>206</v>
      </c>
      <c r="AW802" t="s">
        <v>15073</v>
      </c>
      <c r="AX802" t="s">
        <v>74</v>
      </c>
      <c r="AY802" t="s">
        <v>74</v>
      </c>
      <c r="AZ802" t="s">
        <v>74</v>
      </c>
      <c r="BA802" t="s">
        <v>74</v>
      </c>
      <c r="BB802">
        <v>191</v>
      </c>
      <c r="BC802">
        <v>223</v>
      </c>
      <c r="BD802" t="s">
        <v>74</v>
      </c>
      <c r="BE802" t="s">
        <v>15091</v>
      </c>
      <c r="BF802" t="str">
        <f>HYPERLINK("http://dx.doi.org/10.1007/s11214-016-0309-5","http://dx.doi.org/10.1007/s11214-016-0309-5")</f>
        <v>http://dx.doi.org/10.1007/s11214-016-0309-5</v>
      </c>
      <c r="BG802" t="s">
        <v>74</v>
      </c>
      <c r="BH802" t="s">
        <v>74</v>
      </c>
      <c r="BI802">
        <v>33</v>
      </c>
      <c r="BJ802" t="s">
        <v>494</v>
      </c>
      <c r="BK802" t="s">
        <v>103</v>
      </c>
      <c r="BL802" t="s">
        <v>494</v>
      </c>
      <c r="BM802" t="s">
        <v>15075</v>
      </c>
      <c r="BN802" t="s">
        <v>74</v>
      </c>
      <c r="BO802" t="s">
        <v>74</v>
      </c>
      <c r="BP802" t="s">
        <v>74</v>
      </c>
      <c r="BQ802" t="s">
        <v>74</v>
      </c>
      <c r="BR802" t="s">
        <v>106</v>
      </c>
      <c r="BS802" t="s">
        <v>15092</v>
      </c>
      <c r="BT802" t="str">
        <f>HYPERLINK("https%3A%2F%2Fwww.webofscience.com%2Fwos%2Fwoscc%2Ffull-record%2FWOS:000399021100008","View Full Record in Web of Science")</f>
        <v>View Full Record in Web of Science</v>
      </c>
    </row>
    <row r="803" spans="1:72" x14ac:dyDescent="0.15">
      <c r="A803" t="s">
        <v>72</v>
      </c>
      <c r="B803" t="s">
        <v>15093</v>
      </c>
      <c r="C803" t="s">
        <v>74</v>
      </c>
      <c r="D803" t="s">
        <v>74</v>
      </c>
      <c r="E803" t="s">
        <v>74</v>
      </c>
      <c r="F803" t="s">
        <v>15094</v>
      </c>
      <c r="G803" t="s">
        <v>74</v>
      </c>
      <c r="H803" t="s">
        <v>74</v>
      </c>
      <c r="I803" t="s">
        <v>15095</v>
      </c>
      <c r="J803" t="s">
        <v>15056</v>
      </c>
      <c r="K803" t="s">
        <v>74</v>
      </c>
      <c r="L803" t="s">
        <v>74</v>
      </c>
      <c r="M803" t="s">
        <v>78</v>
      </c>
      <c r="N803" t="s">
        <v>518</v>
      </c>
      <c r="O803" t="s">
        <v>74</v>
      </c>
      <c r="P803" t="s">
        <v>74</v>
      </c>
      <c r="Q803" t="s">
        <v>74</v>
      </c>
      <c r="R803" t="s">
        <v>74</v>
      </c>
      <c r="S803" t="s">
        <v>74</v>
      </c>
      <c r="T803" t="s">
        <v>15096</v>
      </c>
      <c r="U803" t="s">
        <v>15097</v>
      </c>
      <c r="V803" t="s">
        <v>15098</v>
      </c>
      <c r="W803" t="s">
        <v>15099</v>
      </c>
      <c r="X803" t="s">
        <v>15100</v>
      </c>
      <c r="Y803" t="s">
        <v>15101</v>
      </c>
      <c r="Z803" t="s">
        <v>15102</v>
      </c>
      <c r="AA803" t="s">
        <v>15103</v>
      </c>
      <c r="AB803" t="s">
        <v>15104</v>
      </c>
      <c r="AC803" t="s">
        <v>15105</v>
      </c>
      <c r="AD803" t="s">
        <v>15106</v>
      </c>
      <c r="AE803" t="s">
        <v>15107</v>
      </c>
      <c r="AF803" t="s">
        <v>74</v>
      </c>
      <c r="AG803">
        <v>118</v>
      </c>
      <c r="AH803">
        <v>86</v>
      </c>
      <c r="AI803">
        <v>90</v>
      </c>
      <c r="AJ803">
        <v>1</v>
      </c>
      <c r="AK803">
        <v>20</v>
      </c>
      <c r="AL803" t="s">
        <v>986</v>
      </c>
      <c r="AM803" t="s">
        <v>1191</v>
      </c>
      <c r="AN803" t="s">
        <v>1192</v>
      </c>
      <c r="AO803" t="s">
        <v>15069</v>
      </c>
      <c r="AP803" t="s">
        <v>15070</v>
      </c>
      <c r="AQ803" t="s">
        <v>74</v>
      </c>
      <c r="AR803" t="s">
        <v>15071</v>
      </c>
      <c r="AS803" t="s">
        <v>15072</v>
      </c>
      <c r="AT803" t="s">
        <v>12439</v>
      </c>
      <c r="AU803">
        <v>2017</v>
      </c>
      <c r="AV803">
        <v>206</v>
      </c>
      <c r="AW803" t="s">
        <v>15073</v>
      </c>
      <c r="AX803" t="s">
        <v>74</v>
      </c>
      <c r="AY803" t="s">
        <v>74</v>
      </c>
      <c r="AZ803" t="s">
        <v>74</v>
      </c>
      <c r="BA803" t="s">
        <v>74</v>
      </c>
      <c r="BB803">
        <v>225</v>
      </c>
      <c r="BC803">
        <v>257</v>
      </c>
      <c r="BD803" t="s">
        <v>74</v>
      </c>
      <c r="BE803" t="s">
        <v>15108</v>
      </c>
      <c r="BF803" t="str">
        <f>HYPERLINK("http://dx.doi.org/10.1007/s11214-016-0273-0","http://dx.doi.org/10.1007/s11214-016-0273-0")</f>
        <v>http://dx.doi.org/10.1007/s11214-016-0273-0</v>
      </c>
      <c r="BG803" t="s">
        <v>74</v>
      </c>
      <c r="BH803" t="s">
        <v>74</v>
      </c>
      <c r="BI803">
        <v>33</v>
      </c>
      <c r="BJ803" t="s">
        <v>494</v>
      </c>
      <c r="BK803" t="s">
        <v>103</v>
      </c>
      <c r="BL803" t="s">
        <v>494</v>
      </c>
      <c r="BM803" t="s">
        <v>15075</v>
      </c>
      <c r="BN803" t="s">
        <v>74</v>
      </c>
      <c r="BO803" t="s">
        <v>15109</v>
      </c>
      <c r="BP803" t="s">
        <v>74</v>
      </c>
      <c r="BQ803" t="s">
        <v>74</v>
      </c>
      <c r="BR803" t="s">
        <v>106</v>
      </c>
      <c r="BS803" t="s">
        <v>15110</v>
      </c>
      <c r="BT803" t="str">
        <f>HYPERLINK("https%3A%2F%2Fwww.webofscience.com%2Fwos%2Fwoscc%2Ffull-record%2FWOS:000399021100009","View Full Record in Web of Science")</f>
        <v>View Full Record in Web of Science</v>
      </c>
    </row>
    <row r="804" spans="1:72" x14ac:dyDescent="0.15">
      <c r="A804" t="s">
        <v>72</v>
      </c>
      <c r="B804" t="s">
        <v>15111</v>
      </c>
      <c r="C804" t="s">
        <v>74</v>
      </c>
      <c r="D804" t="s">
        <v>74</v>
      </c>
      <c r="E804" t="s">
        <v>74</v>
      </c>
      <c r="F804" t="s">
        <v>15112</v>
      </c>
      <c r="G804" t="s">
        <v>74</v>
      </c>
      <c r="H804" t="s">
        <v>74</v>
      </c>
      <c r="I804" t="s">
        <v>15113</v>
      </c>
      <c r="J804" t="s">
        <v>15056</v>
      </c>
      <c r="K804" t="s">
        <v>74</v>
      </c>
      <c r="L804" t="s">
        <v>74</v>
      </c>
      <c r="M804" t="s">
        <v>78</v>
      </c>
      <c r="N804" t="s">
        <v>518</v>
      </c>
      <c r="O804" t="s">
        <v>74</v>
      </c>
      <c r="P804" t="s">
        <v>74</v>
      </c>
      <c r="Q804" t="s">
        <v>74</v>
      </c>
      <c r="R804" t="s">
        <v>74</v>
      </c>
      <c r="S804" t="s">
        <v>74</v>
      </c>
      <c r="T804" t="s">
        <v>15114</v>
      </c>
      <c r="U804" t="s">
        <v>15115</v>
      </c>
      <c r="V804" t="s">
        <v>15116</v>
      </c>
      <c r="W804" t="s">
        <v>15117</v>
      </c>
      <c r="X804" t="s">
        <v>15118</v>
      </c>
      <c r="Y804" t="s">
        <v>15119</v>
      </c>
      <c r="Z804" t="s">
        <v>15120</v>
      </c>
      <c r="AA804" t="s">
        <v>15121</v>
      </c>
      <c r="AB804" t="s">
        <v>15122</v>
      </c>
      <c r="AC804" t="s">
        <v>15123</v>
      </c>
      <c r="AD804" t="s">
        <v>4718</v>
      </c>
      <c r="AE804" t="s">
        <v>15124</v>
      </c>
      <c r="AF804" t="s">
        <v>74</v>
      </c>
      <c r="AG804">
        <v>48</v>
      </c>
      <c r="AH804">
        <v>7</v>
      </c>
      <c r="AI804">
        <v>7</v>
      </c>
      <c r="AJ804">
        <v>2</v>
      </c>
      <c r="AK804">
        <v>9</v>
      </c>
      <c r="AL804" t="s">
        <v>986</v>
      </c>
      <c r="AM804" t="s">
        <v>1191</v>
      </c>
      <c r="AN804" t="s">
        <v>1192</v>
      </c>
      <c r="AO804" t="s">
        <v>15069</v>
      </c>
      <c r="AP804" t="s">
        <v>15070</v>
      </c>
      <c r="AQ804" t="s">
        <v>74</v>
      </c>
      <c r="AR804" t="s">
        <v>15071</v>
      </c>
      <c r="AS804" t="s">
        <v>15072</v>
      </c>
      <c r="AT804" t="s">
        <v>12439</v>
      </c>
      <c r="AU804">
        <v>2017</v>
      </c>
      <c r="AV804">
        <v>206</v>
      </c>
      <c r="AW804" t="s">
        <v>15073</v>
      </c>
      <c r="AX804" t="s">
        <v>74</v>
      </c>
      <c r="AY804" t="s">
        <v>74</v>
      </c>
      <c r="AZ804" t="s">
        <v>74</v>
      </c>
      <c r="BA804" t="s">
        <v>74</v>
      </c>
      <c r="BB804">
        <v>259</v>
      </c>
      <c r="BC804">
        <v>280</v>
      </c>
      <c r="BD804" t="s">
        <v>74</v>
      </c>
      <c r="BE804" t="s">
        <v>15125</v>
      </c>
      <c r="BF804" t="str">
        <f>HYPERLINK("http://dx.doi.org/10.1007/s11214-016-0276-x","http://dx.doi.org/10.1007/s11214-016-0276-x")</f>
        <v>http://dx.doi.org/10.1007/s11214-016-0276-x</v>
      </c>
      <c r="BG804" t="s">
        <v>74</v>
      </c>
      <c r="BH804" t="s">
        <v>74</v>
      </c>
      <c r="BI804">
        <v>22</v>
      </c>
      <c r="BJ804" t="s">
        <v>494</v>
      </c>
      <c r="BK804" t="s">
        <v>103</v>
      </c>
      <c r="BL804" t="s">
        <v>494</v>
      </c>
      <c r="BM804" t="s">
        <v>15075</v>
      </c>
      <c r="BN804" t="s">
        <v>74</v>
      </c>
      <c r="BO804" t="s">
        <v>1100</v>
      </c>
      <c r="BP804" t="s">
        <v>74</v>
      </c>
      <c r="BQ804" t="s">
        <v>74</v>
      </c>
      <c r="BR804" t="s">
        <v>106</v>
      </c>
      <c r="BS804" t="s">
        <v>15126</v>
      </c>
      <c r="BT804" t="str">
        <f>HYPERLINK("https%3A%2F%2Fwww.webofscience.com%2Fwos%2Fwoscc%2Ffull-record%2FWOS:000399021100010","View Full Record in Web of Science")</f>
        <v>View Full Record in Web of Science</v>
      </c>
    </row>
    <row r="805" spans="1:72" x14ac:dyDescent="0.15">
      <c r="A805" t="s">
        <v>72</v>
      </c>
      <c r="B805" t="s">
        <v>15127</v>
      </c>
      <c r="C805" t="s">
        <v>74</v>
      </c>
      <c r="D805" t="s">
        <v>74</v>
      </c>
      <c r="E805" t="s">
        <v>74</v>
      </c>
      <c r="F805" t="s">
        <v>15128</v>
      </c>
      <c r="G805" t="s">
        <v>74</v>
      </c>
      <c r="H805" t="s">
        <v>74</v>
      </c>
      <c r="I805" t="s">
        <v>15129</v>
      </c>
      <c r="J805" t="s">
        <v>15130</v>
      </c>
      <c r="K805" t="s">
        <v>74</v>
      </c>
      <c r="L805" t="s">
        <v>74</v>
      </c>
      <c r="M805" t="s">
        <v>78</v>
      </c>
      <c r="N805" t="s">
        <v>79</v>
      </c>
      <c r="O805" t="s">
        <v>74</v>
      </c>
      <c r="P805" t="s">
        <v>74</v>
      </c>
      <c r="Q805" t="s">
        <v>74</v>
      </c>
      <c r="R805" t="s">
        <v>74</v>
      </c>
      <c r="S805" t="s">
        <v>74</v>
      </c>
      <c r="T805" t="s">
        <v>15131</v>
      </c>
      <c r="U805" t="s">
        <v>15132</v>
      </c>
      <c r="V805" t="s">
        <v>15133</v>
      </c>
      <c r="W805" t="s">
        <v>15134</v>
      </c>
      <c r="X805" t="s">
        <v>15135</v>
      </c>
      <c r="Y805" t="s">
        <v>15136</v>
      </c>
      <c r="Z805" t="s">
        <v>15137</v>
      </c>
      <c r="AA805" t="s">
        <v>15138</v>
      </c>
      <c r="AB805" t="s">
        <v>15139</v>
      </c>
      <c r="AC805" t="s">
        <v>15140</v>
      </c>
      <c r="AD805" t="s">
        <v>15141</v>
      </c>
      <c r="AE805" t="s">
        <v>15142</v>
      </c>
      <c r="AF805" t="s">
        <v>74</v>
      </c>
      <c r="AG805">
        <v>164</v>
      </c>
      <c r="AH805">
        <v>145</v>
      </c>
      <c r="AI805">
        <v>159</v>
      </c>
      <c r="AJ805">
        <v>2</v>
      </c>
      <c r="AK805">
        <v>112</v>
      </c>
      <c r="AL805" t="s">
        <v>92</v>
      </c>
      <c r="AM805" t="s">
        <v>93</v>
      </c>
      <c r="AN805" t="s">
        <v>94</v>
      </c>
      <c r="AO805" t="s">
        <v>15143</v>
      </c>
      <c r="AP805" t="s">
        <v>15144</v>
      </c>
      <c r="AQ805" t="s">
        <v>74</v>
      </c>
      <c r="AR805" t="s">
        <v>15145</v>
      </c>
      <c r="AS805" t="s">
        <v>15146</v>
      </c>
      <c r="AT805" t="s">
        <v>12439</v>
      </c>
      <c r="AU805">
        <v>2017</v>
      </c>
      <c r="AV805">
        <v>66</v>
      </c>
      <c r="AW805">
        <v>2</v>
      </c>
      <c r="AX805" t="s">
        <v>74</v>
      </c>
      <c r="AY805" t="s">
        <v>74</v>
      </c>
      <c r="AZ805" t="s">
        <v>100</v>
      </c>
      <c r="BA805" t="s">
        <v>74</v>
      </c>
      <c r="BB805">
        <v>256</v>
      </c>
      <c r="BC805">
        <v>282</v>
      </c>
      <c r="BD805" t="s">
        <v>74</v>
      </c>
      <c r="BE805" t="s">
        <v>15147</v>
      </c>
      <c r="BF805" t="str">
        <f>HYPERLINK("http://dx.doi.org/10.1093/sysbio/syw079","http://dx.doi.org/10.1093/sysbio/syw079")</f>
        <v>http://dx.doi.org/10.1093/sysbio/syw079</v>
      </c>
      <c r="BG805" t="s">
        <v>74</v>
      </c>
      <c r="BH805" t="s">
        <v>74</v>
      </c>
      <c r="BI805">
        <v>27</v>
      </c>
      <c r="BJ805" t="s">
        <v>10194</v>
      </c>
      <c r="BK805" t="s">
        <v>103</v>
      </c>
      <c r="BL805" t="s">
        <v>10194</v>
      </c>
      <c r="BM805" t="s">
        <v>15148</v>
      </c>
      <c r="BN805">
        <v>27664188</v>
      </c>
      <c r="BO805" t="s">
        <v>105</v>
      </c>
      <c r="BP805" t="s">
        <v>74</v>
      </c>
      <c r="BQ805" t="s">
        <v>74</v>
      </c>
      <c r="BR805" t="s">
        <v>106</v>
      </c>
      <c r="BS805" t="s">
        <v>15149</v>
      </c>
      <c r="BT805" t="str">
        <f>HYPERLINK("https%3A%2F%2Fwww.webofscience.com%2Fwos%2Fwoscc%2Ffull-record%2FWOS:000397703800011","View Full Record in Web of Science")</f>
        <v>View Full Record in Web of Science</v>
      </c>
    </row>
    <row r="806" spans="1:72" x14ac:dyDescent="0.15">
      <c r="A806" t="s">
        <v>72</v>
      </c>
      <c r="B806" t="s">
        <v>15150</v>
      </c>
      <c r="C806" t="s">
        <v>74</v>
      </c>
      <c r="D806" t="s">
        <v>74</v>
      </c>
      <c r="E806" t="s">
        <v>74</v>
      </c>
      <c r="F806" t="s">
        <v>15151</v>
      </c>
      <c r="G806" t="s">
        <v>74</v>
      </c>
      <c r="H806" t="s">
        <v>74</v>
      </c>
      <c r="I806" t="s">
        <v>15152</v>
      </c>
      <c r="J806" t="s">
        <v>15153</v>
      </c>
      <c r="K806" t="s">
        <v>74</v>
      </c>
      <c r="L806" t="s">
        <v>74</v>
      </c>
      <c r="M806" t="s">
        <v>78</v>
      </c>
      <c r="N806" t="s">
        <v>518</v>
      </c>
      <c r="O806" t="s">
        <v>74</v>
      </c>
      <c r="P806" t="s">
        <v>74</v>
      </c>
      <c r="Q806" t="s">
        <v>74</v>
      </c>
      <c r="R806" t="s">
        <v>74</v>
      </c>
      <c r="S806" t="s">
        <v>74</v>
      </c>
      <c r="T806" t="s">
        <v>74</v>
      </c>
      <c r="U806" t="s">
        <v>15154</v>
      </c>
      <c r="V806" t="s">
        <v>15155</v>
      </c>
      <c r="W806" t="s">
        <v>15156</v>
      </c>
      <c r="X806" t="s">
        <v>15157</v>
      </c>
      <c r="Y806" t="s">
        <v>15158</v>
      </c>
      <c r="Z806" t="s">
        <v>15159</v>
      </c>
      <c r="AA806" t="s">
        <v>15160</v>
      </c>
      <c r="AB806" t="s">
        <v>15161</v>
      </c>
      <c r="AC806" t="s">
        <v>15162</v>
      </c>
      <c r="AD806" t="s">
        <v>15163</v>
      </c>
      <c r="AE806" t="s">
        <v>15164</v>
      </c>
      <c r="AF806" t="s">
        <v>74</v>
      </c>
      <c r="AG806">
        <v>99</v>
      </c>
      <c r="AH806">
        <v>142</v>
      </c>
      <c r="AI806">
        <v>153</v>
      </c>
      <c r="AJ806">
        <v>4</v>
      </c>
      <c r="AK806">
        <v>113</v>
      </c>
      <c r="AL806" t="s">
        <v>14090</v>
      </c>
      <c r="AM806" t="s">
        <v>403</v>
      </c>
      <c r="AN806" t="s">
        <v>14091</v>
      </c>
      <c r="AO806" t="s">
        <v>15165</v>
      </c>
      <c r="AP806" t="s">
        <v>15166</v>
      </c>
      <c r="AQ806" t="s">
        <v>74</v>
      </c>
      <c r="AR806" t="s">
        <v>15167</v>
      </c>
      <c r="AS806" t="s">
        <v>15168</v>
      </c>
      <c r="AT806" t="s">
        <v>12439</v>
      </c>
      <c r="AU806">
        <v>2017</v>
      </c>
      <c r="AV806">
        <v>32</v>
      </c>
      <c r="AW806">
        <v>3</v>
      </c>
      <c r="AX806" t="s">
        <v>74</v>
      </c>
      <c r="AY806" t="s">
        <v>74</v>
      </c>
      <c r="AZ806" t="s">
        <v>74</v>
      </c>
      <c r="BA806" t="s">
        <v>74</v>
      </c>
      <c r="BB806">
        <v>174</v>
      </c>
      <c r="BC806">
        <v>186</v>
      </c>
      <c r="BD806" t="s">
        <v>74</v>
      </c>
      <c r="BE806" t="s">
        <v>15169</v>
      </c>
      <c r="BF806" t="str">
        <f>HYPERLINK("http://dx.doi.org/10.1016/j.tree.2016.12.003","http://dx.doi.org/10.1016/j.tree.2016.12.003")</f>
        <v>http://dx.doi.org/10.1016/j.tree.2016.12.003</v>
      </c>
      <c r="BG806" t="s">
        <v>74</v>
      </c>
      <c r="BH806" t="s">
        <v>74</v>
      </c>
      <c r="BI806">
        <v>13</v>
      </c>
      <c r="BJ806" t="s">
        <v>15170</v>
      </c>
      <c r="BK806" t="s">
        <v>103</v>
      </c>
      <c r="BL806" t="s">
        <v>15171</v>
      </c>
      <c r="BM806" t="s">
        <v>15172</v>
      </c>
      <c r="BN806">
        <v>28109686</v>
      </c>
      <c r="BO806" t="s">
        <v>74</v>
      </c>
      <c r="BP806" t="s">
        <v>74</v>
      </c>
      <c r="BQ806" t="s">
        <v>74</v>
      </c>
      <c r="BR806" t="s">
        <v>106</v>
      </c>
      <c r="BS806" t="s">
        <v>15173</v>
      </c>
      <c r="BT806" t="str">
        <f>HYPERLINK("https%3A%2F%2Fwww.webofscience.com%2Fwos%2Fwoscc%2Ffull-record%2FWOS:000395611900003","View Full Record in Web of Science")</f>
        <v>View Full Record in Web of Science</v>
      </c>
    </row>
    <row r="807" spans="1:72" x14ac:dyDescent="0.15">
      <c r="A807" t="s">
        <v>72</v>
      </c>
      <c r="B807" t="s">
        <v>15174</v>
      </c>
      <c r="C807" t="s">
        <v>74</v>
      </c>
      <c r="D807" t="s">
        <v>74</v>
      </c>
      <c r="E807" t="s">
        <v>74</v>
      </c>
      <c r="F807" t="s">
        <v>15175</v>
      </c>
      <c r="G807" t="s">
        <v>74</v>
      </c>
      <c r="H807" t="s">
        <v>74</v>
      </c>
      <c r="I807" t="s">
        <v>15176</v>
      </c>
      <c r="J807" t="s">
        <v>5839</v>
      </c>
      <c r="K807" t="s">
        <v>74</v>
      </c>
      <c r="L807" t="s">
        <v>74</v>
      </c>
      <c r="M807" t="s">
        <v>78</v>
      </c>
      <c r="N807" t="s">
        <v>79</v>
      </c>
      <c r="O807" t="s">
        <v>74</v>
      </c>
      <c r="P807" t="s">
        <v>74</v>
      </c>
      <c r="Q807" t="s">
        <v>74</v>
      </c>
      <c r="R807" t="s">
        <v>74</v>
      </c>
      <c r="S807" t="s">
        <v>74</v>
      </c>
      <c r="T807" t="s">
        <v>15177</v>
      </c>
      <c r="U807" t="s">
        <v>15178</v>
      </c>
      <c r="V807" t="s">
        <v>15179</v>
      </c>
      <c r="W807" t="s">
        <v>15180</v>
      </c>
      <c r="X807" t="s">
        <v>15181</v>
      </c>
      <c r="Y807" t="s">
        <v>15182</v>
      </c>
      <c r="Z807" t="s">
        <v>15183</v>
      </c>
      <c r="AA807" t="s">
        <v>15184</v>
      </c>
      <c r="AB807" t="s">
        <v>15185</v>
      </c>
      <c r="AC807" t="s">
        <v>15186</v>
      </c>
      <c r="AD807" t="s">
        <v>15187</v>
      </c>
      <c r="AE807" t="s">
        <v>15188</v>
      </c>
      <c r="AF807" t="s">
        <v>74</v>
      </c>
      <c r="AG807">
        <v>62</v>
      </c>
      <c r="AH807">
        <v>14</v>
      </c>
      <c r="AI807">
        <v>14</v>
      </c>
      <c r="AJ807">
        <v>1</v>
      </c>
      <c r="AK807">
        <v>42</v>
      </c>
      <c r="AL807" t="s">
        <v>5852</v>
      </c>
      <c r="AM807" t="s">
        <v>5853</v>
      </c>
      <c r="AN807" t="s">
        <v>5854</v>
      </c>
      <c r="AO807" t="s">
        <v>5855</v>
      </c>
      <c r="AP807" t="s">
        <v>5856</v>
      </c>
      <c r="AQ807" t="s">
        <v>74</v>
      </c>
      <c r="AR807" t="s">
        <v>5857</v>
      </c>
      <c r="AS807" t="s">
        <v>5858</v>
      </c>
      <c r="AT807" t="s">
        <v>12439</v>
      </c>
      <c r="AU807">
        <v>2017</v>
      </c>
      <c r="AV807">
        <v>228</v>
      </c>
      <c r="AW807">
        <v>3</v>
      </c>
      <c r="AX807" t="s">
        <v>74</v>
      </c>
      <c r="AY807" t="s">
        <v>74</v>
      </c>
      <c r="AZ807" t="s">
        <v>74</v>
      </c>
      <c r="BA807" t="s">
        <v>74</v>
      </c>
      <c r="BB807" t="s">
        <v>74</v>
      </c>
      <c r="BC807" t="s">
        <v>74</v>
      </c>
      <c r="BD807">
        <v>116</v>
      </c>
      <c r="BE807" t="s">
        <v>15189</v>
      </c>
      <c r="BF807" t="str">
        <f>HYPERLINK("http://dx.doi.org/10.1007/s11270-017-3303-y","http://dx.doi.org/10.1007/s11270-017-3303-y")</f>
        <v>http://dx.doi.org/10.1007/s11270-017-3303-y</v>
      </c>
      <c r="BG807" t="s">
        <v>74</v>
      </c>
      <c r="BH807" t="s">
        <v>74</v>
      </c>
      <c r="BI807">
        <v>15</v>
      </c>
      <c r="BJ807" t="s">
        <v>5860</v>
      </c>
      <c r="BK807" t="s">
        <v>103</v>
      </c>
      <c r="BL807" t="s">
        <v>5861</v>
      </c>
      <c r="BM807" t="s">
        <v>15190</v>
      </c>
      <c r="BN807" t="s">
        <v>74</v>
      </c>
      <c r="BO807" t="s">
        <v>74</v>
      </c>
      <c r="BP807" t="s">
        <v>74</v>
      </c>
      <c r="BQ807" t="s">
        <v>74</v>
      </c>
      <c r="BR807" t="s">
        <v>106</v>
      </c>
      <c r="BS807" t="s">
        <v>15191</v>
      </c>
      <c r="BT807" t="str">
        <f>HYPERLINK("https%3A%2F%2Fwww.webofscience.com%2Fwos%2Fwoscc%2Ffull-record%2FWOS:000397821100031","View Full Record in Web of Science")</f>
        <v>View Full Record in Web of Science</v>
      </c>
    </row>
    <row r="808" spans="1:72" x14ac:dyDescent="0.15">
      <c r="A808" t="s">
        <v>72</v>
      </c>
      <c r="B808" t="s">
        <v>15192</v>
      </c>
      <c r="C808" t="s">
        <v>74</v>
      </c>
      <c r="D808" t="s">
        <v>74</v>
      </c>
      <c r="E808" t="s">
        <v>74</v>
      </c>
      <c r="F808" t="s">
        <v>15193</v>
      </c>
      <c r="G808" t="s">
        <v>74</v>
      </c>
      <c r="H808" t="s">
        <v>74</v>
      </c>
      <c r="I808" t="s">
        <v>15194</v>
      </c>
      <c r="J808" t="s">
        <v>14288</v>
      </c>
      <c r="K808" t="s">
        <v>74</v>
      </c>
      <c r="L808" t="s">
        <v>74</v>
      </c>
      <c r="M808" t="s">
        <v>78</v>
      </c>
      <c r="N808" t="s">
        <v>11404</v>
      </c>
      <c r="O808" t="s">
        <v>74</v>
      </c>
      <c r="P808" t="s">
        <v>74</v>
      </c>
      <c r="Q808" t="s">
        <v>74</v>
      </c>
      <c r="R808" t="s">
        <v>74</v>
      </c>
      <c r="S808" t="s">
        <v>74</v>
      </c>
      <c r="T808" t="s">
        <v>15195</v>
      </c>
      <c r="U808" t="s">
        <v>15196</v>
      </c>
      <c r="V808" t="s">
        <v>74</v>
      </c>
      <c r="W808" t="s">
        <v>15197</v>
      </c>
      <c r="X808" t="s">
        <v>309</v>
      </c>
      <c r="Y808" t="s">
        <v>15198</v>
      </c>
      <c r="Z808" t="s">
        <v>15199</v>
      </c>
      <c r="AA808" t="s">
        <v>15200</v>
      </c>
      <c r="AB808" t="s">
        <v>15201</v>
      </c>
      <c r="AC808" t="s">
        <v>74</v>
      </c>
      <c r="AD808" t="s">
        <v>74</v>
      </c>
      <c r="AE808" t="s">
        <v>74</v>
      </c>
      <c r="AF808" t="s">
        <v>74</v>
      </c>
      <c r="AG808">
        <v>12</v>
      </c>
      <c r="AH808">
        <v>4</v>
      </c>
      <c r="AI808">
        <v>4</v>
      </c>
      <c r="AJ808">
        <v>2</v>
      </c>
      <c r="AK808">
        <v>67</v>
      </c>
      <c r="AL808" t="s">
        <v>374</v>
      </c>
      <c r="AM808" t="s">
        <v>93</v>
      </c>
      <c r="AN808" t="s">
        <v>375</v>
      </c>
      <c r="AO808" t="s">
        <v>14301</v>
      </c>
      <c r="AP808" t="s">
        <v>14302</v>
      </c>
      <c r="AQ808" t="s">
        <v>74</v>
      </c>
      <c r="AR808" t="s">
        <v>14288</v>
      </c>
      <c r="AS808" t="s">
        <v>14303</v>
      </c>
      <c r="AT808" t="s">
        <v>12439</v>
      </c>
      <c r="AU808">
        <v>2017</v>
      </c>
      <c r="AV808">
        <v>73</v>
      </c>
      <c r="AW808" t="s">
        <v>74</v>
      </c>
      <c r="AX808" t="s">
        <v>14304</v>
      </c>
      <c r="AY808" t="s">
        <v>74</v>
      </c>
      <c r="AZ808" t="s">
        <v>74</v>
      </c>
      <c r="BA808" t="s">
        <v>74</v>
      </c>
      <c r="BB808">
        <v>245</v>
      </c>
      <c r="BC808">
        <v>246</v>
      </c>
      <c r="BD808" t="s">
        <v>74</v>
      </c>
      <c r="BE808" t="s">
        <v>15202</v>
      </c>
      <c r="BF808" t="str">
        <f>HYPERLINK("http://dx.doi.org/10.1016/j.foodcont.2016.08.049","http://dx.doi.org/10.1016/j.foodcont.2016.08.049")</f>
        <v>http://dx.doi.org/10.1016/j.foodcont.2016.08.049</v>
      </c>
      <c r="BG808" t="s">
        <v>74</v>
      </c>
      <c r="BH808" t="s">
        <v>74</v>
      </c>
      <c r="BI808">
        <v>2</v>
      </c>
      <c r="BJ808" t="s">
        <v>2599</v>
      </c>
      <c r="BK808" t="s">
        <v>103</v>
      </c>
      <c r="BL808" t="s">
        <v>2599</v>
      </c>
      <c r="BM808" t="s">
        <v>15203</v>
      </c>
      <c r="BN808" t="s">
        <v>74</v>
      </c>
      <c r="BO808" t="s">
        <v>74</v>
      </c>
      <c r="BP808" t="s">
        <v>74</v>
      </c>
      <c r="BQ808" t="s">
        <v>74</v>
      </c>
      <c r="BR808" t="s">
        <v>106</v>
      </c>
      <c r="BS808" t="s">
        <v>15204</v>
      </c>
      <c r="BT808" t="str">
        <f>HYPERLINK("https%3A%2F%2Fwww.webofscience.com%2Fwos%2Fwoscc%2Ffull-record%2FWOS:000390965800016","View Full Record in Web of Science")</f>
        <v>View Full Record in Web of Science</v>
      </c>
    </row>
    <row r="809" spans="1:72" x14ac:dyDescent="0.15">
      <c r="A809" t="s">
        <v>72</v>
      </c>
      <c r="B809" t="s">
        <v>15205</v>
      </c>
      <c r="C809" t="s">
        <v>74</v>
      </c>
      <c r="D809" t="s">
        <v>74</v>
      </c>
      <c r="E809" t="s">
        <v>74</v>
      </c>
      <c r="F809" t="s">
        <v>15206</v>
      </c>
      <c r="G809" t="s">
        <v>74</v>
      </c>
      <c r="H809" t="s">
        <v>74</v>
      </c>
      <c r="I809" t="s">
        <v>15207</v>
      </c>
      <c r="J809" t="s">
        <v>15208</v>
      </c>
      <c r="K809" t="s">
        <v>74</v>
      </c>
      <c r="L809" t="s">
        <v>74</v>
      </c>
      <c r="M809" t="s">
        <v>78</v>
      </c>
      <c r="N809" t="s">
        <v>79</v>
      </c>
      <c r="O809" t="s">
        <v>74</v>
      </c>
      <c r="P809" t="s">
        <v>74</v>
      </c>
      <c r="Q809" t="s">
        <v>74</v>
      </c>
      <c r="R809" t="s">
        <v>74</v>
      </c>
      <c r="S809" t="s">
        <v>74</v>
      </c>
      <c r="T809" t="s">
        <v>15209</v>
      </c>
      <c r="U809" t="s">
        <v>15210</v>
      </c>
      <c r="V809" t="s">
        <v>15211</v>
      </c>
      <c r="W809" t="s">
        <v>15212</v>
      </c>
      <c r="X809" t="s">
        <v>15213</v>
      </c>
      <c r="Y809" t="s">
        <v>15214</v>
      </c>
      <c r="Z809" t="s">
        <v>15215</v>
      </c>
      <c r="AA809" t="s">
        <v>15216</v>
      </c>
      <c r="AB809" t="s">
        <v>15217</v>
      </c>
      <c r="AC809" t="s">
        <v>15218</v>
      </c>
      <c r="AD809" t="s">
        <v>15219</v>
      </c>
      <c r="AE809" t="s">
        <v>15220</v>
      </c>
      <c r="AF809" t="s">
        <v>74</v>
      </c>
      <c r="AG809">
        <v>36</v>
      </c>
      <c r="AH809">
        <v>35</v>
      </c>
      <c r="AI809">
        <v>40</v>
      </c>
      <c r="AJ809">
        <v>0</v>
      </c>
      <c r="AK809">
        <v>59</v>
      </c>
      <c r="AL809" t="s">
        <v>3585</v>
      </c>
      <c r="AM809" t="s">
        <v>403</v>
      </c>
      <c r="AN809" t="s">
        <v>3586</v>
      </c>
      <c r="AO809" t="s">
        <v>15221</v>
      </c>
      <c r="AP809" t="s">
        <v>74</v>
      </c>
      <c r="AQ809" t="s">
        <v>74</v>
      </c>
      <c r="AR809" t="s">
        <v>15222</v>
      </c>
      <c r="AS809" t="s">
        <v>15223</v>
      </c>
      <c r="AT809" t="s">
        <v>15224</v>
      </c>
      <c r="AU809">
        <v>2017</v>
      </c>
      <c r="AV809">
        <v>17</v>
      </c>
      <c r="AW809" t="s">
        <v>74</v>
      </c>
      <c r="AX809" t="s">
        <v>74</v>
      </c>
      <c r="AY809" t="s">
        <v>74</v>
      </c>
      <c r="AZ809" t="s">
        <v>74</v>
      </c>
      <c r="BA809" t="s">
        <v>74</v>
      </c>
      <c r="BB809" t="s">
        <v>74</v>
      </c>
      <c r="BC809" t="s">
        <v>74</v>
      </c>
      <c r="BD809">
        <v>22</v>
      </c>
      <c r="BE809" t="s">
        <v>15225</v>
      </c>
      <c r="BF809" t="str">
        <f>HYPERLINK("http://dx.doi.org/10.1186/s12896-017-0343-8","http://dx.doi.org/10.1186/s12896-017-0343-8")</f>
        <v>http://dx.doi.org/10.1186/s12896-017-0343-8</v>
      </c>
      <c r="BG809" t="s">
        <v>74</v>
      </c>
      <c r="BH809" t="s">
        <v>74</v>
      </c>
      <c r="BI809">
        <v>13</v>
      </c>
      <c r="BJ809" t="s">
        <v>3566</v>
      </c>
      <c r="BK809" t="s">
        <v>103</v>
      </c>
      <c r="BL809" t="s">
        <v>3566</v>
      </c>
      <c r="BM809" t="s">
        <v>15226</v>
      </c>
      <c r="BN809">
        <v>28245836</v>
      </c>
      <c r="BO809" t="s">
        <v>2009</v>
      </c>
      <c r="BP809" t="s">
        <v>74</v>
      </c>
      <c r="BQ809" t="s">
        <v>74</v>
      </c>
      <c r="BR809" t="s">
        <v>106</v>
      </c>
      <c r="BS809" t="s">
        <v>15227</v>
      </c>
      <c r="BT809" t="str">
        <f>HYPERLINK("https%3A%2F%2Fwww.webofscience.com%2Fwos%2Fwoscc%2Ffull-record%2FWOS:000396080500001","View Full Record in Web of Science")</f>
        <v>View Full Record in Web of Science</v>
      </c>
    </row>
    <row r="810" spans="1:72" x14ac:dyDescent="0.15">
      <c r="A810" t="s">
        <v>72</v>
      </c>
      <c r="B810" t="s">
        <v>15228</v>
      </c>
      <c r="C810" t="s">
        <v>74</v>
      </c>
      <c r="D810" t="s">
        <v>74</v>
      </c>
      <c r="E810" t="s">
        <v>74</v>
      </c>
      <c r="F810" t="s">
        <v>15229</v>
      </c>
      <c r="G810" t="s">
        <v>74</v>
      </c>
      <c r="H810" t="s">
        <v>15230</v>
      </c>
      <c r="I810" t="s">
        <v>15231</v>
      </c>
      <c r="J810" t="s">
        <v>15232</v>
      </c>
      <c r="K810" t="s">
        <v>74</v>
      </c>
      <c r="L810" t="s">
        <v>74</v>
      </c>
      <c r="M810" t="s">
        <v>78</v>
      </c>
      <c r="N810" t="s">
        <v>79</v>
      </c>
      <c r="O810" t="s">
        <v>74</v>
      </c>
      <c r="P810" t="s">
        <v>74</v>
      </c>
      <c r="Q810" t="s">
        <v>74</v>
      </c>
      <c r="R810" t="s">
        <v>74</v>
      </c>
      <c r="S810" t="s">
        <v>74</v>
      </c>
      <c r="T810" t="s">
        <v>74</v>
      </c>
      <c r="U810" t="s">
        <v>15233</v>
      </c>
      <c r="V810" t="s">
        <v>15234</v>
      </c>
      <c r="W810" t="s">
        <v>15235</v>
      </c>
      <c r="X810" t="s">
        <v>15236</v>
      </c>
      <c r="Y810" t="s">
        <v>15237</v>
      </c>
      <c r="Z810" t="s">
        <v>15238</v>
      </c>
      <c r="AA810" t="s">
        <v>15239</v>
      </c>
      <c r="AB810" t="s">
        <v>15240</v>
      </c>
      <c r="AC810" t="s">
        <v>15241</v>
      </c>
      <c r="AD810" t="s">
        <v>15242</v>
      </c>
      <c r="AE810" t="s">
        <v>15243</v>
      </c>
      <c r="AF810" t="s">
        <v>74</v>
      </c>
      <c r="AG810">
        <v>48</v>
      </c>
      <c r="AH810">
        <v>39</v>
      </c>
      <c r="AI810">
        <v>46</v>
      </c>
      <c r="AJ810">
        <v>0</v>
      </c>
      <c r="AK810">
        <v>1</v>
      </c>
      <c r="AL810" t="s">
        <v>15244</v>
      </c>
      <c r="AM810" t="s">
        <v>15245</v>
      </c>
      <c r="AN810" t="s">
        <v>15246</v>
      </c>
      <c r="AO810" t="s">
        <v>15247</v>
      </c>
      <c r="AP810" t="s">
        <v>15248</v>
      </c>
      <c r="AQ810" t="s">
        <v>74</v>
      </c>
      <c r="AR810" t="s">
        <v>15249</v>
      </c>
      <c r="AS810" t="s">
        <v>15250</v>
      </c>
      <c r="AT810" t="s">
        <v>15224</v>
      </c>
      <c r="AU810">
        <v>2017</v>
      </c>
      <c r="AV810">
        <v>95</v>
      </c>
      <c r="AW810">
        <v>3</v>
      </c>
      <c r="AX810" t="s">
        <v>74</v>
      </c>
      <c r="AY810" t="s">
        <v>74</v>
      </c>
      <c r="AZ810" t="s">
        <v>74</v>
      </c>
      <c r="BA810" t="s">
        <v>74</v>
      </c>
      <c r="BB810" t="s">
        <v>74</v>
      </c>
      <c r="BC810" t="s">
        <v>74</v>
      </c>
      <c r="BD810">
        <v>32006</v>
      </c>
      <c r="BE810" t="s">
        <v>15251</v>
      </c>
      <c r="BF810" t="str">
        <f>HYPERLINK("http://dx.doi.org/10.1103/PhysRevD.95.032006","http://dx.doi.org/10.1103/PhysRevD.95.032006")</f>
        <v>http://dx.doi.org/10.1103/PhysRevD.95.032006</v>
      </c>
      <c r="BG810" t="s">
        <v>74</v>
      </c>
      <c r="BH810" t="s">
        <v>74</v>
      </c>
      <c r="BI810">
        <v>6</v>
      </c>
      <c r="BJ810" t="s">
        <v>15252</v>
      </c>
      <c r="BK810" t="s">
        <v>103</v>
      </c>
      <c r="BL810" t="s">
        <v>15253</v>
      </c>
      <c r="BM810" t="s">
        <v>15254</v>
      </c>
      <c r="BN810" t="s">
        <v>74</v>
      </c>
      <c r="BO810" t="s">
        <v>15255</v>
      </c>
      <c r="BP810" t="s">
        <v>74</v>
      </c>
      <c r="BQ810" t="s">
        <v>74</v>
      </c>
      <c r="BR810" t="s">
        <v>106</v>
      </c>
      <c r="BS810" t="s">
        <v>15256</v>
      </c>
      <c r="BT810" t="str">
        <f>HYPERLINK("https%3A%2F%2Fwww.webofscience.com%2Fwos%2Fwoscc%2Ffull-record%2FWOS:000396024900001","View Full Record in Web of Science")</f>
        <v>View Full Record in Web of Science</v>
      </c>
    </row>
    <row r="811" spans="1:72" x14ac:dyDescent="0.15">
      <c r="A811" t="s">
        <v>72</v>
      </c>
      <c r="B811" t="s">
        <v>5750</v>
      </c>
      <c r="C811" t="s">
        <v>74</v>
      </c>
      <c r="D811" t="s">
        <v>74</v>
      </c>
      <c r="E811" t="s">
        <v>74</v>
      </c>
      <c r="F811" t="s">
        <v>5751</v>
      </c>
      <c r="G811" t="s">
        <v>74</v>
      </c>
      <c r="H811" t="s">
        <v>74</v>
      </c>
      <c r="I811" t="s">
        <v>15257</v>
      </c>
      <c r="J811" t="s">
        <v>3684</v>
      </c>
      <c r="K811" t="s">
        <v>74</v>
      </c>
      <c r="L811" t="s">
        <v>74</v>
      </c>
      <c r="M811" t="s">
        <v>78</v>
      </c>
      <c r="N811" t="s">
        <v>79</v>
      </c>
      <c r="O811" t="s">
        <v>74</v>
      </c>
      <c r="P811" t="s">
        <v>74</v>
      </c>
      <c r="Q811" t="s">
        <v>74</v>
      </c>
      <c r="R811" t="s">
        <v>74</v>
      </c>
      <c r="S811" t="s">
        <v>74</v>
      </c>
      <c r="T811" t="s">
        <v>74</v>
      </c>
      <c r="U811" t="s">
        <v>15258</v>
      </c>
      <c r="V811" t="s">
        <v>15259</v>
      </c>
      <c r="W811" t="s">
        <v>15260</v>
      </c>
      <c r="X811" t="s">
        <v>15261</v>
      </c>
      <c r="Y811" t="s">
        <v>15262</v>
      </c>
      <c r="Z811" t="s">
        <v>15263</v>
      </c>
      <c r="AA811" t="s">
        <v>74</v>
      </c>
      <c r="AB811" t="s">
        <v>15264</v>
      </c>
      <c r="AC811" t="s">
        <v>15265</v>
      </c>
      <c r="AD811" t="s">
        <v>15266</v>
      </c>
      <c r="AE811" t="s">
        <v>15267</v>
      </c>
      <c r="AF811" t="s">
        <v>74</v>
      </c>
      <c r="AG811">
        <v>45</v>
      </c>
      <c r="AH811">
        <v>10</v>
      </c>
      <c r="AI811">
        <v>11</v>
      </c>
      <c r="AJ811">
        <v>0</v>
      </c>
      <c r="AK811">
        <v>13</v>
      </c>
      <c r="AL811" t="s">
        <v>222</v>
      </c>
      <c r="AM811" t="s">
        <v>223</v>
      </c>
      <c r="AN811" t="s">
        <v>224</v>
      </c>
      <c r="AO811" t="s">
        <v>3696</v>
      </c>
      <c r="AP811" t="s">
        <v>3697</v>
      </c>
      <c r="AQ811" t="s">
        <v>74</v>
      </c>
      <c r="AR811" t="s">
        <v>3698</v>
      </c>
      <c r="AS811" t="s">
        <v>3699</v>
      </c>
      <c r="AT811" t="s">
        <v>15224</v>
      </c>
      <c r="AU811">
        <v>2017</v>
      </c>
      <c r="AV811">
        <v>44</v>
      </c>
      <c r="AW811">
        <v>4</v>
      </c>
      <c r="AX811" t="s">
        <v>74</v>
      </c>
      <c r="AY811" t="s">
        <v>74</v>
      </c>
      <c r="AZ811" t="s">
        <v>74</v>
      </c>
      <c r="BA811" t="s">
        <v>74</v>
      </c>
      <c r="BB811">
        <v>1679</v>
      </c>
      <c r="BC811">
        <v>1686</v>
      </c>
      <c r="BD811" t="s">
        <v>74</v>
      </c>
      <c r="BE811" t="s">
        <v>15268</v>
      </c>
      <c r="BF811" t="str">
        <f>HYPERLINK("http://dx.doi.org/10.1002/2016GL072490","http://dx.doi.org/10.1002/2016GL072490")</f>
        <v>http://dx.doi.org/10.1002/2016GL072490</v>
      </c>
      <c r="BG811" t="s">
        <v>74</v>
      </c>
      <c r="BH811" t="s">
        <v>74</v>
      </c>
      <c r="BI811">
        <v>8</v>
      </c>
      <c r="BJ811" t="s">
        <v>437</v>
      </c>
      <c r="BK811" t="s">
        <v>103</v>
      </c>
      <c r="BL811" t="s">
        <v>438</v>
      </c>
      <c r="BM811" t="s">
        <v>15269</v>
      </c>
      <c r="BN811" t="s">
        <v>74</v>
      </c>
      <c r="BO811" t="s">
        <v>384</v>
      </c>
      <c r="BP811" t="s">
        <v>74</v>
      </c>
      <c r="BQ811" t="s">
        <v>74</v>
      </c>
      <c r="BR811" t="s">
        <v>106</v>
      </c>
      <c r="BS811" t="s">
        <v>15270</v>
      </c>
      <c r="BT811" t="str">
        <f>HYPERLINK("https%3A%2F%2Fwww.webofscience.com%2Fwos%2Fwoscc%2Ffull-record%2FWOS:000396411100008","View Full Record in Web of Science")</f>
        <v>View Full Record in Web of Science</v>
      </c>
    </row>
    <row r="812" spans="1:72" x14ac:dyDescent="0.15">
      <c r="A812" t="s">
        <v>72</v>
      </c>
      <c r="B812" t="s">
        <v>15271</v>
      </c>
      <c r="C812" t="s">
        <v>74</v>
      </c>
      <c r="D812" t="s">
        <v>74</v>
      </c>
      <c r="E812" t="s">
        <v>74</v>
      </c>
      <c r="F812" t="s">
        <v>15272</v>
      </c>
      <c r="G812" t="s">
        <v>74</v>
      </c>
      <c r="H812" t="s">
        <v>74</v>
      </c>
      <c r="I812" t="s">
        <v>15273</v>
      </c>
      <c r="J812" t="s">
        <v>3684</v>
      </c>
      <c r="K812" t="s">
        <v>74</v>
      </c>
      <c r="L812" t="s">
        <v>74</v>
      </c>
      <c r="M812" t="s">
        <v>78</v>
      </c>
      <c r="N812" t="s">
        <v>79</v>
      </c>
      <c r="O812" t="s">
        <v>74</v>
      </c>
      <c r="P812" t="s">
        <v>74</v>
      </c>
      <c r="Q812" t="s">
        <v>74</v>
      </c>
      <c r="R812" t="s">
        <v>74</v>
      </c>
      <c r="S812" t="s">
        <v>74</v>
      </c>
      <c r="T812" t="s">
        <v>74</v>
      </c>
      <c r="U812" t="s">
        <v>15274</v>
      </c>
      <c r="V812" t="s">
        <v>15275</v>
      </c>
      <c r="W812" t="s">
        <v>15276</v>
      </c>
      <c r="X812" t="s">
        <v>15277</v>
      </c>
      <c r="Y812" t="s">
        <v>15278</v>
      </c>
      <c r="Z812" t="s">
        <v>15279</v>
      </c>
      <c r="AA812" t="s">
        <v>15280</v>
      </c>
      <c r="AB812" t="s">
        <v>15281</v>
      </c>
      <c r="AC812" t="s">
        <v>15282</v>
      </c>
      <c r="AD812" t="s">
        <v>15283</v>
      </c>
      <c r="AE812" t="s">
        <v>15284</v>
      </c>
      <c r="AF812" t="s">
        <v>74</v>
      </c>
      <c r="AG812">
        <v>31</v>
      </c>
      <c r="AH812">
        <v>19</v>
      </c>
      <c r="AI812">
        <v>19</v>
      </c>
      <c r="AJ812">
        <v>0</v>
      </c>
      <c r="AK812">
        <v>12</v>
      </c>
      <c r="AL812" t="s">
        <v>222</v>
      </c>
      <c r="AM812" t="s">
        <v>223</v>
      </c>
      <c r="AN812" t="s">
        <v>224</v>
      </c>
      <c r="AO812" t="s">
        <v>3696</v>
      </c>
      <c r="AP812" t="s">
        <v>3697</v>
      </c>
      <c r="AQ812" t="s">
        <v>74</v>
      </c>
      <c r="AR812" t="s">
        <v>3698</v>
      </c>
      <c r="AS812" t="s">
        <v>3699</v>
      </c>
      <c r="AT812" t="s">
        <v>15224</v>
      </c>
      <c r="AU812">
        <v>2017</v>
      </c>
      <c r="AV812">
        <v>44</v>
      </c>
      <c r="AW812">
        <v>4</v>
      </c>
      <c r="AX812" t="s">
        <v>74</v>
      </c>
      <c r="AY812" t="s">
        <v>74</v>
      </c>
      <c r="AZ812" t="s">
        <v>74</v>
      </c>
      <c r="BA812" t="s">
        <v>74</v>
      </c>
      <c r="BB812">
        <v>1814</v>
      </c>
      <c r="BC812">
        <v>1822</v>
      </c>
      <c r="BD812" t="s">
        <v>74</v>
      </c>
      <c r="BE812" t="s">
        <v>15285</v>
      </c>
      <c r="BF812" t="str">
        <f>HYPERLINK("http://dx.doi.org/10.1002/2016GL071491","http://dx.doi.org/10.1002/2016GL071491")</f>
        <v>http://dx.doi.org/10.1002/2016GL071491</v>
      </c>
      <c r="BG812" t="s">
        <v>74</v>
      </c>
      <c r="BH812" t="s">
        <v>74</v>
      </c>
      <c r="BI812">
        <v>9</v>
      </c>
      <c r="BJ812" t="s">
        <v>437</v>
      </c>
      <c r="BK812" t="s">
        <v>103</v>
      </c>
      <c r="BL812" t="s">
        <v>438</v>
      </c>
      <c r="BM812" t="s">
        <v>15269</v>
      </c>
      <c r="BN812" t="s">
        <v>74</v>
      </c>
      <c r="BO812" t="s">
        <v>74</v>
      </c>
      <c r="BP812" t="s">
        <v>74</v>
      </c>
      <c r="BQ812" t="s">
        <v>74</v>
      </c>
      <c r="BR812" t="s">
        <v>106</v>
      </c>
      <c r="BS812" t="s">
        <v>15286</v>
      </c>
      <c r="BT812" t="str">
        <f>HYPERLINK("https%3A%2F%2Fwww.webofscience.com%2Fwos%2Fwoscc%2Ffull-record%2FWOS:000396411100024","View Full Record in Web of Science")</f>
        <v>View Full Record in Web of Science</v>
      </c>
    </row>
    <row r="813" spans="1:72" x14ac:dyDescent="0.15">
      <c r="A813" t="s">
        <v>72</v>
      </c>
      <c r="B813" t="s">
        <v>15287</v>
      </c>
      <c r="C813" t="s">
        <v>74</v>
      </c>
      <c r="D813" t="s">
        <v>74</v>
      </c>
      <c r="E813" t="s">
        <v>74</v>
      </c>
      <c r="F813" t="s">
        <v>15288</v>
      </c>
      <c r="G813" t="s">
        <v>74</v>
      </c>
      <c r="H813" t="s">
        <v>74</v>
      </c>
      <c r="I813" t="s">
        <v>15289</v>
      </c>
      <c r="J813" t="s">
        <v>4430</v>
      </c>
      <c r="K813" t="s">
        <v>74</v>
      </c>
      <c r="L813" t="s">
        <v>74</v>
      </c>
      <c r="M813" t="s">
        <v>78</v>
      </c>
      <c r="N813" t="s">
        <v>79</v>
      </c>
      <c r="O813" t="s">
        <v>74</v>
      </c>
      <c r="P813" t="s">
        <v>74</v>
      </c>
      <c r="Q813" t="s">
        <v>74</v>
      </c>
      <c r="R813" t="s">
        <v>74</v>
      </c>
      <c r="S813" t="s">
        <v>74</v>
      </c>
      <c r="T813" t="s">
        <v>74</v>
      </c>
      <c r="U813" t="s">
        <v>15290</v>
      </c>
      <c r="V813" t="s">
        <v>15291</v>
      </c>
      <c r="W813" t="s">
        <v>15292</v>
      </c>
      <c r="X813" t="s">
        <v>15293</v>
      </c>
      <c r="Y813" t="s">
        <v>15294</v>
      </c>
      <c r="Z813" t="s">
        <v>15295</v>
      </c>
      <c r="AA813" t="s">
        <v>15296</v>
      </c>
      <c r="AB813" t="s">
        <v>15297</v>
      </c>
      <c r="AC813" t="s">
        <v>15298</v>
      </c>
      <c r="AD813" t="s">
        <v>15299</v>
      </c>
      <c r="AE813" t="s">
        <v>15300</v>
      </c>
      <c r="AF813" t="s">
        <v>74</v>
      </c>
      <c r="AG813">
        <v>43</v>
      </c>
      <c r="AH813">
        <v>35</v>
      </c>
      <c r="AI813">
        <v>39</v>
      </c>
      <c r="AJ813">
        <v>2</v>
      </c>
      <c r="AK813">
        <v>23</v>
      </c>
      <c r="AL813" t="s">
        <v>3534</v>
      </c>
      <c r="AM813" t="s">
        <v>3535</v>
      </c>
      <c r="AN813" t="s">
        <v>3536</v>
      </c>
      <c r="AO813" t="s">
        <v>4442</v>
      </c>
      <c r="AP813" t="s">
        <v>4443</v>
      </c>
      <c r="AQ813" t="s">
        <v>74</v>
      </c>
      <c r="AR813" t="s">
        <v>4444</v>
      </c>
      <c r="AS813" t="s">
        <v>4445</v>
      </c>
      <c r="AT813" t="s">
        <v>15301</v>
      </c>
      <c r="AU813">
        <v>2017</v>
      </c>
      <c r="AV813">
        <v>10</v>
      </c>
      <c r="AW813">
        <v>2</v>
      </c>
      <c r="AX813" t="s">
        <v>74</v>
      </c>
      <c r="AY813" t="s">
        <v>74</v>
      </c>
      <c r="AZ813" t="s">
        <v>74</v>
      </c>
      <c r="BA813" t="s">
        <v>74</v>
      </c>
      <c r="BB813">
        <v>617</v>
      </c>
      <c r="BC813">
        <v>632</v>
      </c>
      <c r="BD813" t="s">
        <v>74</v>
      </c>
      <c r="BE813" t="s">
        <v>15302</v>
      </c>
      <c r="BF813" t="str">
        <f>HYPERLINK("http://dx.doi.org/10.5194/amt-10-617-2017","http://dx.doi.org/10.5194/amt-10-617-2017")</f>
        <v>http://dx.doi.org/10.5194/amt-10-617-2017</v>
      </c>
      <c r="BG813" t="s">
        <v>74</v>
      </c>
      <c r="BH813" t="s">
        <v>74</v>
      </c>
      <c r="BI813">
        <v>16</v>
      </c>
      <c r="BJ813" t="s">
        <v>1261</v>
      </c>
      <c r="BK813" t="s">
        <v>103</v>
      </c>
      <c r="BL813" t="s">
        <v>1261</v>
      </c>
      <c r="BM813" t="s">
        <v>15303</v>
      </c>
      <c r="BN813" t="s">
        <v>74</v>
      </c>
      <c r="BO813" t="s">
        <v>205</v>
      </c>
      <c r="BP813" t="s">
        <v>74</v>
      </c>
      <c r="BQ813" t="s">
        <v>74</v>
      </c>
      <c r="BR813" t="s">
        <v>106</v>
      </c>
      <c r="BS813" t="s">
        <v>15304</v>
      </c>
      <c r="BT813" t="str">
        <f>HYPERLINK("https%3A%2F%2Fwww.webofscience.com%2Fwos%2Fwoscc%2Ffull-record%2FWOS:000395103300001","View Full Record in Web of Science")</f>
        <v>View Full Record in Web of Science</v>
      </c>
    </row>
    <row r="814" spans="1:72" x14ac:dyDescent="0.15">
      <c r="A814" t="s">
        <v>72</v>
      </c>
      <c r="B814" t="s">
        <v>15305</v>
      </c>
      <c r="C814" t="s">
        <v>74</v>
      </c>
      <c r="D814" t="s">
        <v>74</v>
      </c>
      <c r="E814" t="s">
        <v>74</v>
      </c>
      <c r="F814" t="s">
        <v>15306</v>
      </c>
      <c r="G814" t="s">
        <v>74</v>
      </c>
      <c r="H814" t="s">
        <v>74</v>
      </c>
      <c r="I814" t="s">
        <v>15307</v>
      </c>
      <c r="J814" t="s">
        <v>3803</v>
      </c>
      <c r="K814" t="s">
        <v>74</v>
      </c>
      <c r="L814" t="s">
        <v>74</v>
      </c>
      <c r="M814" t="s">
        <v>78</v>
      </c>
      <c r="N814" t="s">
        <v>79</v>
      </c>
      <c r="O814" t="s">
        <v>74</v>
      </c>
      <c r="P814" t="s">
        <v>74</v>
      </c>
      <c r="Q814" t="s">
        <v>74</v>
      </c>
      <c r="R814" t="s">
        <v>74</v>
      </c>
      <c r="S814" t="s">
        <v>74</v>
      </c>
      <c r="T814" t="s">
        <v>74</v>
      </c>
      <c r="U814" t="s">
        <v>15308</v>
      </c>
      <c r="V814" t="s">
        <v>15309</v>
      </c>
      <c r="W814" t="s">
        <v>15310</v>
      </c>
      <c r="X814" t="s">
        <v>15311</v>
      </c>
      <c r="Y814" t="s">
        <v>15312</v>
      </c>
      <c r="Z814" t="s">
        <v>15313</v>
      </c>
      <c r="AA814" t="s">
        <v>15314</v>
      </c>
      <c r="AB814" t="s">
        <v>15315</v>
      </c>
      <c r="AC814" t="s">
        <v>15316</v>
      </c>
      <c r="AD814" t="s">
        <v>15317</v>
      </c>
      <c r="AE814" t="s">
        <v>15318</v>
      </c>
      <c r="AF814" t="s">
        <v>74</v>
      </c>
      <c r="AG814">
        <v>55</v>
      </c>
      <c r="AH814">
        <v>14</v>
      </c>
      <c r="AI814">
        <v>14</v>
      </c>
      <c r="AJ814">
        <v>3</v>
      </c>
      <c r="AK814">
        <v>20</v>
      </c>
      <c r="AL814" t="s">
        <v>3534</v>
      </c>
      <c r="AM814" t="s">
        <v>3535</v>
      </c>
      <c r="AN814" t="s">
        <v>3536</v>
      </c>
      <c r="AO814" t="s">
        <v>3814</v>
      </c>
      <c r="AP814" t="s">
        <v>3815</v>
      </c>
      <c r="AQ814" t="s">
        <v>74</v>
      </c>
      <c r="AR814" t="s">
        <v>3816</v>
      </c>
      <c r="AS814" t="s">
        <v>3817</v>
      </c>
      <c r="AT814" t="s">
        <v>15301</v>
      </c>
      <c r="AU814">
        <v>2017</v>
      </c>
      <c r="AV814">
        <v>13</v>
      </c>
      <c r="AW814">
        <v>2</v>
      </c>
      <c r="AX814" t="s">
        <v>74</v>
      </c>
      <c r="AY814" t="s">
        <v>74</v>
      </c>
      <c r="AZ814" t="s">
        <v>74</v>
      </c>
      <c r="BA814" t="s">
        <v>74</v>
      </c>
      <c r="BB814">
        <v>171</v>
      </c>
      <c r="BC814">
        <v>184</v>
      </c>
      <c r="BD814" t="s">
        <v>74</v>
      </c>
      <c r="BE814" t="s">
        <v>15319</v>
      </c>
      <c r="BF814" t="str">
        <f>HYPERLINK("http://dx.doi.org/10.5194/cp-13-171-2017","http://dx.doi.org/10.5194/cp-13-171-2017")</f>
        <v>http://dx.doi.org/10.5194/cp-13-171-2017</v>
      </c>
      <c r="BG814" t="s">
        <v>74</v>
      </c>
      <c r="BH814" t="s">
        <v>74</v>
      </c>
      <c r="BI814">
        <v>14</v>
      </c>
      <c r="BJ814" t="s">
        <v>3820</v>
      </c>
      <c r="BK814" t="s">
        <v>103</v>
      </c>
      <c r="BL814" t="s">
        <v>3821</v>
      </c>
      <c r="BM814" t="s">
        <v>15320</v>
      </c>
      <c r="BN814" t="s">
        <v>74</v>
      </c>
      <c r="BO814" t="s">
        <v>3844</v>
      </c>
      <c r="BP814" t="s">
        <v>74</v>
      </c>
      <c r="BQ814" t="s">
        <v>74</v>
      </c>
      <c r="BR814" t="s">
        <v>106</v>
      </c>
      <c r="BS814" t="s">
        <v>15321</v>
      </c>
      <c r="BT814" t="str">
        <f>HYPERLINK("https%3A%2F%2Fwww.webofscience.com%2Fwos%2Fwoscc%2Ffull-record%2FWOS:000395110300001","View Full Record in Web of Science")</f>
        <v>View Full Record in Web of Science</v>
      </c>
    </row>
    <row r="815" spans="1:72" x14ac:dyDescent="0.15">
      <c r="A815" t="s">
        <v>72</v>
      </c>
      <c r="B815" t="s">
        <v>15322</v>
      </c>
      <c r="C815" t="s">
        <v>74</v>
      </c>
      <c r="D815" t="s">
        <v>74</v>
      </c>
      <c r="E815" t="s">
        <v>74</v>
      </c>
      <c r="F815" t="s">
        <v>15323</v>
      </c>
      <c r="G815" t="s">
        <v>74</v>
      </c>
      <c r="H815" t="s">
        <v>74</v>
      </c>
      <c r="I815" t="s">
        <v>15324</v>
      </c>
      <c r="J815" t="s">
        <v>3849</v>
      </c>
      <c r="K815" t="s">
        <v>74</v>
      </c>
      <c r="L815" t="s">
        <v>74</v>
      </c>
      <c r="M815" t="s">
        <v>78</v>
      </c>
      <c r="N815" t="s">
        <v>79</v>
      </c>
      <c r="O815" t="s">
        <v>74</v>
      </c>
      <c r="P815" t="s">
        <v>74</v>
      </c>
      <c r="Q815" t="s">
        <v>74</v>
      </c>
      <c r="R815" t="s">
        <v>74</v>
      </c>
      <c r="S815" t="s">
        <v>74</v>
      </c>
      <c r="T815" t="s">
        <v>74</v>
      </c>
      <c r="U815" t="s">
        <v>15325</v>
      </c>
      <c r="V815" t="s">
        <v>15326</v>
      </c>
      <c r="W815" t="s">
        <v>15327</v>
      </c>
      <c r="X815" t="s">
        <v>15328</v>
      </c>
      <c r="Y815" t="s">
        <v>15329</v>
      </c>
      <c r="Z815" t="s">
        <v>15330</v>
      </c>
      <c r="AA815" t="s">
        <v>3647</v>
      </c>
      <c r="AB815" t="s">
        <v>3648</v>
      </c>
      <c r="AC815" t="s">
        <v>15331</v>
      </c>
      <c r="AD815" t="s">
        <v>15332</v>
      </c>
      <c r="AE815" t="s">
        <v>15333</v>
      </c>
      <c r="AF815" t="s">
        <v>74</v>
      </c>
      <c r="AG815">
        <v>115</v>
      </c>
      <c r="AH815">
        <v>31</v>
      </c>
      <c r="AI815">
        <v>37</v>
      </c>
      <c r="AJ815">
        <v>2</v>
      </c>
      <c r="AK815">
        <v>24</v>
      </c>
      <c r="AL815" t="s">
        <v>3861</v>
      </c>
      <c r="AM815" t="s">
        <v>3862</v>
      </c>
      <c r="AN815" t="s">
        <v>3863</v>
      </c>
      <c r="AO815" t="s">
        <v>3864</v>
      </c>
      <c r="AP815" t="s">
        <v>74</v>
      </c>
      <c r="AQ815" t="s">
        <v>74</v>
      </c>
      <c r="AR815" t="s">
        <v>3849</v>
      </c>
      <c r="AS815" t="s">
        <v>3865</v>
      </c>
      <c r="AT815" t="s">
        <v>15301</v>
      </c>
      <c r="AU815">
        <v>2017</v>
      </c>
      <c r="AV815">
        <v>12</v>
      </c>
      <c r="AW815">
        <v>2</v>
      </c>
      <c r="AX815" t="s">
        <v>74</v>
      </c>
      <c r="AY815" t="s">
        <v>74</v>
      </c>
      <c r="AZ815" t="s">
        <v>74</v>
      </c>
      <c r="BA815" t="s">
        <v>74</v>
      </c>
      <c r="BB815" t="s">
        <v>74</v>
      </c>
      <c r="BC815" t="s">
        <v>74</v>
      </c>
      <c r="BD815" t="s">
        <v>15334</v>
      </c>
      <c r="BE815" t="s">
        <v>15335</v>
      </c>
      <c r="BF815" t="str">
        <f>HYPERLINK("http://dx.doi.org/10.1371/journal.pone.0172869","http://dx.doi.org/10.1371/journal.pone.0172869")</f>
        <v>http://dx.doi.org/10.1371/journal.pone.0172869</v>
      </c>
      <c r="BG815" t="s">
        <v>74</v>
      </c>
      <c r="BH815" t="s">
        <v>74</v>
      </c>
      <c r="BI815">
        <v>27</v>
      </c>
      <c r="BJ815" t="s">
        <v>1617</v>
      </c>
      <c r="BK815" t="s">
        <v>103</v>
      </c>
      <c r="BL815" t="s">
        <v>1618</v>
      </c>
      <c r="BM815" t="s">
        <v>15336</v>
      </c>
      <c r="BN815">
        <v>28241081</v>
      </c>
      <c r="BO815" t="s">
        <v>7101</v>
      </c>
      <c r="BP815" t="s">
        <v>74</v>
      </c>
      <c r="BQ815" t="s">
        <v>74</v>
      </c>
      <c r="BR815" t="s">
        <v>106</v>
      </c>
      <c r="BS815" t="s">
        <v>15337</v>
      </c>
      <c r="BT815" t="str">
        <f>HYPERLINK("https%3A%2F%2Fwww.webofscience.com%2Fwos%2Fwoscc%2Ffull-record%2FWOS:000395934400047","View Full Record in Web of Science")</f>
        <v>View Full Record in Web of Science</v>
      </c>
    </row>
    <row r="816" spans="1:72" x14ac:dyDescent="0.15">
      <c r="A816" t="s">
        <v>72</v>
      </c>
      <c r="B816" t="s">
        <v>15338</v>
      </c>
      <c r="C816" t="s">
        <v>74</v>
      </c>
      <c r="D816" t="s">
        <v>74</v>
      </c>
      <c r="E816" t="s">
        <v>74</v>
      </c>
      <c r="F816" t="s">
        <v>15339</v>
      </c>
      <c r="G816" t="s">
        <v>74</v>
      </c>
      <c r="H816" t="s">
        <v>74</v>
      </c>
      <c r="I816" t="s">
        <v>15340</v>
      </c>
      <c r="J816" t="s">
        <v>15341</v>
      </c>
      <c r="K816" t="s">
        <v>74</v>
      </c>
      <c r="L816" t="s">
        <v>74</v>
      </c>
      <c r="M816" t="s">
        <v>78</v>
      </c>
      <c r="N816" t="s">
        <v>79</v>
      </c>
      <c r="O816" t="s">
        <v>74</v>
      </c>
      <c r="P816" t="s">
        <v>74</v>
      </c>
      <c r="Q816" t="s">
        <v>74</v>
      </c>
      <c r="R816" t="s">
        <v>74</v>
      </c>
      <c r="S816" t="s">
        <v>74</v>
      </c>
      <c r="T816" t="s">
        <v>15342</v>
      </c>
      <c r="U816" t="s">
        <v>15343</v>
      </c>
      <c r="V816" t="s">
        <v>15344</v>
      </c>
      <c r="W816" t="s">
        <v>15345</v>
      </c>
      <c r="X816" t="s">
        <v>15346</v>
      </c>
      <c r="Y816" t="s">
        <v>15347</v>
      </c>
      <c r="Z816" t="s">
        <v>15348</v>
      </c>
      <c r="AA816" t="s">
        <v>15349</v>
      </c>
      <c r="AB816" t="s">
        <v>15350</v>
      </c>
      <c r="AC816" t="s">
        <v>15351</v>
      </c>
      <c r="AD816" t="s">
        <v>15352</v>
      </c>
      <c r="AE816" t="s">
        <v>15353</v>
      </c>
      <c r="AF816" t="s">
        <v>74</v>
      </c>
      <c r="AG816">
        <v>18</v>
      </c>
      <c r="AH816">
        <v>19</v>
      </c>
      <c r="AI816">
        <v>20</v>
      </c>
      <c r="AJ816">
        <v>1</v>
      </c>
      <c r="AK816">
        <v>18</v>
      </c>
      <c r="AL816" t="s">
        <v>15354</v>
      </c>
      <c r="AM816" t="s">
        <v>573</v>
      </c>
      <c r="AN816" t="s">
        <v>15355</v>
      </c>
      <c r="AO816" t="s">
        <v>74</v>
      </c>
      <c r="AP816" t="s">
        <v>15356</v>
      </c>
      <c r="AQ816" t="s">
        <v>74</v>
      </c>
      <c r="AR816" t="s">
        <v>15357</v>
      </c>
      <c r="AS816" t="s">
        <v>15358</v>
      </c>
      <c r="AT816" t="s">
        <v>15359</v>
      </c>
      <c r="AU816">
        <v>2017</v>
      </c>
      <c r="AV816">
        <v>286</v>
      </c>
      <c r="AW816" t="s">
        <v>74</v>
      </c>
      <c r="AX816" t="s">
        <v>74</v>
      </c>
      <c r="AY816" t="s">
        <v>74</v>
      </c>
      <c r="AZ816" t="s">
        <v>74</v>
      </c>
      <c r="BA816" t="s">
        <v>74</v>
      </c>
      <c r="BB816">
        <v>1</v>
      </c>
      <c r="BC816">
        <v>33</v>
      </c>
      <c r="BD816" t="s">
        <v>74</v>
      </c>
      <c r="BE816" t="s">
        <v>15360</v>
      </c>
      <c r="BF816" t="str">
        <f>HYPERLINK("http://dx.doi.org/10.5852/ejt.2017.286","http://dx.doi.org/10.5852/ejt.2017.286")</f>
        <v>http://dx.doi.org/10.5852/ejt.2017.286</v>
      </c>
      <c r="BG816" t="s">
        <v>74</v>
      </c>
      <c r="BH816" t="s">
        <v>74</v>
      </c>
      <c r="BI816">
        <v>33</v>
      </c>
      <c r="BJ816" t="s">
        <v>15361</v>
      </c>
      <c r="BK816" t="s">
        <v>103</v>
      </c>
      <c r="BL816" t="s">
        <v>15361</v>
      </c>
      <c r="BM816" t="s">
        <v>15362</v>
      </c>
      <c r="BN816" t="s">
        <v>74</v>
      </c>
      <c r="BO816" t="s">
        <v>205</v>
      </c>
      <c r="BP816" t="s">
        <v>74</v>
      </c>
      <c r="BQ816" t="s">
        <v>74</v>
      </c>
      <c r="BR816" t="s">
        <v>106</v>
      </c>
      <c r="BS816" t="s">
        <v>15363</v>
      </c>
      <c r="BT816" t="str">
        <f>HYPERLINK("https%3A%2F%2Fwww.webofscience.com%2Fwos%2Fwoscc%2Ffull-record%2FWOS:000396236900001","View Full Record in Web of Science")</f>
        <v>View Full Record in Web of Science</v>
      </c>
    </row>
    <row r="817" spans="1:72" x14ac:dyDescent="0.15">
      <c r="A817" t="s">
        <v>72</v>
      </c>
      <c r="B817" t="s">
        <v>15364</v>
      </c>
      <c r="C817" t="s">
        <v>74</v>
      </c>
      <c r="D817" t="s">
        <v>74</v>
      </c>
      <c r="E817" t="s">
        <v>74</v>
      </c>
      <c r="F817" t="s">
        <v>15365</v>
      </c>
      <c r="G817" t="s">
        <v>74</v>
      </c>
      <c r="H817" t="s">
        <v>74</v>
      </c>
      <c r="I817" t="s">
        <v>15366</v>
      </c>
      <c r="J817" t="s">
        <v>3597</v>
      </c>
      <c r="K817" t="s">
        <v>74</v>
      </c>
      <c r="L817" t="s">
        <v>74</v>
      </c>
      <c r="M817" t="s">
        <v>78</v>
      </c>
      <c r="N817" t="s">
        <v>79</v>
      </c>
      <c r="O817" t="s">
        <v>74</v>
      </c>
      <c r="P817" t="s">
        <v>74</v>
      </c>
      <c r="Q817" t="s">
        <v>74</v>
      </c>
      <c r="R817" t="s">
        <v>74</v>
      </c>
      <c r="S817" t="s">
        <v>74</v>
      </c>
      <c r="T817" t="s">
        <v>74</v>
      </c>
      <c r="U817" t="s">
        <v>15367</v>
      </c>
      <c r="V817" t="s">
        <v>15368</v>
      </c>
      <c r="W817" t="s">
        <v>15369</v>
      </c>
      <c r="X817" t="s">
        <v>15370</v>
      </c>
      <c r="Y817" t="s">
        <v>15371</v>
      </c>
      <c r="Z817" t="s">
        <v>15372</v>
      </c>
      <c r="AA817" t="s">
        <v>15373</v>
      </c>
      <c r="AB817" t="s">
        <v>15374</v>
      </c>
      <c r="AC817" t="s">
        <v>15375</v>
      </c>
      <c r="AD817" t="s">
        <v>15376</v>
      </c>
      <c r="AE817" t="s">
        <v>15377</v>
      </c>
      <c r="AF817" t="s">
        <v>74</v>
      </c>
      <c r="AG817">
        <v>84</v>
      </c>
      <c r="AH817">
        <v>41</v>
      </c>
      <c r="AI817">
        <v>41</v>
      </c>
      <c r="AJ817">
        <v>0</v>
      </c>
      <c r="AK817">
        <v>36</v>
      </c>
      <c r="AL817" t="s">
        <v>3534</v>
      </c>
      <c r="AM817" t="s">
        <v>3535</v>
      </c>
      <c r="AN817" t="s">
        <v>3536</v>
      </c>
      <c r="AO817" t="s">
        <v>3609</v>
      </c>
      <c r="AP817" t="s">
        <v>3610</v>
      </c>
      <c r="AQ817" t="s">
        <v>74</v>
      </c>
      <c r="AR817" t="s">
        <v>3611</v>
      </c>
      <c r="AS817" t="s">
        <v>3612</v>
      </c>
      <c r="AT817" t="s">
        <v>15359</v>
      </c>
      <c r="AU817">
        <v>2017</v>
      </c>
      <c r="AV817">
        <v>17</v>
      </c>
      <c r="AW817">
        <v>4</v>
      </c>
      <c r="AX817" t="s">
        <v>74</v>
      </c>
      <c r="AY817" t="s">
        <v>74</v>
      </c>
      <c r="AZ817" t="s">
        <v>74</v>
      </c>
      <c r="BA817" t="s">
        <v>74</v>
      </c>
      <c r="BB817">
        <v>2901</v>
      </c>
      <c r="BC817">
        <v>2920</v>
      </c>
      <c r="BD817" t="s">
        <v>74</v>
      </c>
      <c r="BE817" t="s">
        <v>15378</v>
      </c>
      <c r="BF817" t="str">
        <f>HYPERLINK("http://dx.doi.org/10.5194/acp-17-2901-2017","http://dx.doi.org/10.5194/acp-17-2901-2017")</f>
        <v>http://dx.doi.org/10.5194/acp-17-2901-2017</v>
      </c>
      <c r="BG817" t="s">
        <v>74</v>
      </c>
      <c r="BH817" t="s">
        <v>74</v>
      </c>
      <c r="BI817">
        <v>20</v>
      </c>
      <c r="BJ817" t="s">
        <v>3614</v>
      </c>
      <c r="BK817" t="s">
        <v>103</v>
      </c>
      <c r="BL817" t="s">
        <v>3615</v>
      </c>
      <c r="BM817" t="s">
        <v>15379</v>
      </c>
      <c r="BN817" t="s">
        <v>74</v>
      </c>
      <c r="BO817" t="s">
        <v>8396</v>
      </c>
      <c r="BP817" t="s">
        <v>74</v>
      </c>
      <c r="BQ817" t="s">
        <v>74</v>
      </c>
      <c r="BR817" t="s">
        <v>106</v>
      </c>
      <c r="BS817" t="s">
        <v>15380</v>
      </c>
      <c r="BT817" t="str">
        <f>HYPERLINK("https%3A%2F%2Fwww.webofscience.com%2Fwos%2Fwoscc%2Ffull-record%2FWOS:000395116400003","View Full Record in Web of Science")</f>
        <v>View Full Record in Web of Science</v>
      </c>
    </row>
    <row r="818" spans="1:72" x14ac:dyDescent="0.15">
      <c r="A818" t="s">
        <v>72</v>
      </c>
      <c r="B818" t="s">
        <v>15381</v>
      </c>
      <c r="C818" t="s">
        <v>74</v>
      </c>
      <c r="D818" t="s">
        <v>74</v>
      </c>
      <c r="E818" t="s">
        <v>74</v>
      </c>
      <c r="F818" t="s">
        <v>15382</v>
      </c>
      <c r="G818" t="s">
        <v>74</v>
      </c>
      <c r="H818" t="s">
        <v>74</v>
      </c>
      <c r="I818" t="s">
        <v>15383</v>
      </c>
      <c r="J818" t="s">
        <v>3849</v>
      </c>
      <c r="K818" t="s">
        <v>74</v>
      </c>
      <c r="L818" t="s">
        <v>74</v>
      </c>
      <c r="M818" t="s">
        <v>78</v>
      </c>
      <c r="N818" t="s">
        <v>79</v>
      </c>
      <c r="O818" t="s">
        <v>74</v>
      </c>
      <c r="P818" t="s">
        <v>74</v>
      </c>
      <c r="Q818" t="s">
        <v>74</v>
      </c>
      <c r="R818" t="s">
        <v>74</v>
      </c>
      <c r="S818" t="s">
        <v>74</v>
      </c>
      <c r="T818" t="s">
        <v>74</v>
      </c>
      <c r="U818" t="s">
        <v>15384</v>
      </c>
      <c r="V818" t="s">
        <v>15385</v>
      </c>
      <c r="W818" t="s">
        <v>15386</v>
      </c>
      <c r="X818" t="s">
        <v>2650</v>
      </c>
      <c r="Y818" t="s">
        <v>15387</v>
      </c>
      <c r="Z818" t="s">
        <v>15388</v>
      </c>
      <c r="AA818" t="s">
        <v>74</v>
      </c>
      <c r="AB818" t="s">
        <v>15389</v>
      </c>
      <c r="AC818" t="s">
        <v>15390</v>
      </c>
      <c r="AD818" t="s">
        <v>15391</v>
      </c>
      <c r="AE818" t="s">
        <v>15392</v>
      </c>
      <c r="AF818" t="s">
        <v>74</v>
      </c>
      <c r="AG818">
        <v>41</v>
      </c>
      <c r="AH818">
        <v>15</v>
      </c>
      <c r="AI818">
        <v>15</v>
      </c>
      <c r="AJ818">
        <v>3</v>
      </c>
      <c r="AK818">
        <v>23</v>
      </c>
      <c r="AL818" t="s">
        <v>3861</v>
      </c>
      <c r="AM818" t="s">
        <v>3862</v>
      </c>
      <c r="AN818" t="s">
        <v>3863</v>
      </c>
      <c r="AO818" t="s">
        <v>3864</v>
      </c>
      <c r="AP818" t="s">
        <v>74</v>
      </c>
      <c r="AQ818" t="s">
        <v>74</v>
      </c>
      <c r="AR818" t="s">
        <v>3849</v>
      </c>
      <c r="AS818" t="s">
        <v>3865</v>
      </c>
      <c r="AT818" t="s">
        <v>15359</v>
      </c>
      <c r="AU818">
        <v>2017</v>
      </c>
      <c r="AV818">
        <v>12</v>
      </c>
      <c r="AW818">
        <v>2</v>
      </c>
      <c r="AX818" t="s">
        <v>74</v>
      </c>
      <c r="AY818" t="s">
        <v>74</v>
      </c>
      <c r="AZ818" t="s">
        <v>74</v>
      </c>
      <c r="BA818" t="s">
        <v>74</v>
      </c>
      <c r="BB818" t="s">
        <v>74</v>
      </c>
      <c r="BC818" t="s">
        <v>74</v>
      </c>
      <c r="BD818" t="s">
        <v>15393</v>
      </c>
      <c r="BE818" t="s">
        <v>15394</v>
      </c>
      <c r="BF818" t="str">
        <f>HYPERLINK("http://dx.doi.org/10.1371/journal.pone.0172396","http://dx.doi.org/10.1371/journal.pone.0172396")</f>
        <v>http://dx.doi.org/10.1371/journal.pone.0172396</v>
      </c>
      <c r="BG818" t="s">
        <v>74</v>
      </c>
      <c r="BH818" t="s">
        <v>74</v>
      </c>
      <c r="BI818">
        <v>13</v>
      </c>
      <c r="BJ818" t="s">
        <v>1617</v>
      </c>
      <c r="BK818" t="s">
        <v>103</v>
      </c>
      <c r="BL818" t="s">
        <v>1618</v>
      </c>
      <c r="BM818" t="s">
        <v>15395</v>
      </c>
      <c r="BN818">
        <v>28234988</v>
      </c>
      <c r="BO818" t="s">
        <v>12272</v>
      </c>
      <c r="BP818" t="s">
        <v>74</v>
      </c>
      <c r="BQ818" t="s">
        <v>74</v>
      </c>
      <c r="BR818" t="s">
        <v>106</v>
      </c>
      <c r="BS818" t="s">
        <v>15396</v>
      </c>
      <c r="BT818" t="str">
        <f>HYPERLINK("https%3A%2F%2Fwww.webofscience.com%2Fwos%2Fwoscc%2Ffull-record%2FWOS:000394688200077","View Full Record in Web of Science")</f>
        <v>View Full Record in Web of Science</v>
      </c>
    </row>
    <row r="819" spans="1:72" x14ac:dyDescent="0.15">
      <c r="A819" t="s">
        <v>72</v>
      </c>
      <c r="B819" t="s">
        <v>15397</v>
      </c>
      <c r="C819" t="s">
        <v>74</v>
      </c>
      <c r="D819" t="s">
        <v>74</v>
      </c>
      <c r="E819" t="s">
        <v>74</v>
      </c>
      <c r="F819" t="s">
        <v>15398</v>
      </c>
      <c r="G819" t="s">
        <v>74</v>
      </c>
      <c r="H819" t="s">
        <v>74</v>
      </c>
      <c r="I819" t="s">
        <v>15399</v>
      </c>
      <c r="J819" t="s">
        <v>3661</v>
      </c>
      <c r="K819" t="s">
        <v>74</v>
      </c>
      <c r="L819" t="s">
        <v>74</v>
      </c>
      <c r="M819" t="s">
        <v>78</v>
      </c>
      <c r="N819" t="s">
        <v>79</v>
      </c>
      <c r="O819" t="s">
        <v>74</v>
      </c>
      <c r="P819" t="s">
        <v>74</v>
      </c>
      <c r="Q819" t="s">
        <v>74</v>
      </c>
      <c r="R819" t="s">
        <v>74</v>
      </c>
      <c r="S819" t="s">
        <v>74</v>
      </c>
      <c r="T819" t="s">
        <v>74</v>
      </c>
      <c r="U819" t="s">
        <v>15400</v>
      </c>
      <c r="V819" t="s">
        <v>15401</v>
      </c>
      <c r="W819" t="s">
        <v>15402</v>
      </c>
      <c r="X819" t="s">
        <v>15403</v>
      </c>
      <c r="Y819" t="s">
        <v>15404</v>
      </c>
      <c r="Z819" t="s">
        <v>15405</v>
      </c>
      <c r="AA819" t="s">
        <v>15406</v>
      </c>
      <c r="AB819" t="s">
        <v>15407</v>
      </c>
      <c r="AC819" t="s">
        <v>15408</v>
      </c>
      <c r="AD819" t="s">
        <v>15409</v>
      </c>
      <c r="AE819" t="s">
        <v>15410</v>
      </c>
      <c r="AF819" t="s">
        <v>74</v>
      </c>
      <c r="AG819">
        <v>70</v>
      </c>
      <c r="AH819">
        <v>10</v>
      </c>
      <c r="AI819">
        <v>12</v>
      </c>
      <c r="AJ819">
        <v>1</v>
      </c>
      <c r="AK819">
        <v>40</v>
      </c>
      <c r="AL819" t="s">
        <v>3671</v>
      </c>
      <c r="AM819" t="s">
        <v>3672</v>
      </c>
      <c r="AN819" t="s">
        <v>3673</v>
      </c>
      <c r="AO819" t="s">
        <v>3674</v>
      </c>
      <c r="AP819" t="s">
        <v>74</v>
      </c>
      <c r="AQ819" t="s">
        <v>74</v>
      </c>
      <c r="AR819" t="s">
        <v>3675</v>
      </c>
      <c r="AS819" t="s">
        <v>3676</v>
      </c>
      <c r="AT819" t="s">
        <v>15359</v>
      </c>
      <c r="AU819">
        <v>2017</v>
      </c>
      <c r="AV819">
        <v>7</v>
      </c>
      <c r="AW819" t="s">
        <v>74</v>
      </c>
      <c r="AX819" t="s">
        <v>74</v>
      </c>
      <c r="AY819" t="s">
        <v>74</v>
      </c>
      <c r="AZ819" t="s">
        <v>74</v>
      </c>
      <c r="BA819" t="s">
        <v>74</v>
      </c>
      <c r="BB819">
        <v>1</v>
      </c>
      <c r="BC819">
        <v>13</v>
      </c>
      <c r="BD819">
        <v>43236</v>
      </c>
      <c r="BE819" t="s">
        <v>15411</v>
      </c>
      <c r="BF819" t="str">
        <f>HYPERLINK("http://dx.doi.org/10.1038/srep43236","http://dx.doi.org/10.1038/srep43236")</f>
        <v>http://dx.doi.org/10.1038/srep43236</v>
      </c>
      <c r="BG819" t="s">
        <v>74</v>
      </c>
      <c r="BH819" t="s">
        <v>74</v>
      </c>
      <c r="BI819">
        <v>13</v>
      </c>
      <c r="BJ819" t="s">
        <v>1617</v>
      </c>
      <c r="BK819" t="s">
        <v>103</v>
      </c>
      <c r="BL819" t="s">
        <v>1618</v>
      </c>
      <c r="BM819" t="s">
        <v>15412</v>
      </c>
      <c r="BN819">
        <v>28233791</v>
      </c>
      <c r="BO819" t="s">
        <v>7702</v>
      </c>
      <c r="BP819" t="s">
        <v>74</v>
      </c>
      <c r="BQ819" t="s">
        <v>74</v>
      </c>
      <c r="BR819" t="s">
        <v>106</v>
      </c>
      <c r="BS819" t="s">
        <v>15413</v>
      </c>
      <c r="BT819" t="str">
        <f>HYPERLINK("https%3A%2F%2Fwww.webofscience.com%2Fwos%2Fwoscc%2Ffull-record%2FWOS:000395182600001","View Full Record in Web of Science")</f>
        <v>View Full Record in Web of Science</v>
      </c>
    </row>
    <row r="820" spans="1:72" x14ac:dyDescent="0.15">
      <c r="A820" t="s">
        <v>72</v>
      </c>
      <c r="B820" t="s">
        <v>15414</v>
      </c>
      <c r="C820" t="s">
        <v>74</v>
      </c>
      <c r="D820" t="s">
        <v>74</v>
      </c>
      <c r="E820" t="s">
        <v>74</v>
      </c>
      <c r="F820" t="s">
        <v>15415</v>
      </c>
      <c r="G820" t="s">
        <v>74</v>
      </c>
      <c r="H820" t="s">
        <v>74</v>
      </c>
      <c r="I820" t="s">
        <v>15416</v>
      </c>
      <c r="J820" t="s">
        <v>15417</v>
      </c>
      <c r="K820" t="s">
        <v>74</v>
      </c>
      <c r="L820" t="s">
        <v>74</v>
      </c>
      <c r="M820" t="s">
        <v>78</v>
      </c>
      <c r="N820" t="s">
        <v>79</v>
      </c>
      <c r="O820" t="s">
        <v>74</v>
      </c>
      <c r="P820" t="s">
        <v>74</v>
      </c>
      <c r="Q820" t="s">
        <v>74</v>
      </c>
      <c r="R820" t="s">
        <v>74</v>
      </c>
      <c r="S820" t="s">
        <v>74</v>
      </c>
      <c r="T820" t="s">
        <v>15418</v>
      </c>
      <c r="U820" t="s">
        <v>15419</v>
      </c>
      <c r="V820" t="s">
        <v>15420</v>
      </c>
      <c r="W820" t="s">
        <v>15421</v>
      </c>
      <c r="X820" t="s">
        <v>15422</v>
      </c>
      <c r="Y820" t="s">
        <v>15423</v>
      </c>
      <c r="Z820" t="s">
        <v>15424</v>
      </c>
      <c r="AA820" t="s">
        <v>74</v>
      </c>
      <c r="AB820" t="s">
        <v>74</v>
      </c>
      <c r="AC820" t="s">
        <v>15425</v>
      </c>
      <c r="AD820" t="s">
        <v>15426</v>
      </c>
      <c r="AE820" t="s">
        <v>15427</v>
      </c>
      <c r="AF820" t="s">
        <v>74</v>
      </c>
      <c r="AG820">
        <v>32</v>
      </c>
      <c r="AH820">
        <v>13</v>
      </c>
      <c r="AI820">
        <v>14</v>
      </c>
      <c r="AJ820">
        <v>0</v>
      </c>
      <c r="AK820">
        <v>14</v>
      </c>
      <c r="AL820" t="s">
        <v>92</v>
      </c>
      <c r="AM820" t="s">
        <v>93</v>
      </c>
      <c r="AN820" t="s">
        <v>94</v>
      </c>
      <c r="AO820" t="s">
        <v>15428</v>
      </c>
      <c r="AP820" t="s">
        <v>74</v>
      </c>
      <c r="AQ820" t="s">
        <v>74</v>
      </c>
      <c r="AR820" t="s">
        <v>15417</v>
      </c>
      <c r="AS820" t="s">
        <v>15429</v>
      </c>
      <c r="AT820" t="s">
        <v>15359</v>
      </c>
      <c r="AU820">
        <v>2017</v>
      </c>
      <c r="AV820">
        <v>6</v>
      </c>
      <c r="AW820">
        <v>3</v>
      </c>
      <c r="AX820" t="s">
        <v>74</v>
      </c>
      <c r="AY820" t="s">
        <v>74</v>
      </c>
      <c r="AZ820" t="s">
        <v>74</v>
      </c>
      <c r="BA820" t="s">
        <v>74</v>
      </c>
      <c r="BB820" t="s">
        <v>74</v>
      </c>
      <c r="BC820" t="s">
        <v>74</v>
      </c>
      <c r="BD820" t="s">
        <v>74</v>
      </c>
      <c r="BE820" t="s">
        <v>15430</v>
      </c>
      <c r="BF820" t="str">
        <f>HYPERLINK("http://dx.doi.org/10.1093/gigascience/giw009","http://dx.doi.org/10.1093/gigascience/giw009")</f>
        <v>http://dx.doi.org/10.1093/gigascience/giw009</v>
      </c>
      <c r="BG820" t="s">
        <v>74</v>
      </c>
      <c r="BH820" t="s">
        <v>74</v>
      </c>
      <c r="BI820">
        <v>8</v>
      </c>
      <c r="BJ820" t="s">
        <v>15431</v>
      </c>
      <c r="BK820" t="s">
        <v>103</v>
      </c>
      <c r="BL820" t="s">
        <v>15432</v>
      </c>
      <c r="BM820" t="s">
        <v>15433</v>
      </c>
      <c r="BN820">
        <v>28327954</v>
      </c>
      <c r="BO820" t="s">
        <v>4540</v>
      </c>
      <c r="BP820" t="s">
        <v>74</v>
      </c>
      <c r="BQ820" t="s">
        <v>74</v>
      </c>
      <c r="BR820" t="s">
        <v>106</v>
      </c>
      <c r="BS820" t="s">
        <v>15434</v>
      </c>
      <c r="BT820" t="str">
        <f>HYPERLINK("https%3A%2F%2Fwww.webofscience.com%2Fwos%2Fwoscc%2Ffull-record%2FWOS:000403356000001","View Full Record in Web of Science")</f>
        <v>View Full Record in Web of Science</v>
      </c>
    </row>
    <row r="821" spans="1:72" x14ac:dyDescent="0.15">
      <c r="A821" t="s">
        <v>72</v>
      </c>
      <c r="B821" t="s">
        <v>15435</v>
      </c>
      <c r="C821" t="s">
        <v>74</v>
      </c>
      <c r="D821" t="s">
        <v>74</v>
      </c>
      <c r="E821" t="s">
        <v>74</v>
      </c>
      <c r="F821" t="s">
        <v>15436</v>
      </c>
      <c r="G821" t="s">
        <v>74</v>
      </c>
      <c r="H821" t="s">
        <v>74</v>
      </c>
      <c r="I821" t="s">
        <v>15437</v>
      </c>
      <c r="J821" t="s">
        <v>3661</v>
      </c>
      <c r="K821" t="s">
        <v>74</v>
      </c>
      <c r="L821" t="s">
        <v>74</v>
      </c>
      <c r="M821" t="s">
        <v>78</v>
      </c>
      <c r="N821" t="s">
        <v>79</v>
      </c>
      <c r="O821" t="s">
        <v>74</v>
      </c>
      <c r="P821" t="s">
        <v>74</v>
      </c>
      <c r="Q821" t="s">
        <v>74</v>
      </c>
      <c r="R821" t="s">
        <v>74</v>
      </c>
      <c r="S821" t="s">
        <v>74</v>
      </c>
      <c r="T821" t="s">
        <v>74</v>
      </c>
      <c r="U821" t="s">
        <v>15438</v>
      </c>
      <c r="V821" t="s">
        <v>15439</v>
      </c>
      <c r="W821" t="s">
        <v>15440</v>
      </c>
      <c r="X821" t="s">
        <v>15441</v>
      </c>
      <c r="Y821" t="s">
        <v>15442</v>
      </c>
      <c r="Z821" t="s">
        <v>15443</v>
      </c>
      <c r="AA821" t="s">
        <v>15444</v>
      </c>
      <c r="AB821" t="s">
        <v>15445</v>
      </c>
      <c r="AC821" t="s">
        <v>15446</v>
      </c>
      <c r="AD821" t="s">
        <v>15447</v>
      </c>
      <c r="AE821" t="s">
        <v>15448</v>
      </c>
      <c r="AF821" t="s">
        <v>74</v>
      </c>
      <c r="AG821">
        <v>101</v>
      </c>
      <c r="AH821">
        <v>97</v>
      </c>
      <c r="AI821">
        <v>105</v>
      </c>
      <c r="AJ821">
        <v>1</v>
      </c>
      <c r="AK821">
        <v>42</v>
      </c>
      <c r="AL821" t="s">
        <v>3671</v>
      </c>
      <c r="AM821" t="s">
        <v>3672</v>
      </c>
      <c r="AN821" t="s">
        <v>3673</v>
      </c>
      <c r="AO821" t="s">
        <v>3674</v>
      </c>
      <c r="AP821" t="s">
        <v>74</v>
      </c>
      <c r="AQ821" t="s">
        <v>74</v>
      </c>
      <c r="AR821" t="s">
        <v>3675</v>
      </c>
      <c r="AS821" t="s">
        <v>3676</v>
      </c>
      <c r="AT821" t="s">
        <v>15359</v>
      </c>
      <c r="AU821">
        <v>2017</v>
      </c>
      <c r="AV821">
        <v>7</v>
      </c>
      <c r="AW821" t="s">
        <v>74</v>
      </c>
      <c r="AX821" t="s">
        <v>74</v>
      </c>
      <c r="AY821" t="s">
        <v>74</v>
      </c>
      <c r="AZ821" t="s">
        <v>74</v>
      </c>
      <c r="BA821" t="s">
        <v>74</v>
      </c>
      <c r="BB821" t="s">
        <v>74</v>
      </c>
      <c r="BC821" t="s">
        <v>74</v>
      </c>
      <c r="BD821">
        <v>43386</v>
      </c>
      <c r="BE821" t="s">
        <v>15449</v>
      </c>
      <c r="BF821" t="str">
        <f>HYPERLINK("http://dx.doi.org/10.1038/srep43386","http://dx.doi.org/10.1038/srep43386")</f>
        <v>http://dx.doi.org/10.1038/srep43386</v>
      </c>
      <c r="BG821" t="s">
        <v>74</v>
      </c>
      <c r="BH821" t="s">
        <v>74</v>
      </c>
      <c r="BI821">
        <v>12</v>
      </c>
      <c r="BJ821" t="s">
        <v>1617</v>
      </c>
      <c r="BK821" t="s">
        <v>103</v>
      </c>
      <c r="BL821" t="s">
        <v>1618</v>
      </c>
      <c r="BM821" t="s">
        <v>15450</v>
      </c>
      <c r="BN821">
        <v>28233862</v>
      </c>
      <c r="BO821" t="s">
        <v>1224</v>
      </c>
      <c r="BP821" t="s">
        <v>74</v>
      </c>
      <c r="BQ821" t="s">
        <v>74</v>
      </c>
      <c r="BR821" t="s">
        <v>106</v>
      </c>
      <c r="BS821" t="s">
        <v>15451</v>
      </c>
      <c r="BT821" t="str">
        <f>HYPERLINK("https%3A%2F%2Fwww.webofscience.com%2Fwos%2Fwoscc%2Ffull-record%2FWOS:000395237600001","View Full Record in Web of Science")</f>
        <v>View Full Record in Web of Science</v>
      </c>
    </row>
    <row r="822" spans="1:72" x14ac:dyDescent="0.15">
      <c r="A822" t="s">
        <v>72</v>
      </c>
      <c r="B822" t="s">
        <v>15452</v>
      </c>
      <c r="C822" t="s">
        <v>74</v>
      </c>
      <c r="D822" t="s">
        <v>74</v>
      </c>
      <c r="E822" t="s">
        <v>74</v>
      </c>
      <c r="F822" t="s">
        <v>15453</v>
      </c>
      <c r="G822" t="s">
        <v>74</v>
      </c>
      <c r="H822" t="s">
        <v>74</v>
      </c>
      <c r="I822" t="s">
        <v>15454</v>
      </c>
      <c r="J822" t="s">
        <v>4328</v>
      </c>
      <c r="K822" t="s">
        <v>74</v>
      </c>
      <c r="L822" t="s">
        <v>74</v>
      </c>
      <c r="M822" t="s">
        <v>78</v>
      </c>
      <c r="N822" t="s">
        <v>2162</v>
      </c>
      <c r="O822" t="s">
        <v>74</v>
      </c>
      <c r="P822" t="s">
        <v>74</v>
      </c>
      <c r="Q822" t="s">
        <v>74</v>
      </c>
      <c r="R822" t="s">
        <v>74</v>
      </c>
      <c r="S822" t="s">
        <v>74</v>
      </c>
      <c r="T822" t="s">
        <v>74</v>
      </c>
      <c r="U822" t="s">
        <v>15455</v>
      </c>
      <c r="V822" t="s">
        <v>74</v>
      </c>
      <c r="W822" t="s">
        <v>74</v>
      </c>
      <c r="X822" t="s">
        <v>74</v>
      </c>
      <c r="Y822" t="s">
        <v>74</v>
      </c>
      <c r="Z822" t="s">
        <v>74</v>
      </c>
      <c r="AA822" t="s">
        <v>74</v>
      </c>
      <c r="AB822" t="s">
        <v>74</v>
      </c>
      <c r="AC822" t="s">
        <v>74</v>
      </c>
      <c r="AD822" t="s">
        <v>74</v>
      </c>
      <c r="AE822" t="s">
        <v>74</v>
      </c>
      <c r="AF822" t="s">
        <v>74</v>
      </c>
      <c r="AG822">
        <v>4</v>
      </c>
      <c r="AH822">
        <v>7</v>
      </c>
      <c r="AI822">
        <v>8</v>
      </c>
      <c r="AJ822">
        <v>0</v>
      </c>
      <c r="AK822">
        <v>11</v>
      </c>
      <c r="AL822" t="s">
        <v>1611</v>
      </c>
      <c r="AM822" t="s">
        <v>403</v>
      </c>
      <c r="AN822" t="s">
        <v>1612</v>
      </c>
      <c r="AO822" t="s">
        <v>4337</v>
      </c>
      <c r="AP822" t="s">
        <v>4338</v>
      </c>
      <c r="AQ822" t="s">
        <v>74</v>
      </c>
      <c r="AR822" t="s">
        <v>4328</v>
      </c>
      <c r="AS822" t="s">
        <v>4339</v>
      </c>
      <c r="AT822" t="s">
        <v>15456</v>
      </c>
      <c r="AU822">
        <v>2017</v>
      </c>
      <c r="AV822">
        <v>542</v>
      </c>
      <c r="AW822">
        <v>7642</v>
      </c>
      <c r="AX822" t="s">
        <v>74</v>
      </c>
      <c r="AY822" t="s">
        <v>74</v>
      </c>
      <c r="AZ822" t="s">
        <v>74</v>
      </c>
      <c r="BA822" t="s">
        <v>74</v>
      </c>
      <c r="BB822">
        <v>402</v>
      </c>
      <c r="BC822" t="s">
        <v>1485</v>
      </c>
      <c r="BD822" t="s">
        <v>74</v>
      </c>
      <c r="BE822" t="s">
        <v>15457</v>
      </c>
      <c r="BF822" t="str">
        <f>HYPERLINK("http://dx.doi.org/10.1038/nature.2017.21507","http://dx.doi.org/10.1038/nature.2017.21507")</f>
        <v>http://dx.doi.org/10.1038/nature.2017.21507</v>
      </c>
      <c r="BG822" t="s">
        <v>74</v>
      </c>
      <c r="BH822" t="s">
        <v>74</v>
      </c>
      <c r="BI822">
        <v>2</v>
      </c>
      <c r="BJ822" t="s">
        <v>1617</v>
      </c>
      <c r="BK822" t="s">
        <v>103</v>
      </c>
      <c r="BL822" t="s">
        <v>1618</v>
      </c>
      <c r="BM822" t="s">
        <v>15458</v>
      </c>
      <c r="BN822">
        <v>28230142</v>
      </c>
      <c r="BO822" t="s">
        <v>412</v>
      </c>
      <c r="BP822" t="s">
        <v>74</v>
      </c>
      <c r="BQ822" t="s">
        <v>74</v>
      </c>
      <c r="BR822" t="s">
        <v>106</v>
      </c>
      <c r="BS822" t="s">
        <v>15459</v>
      </c>
      <c r="BT822" t="str">
        <f>HYPERLINK("https%3A%2F%2Fwww.webofscience.com%2Fwos%2Fwoscc%2Ffull-record%2FWOS:000395094100007","View Full Record in Web of Science")</f>
        <v>View Full Record in Web of Science</v>
      </c>
    </row>
    <row r="823" spans="1:72" x14ac:dyDescent="0.15">
      <c r="A823" t="s">
        <v>72</v>
      </c>
      <c r="B823" t="s">
        <v>15460</v>
      </c>
      <c r="C823" t="s">
        <v>74</v>
      </c>
      <c r="D823" t="s">
        <v>74</v>
      </c>
      <c r="E823" t="s">
        <v>74</v>
      </c>
      <c r="F823" t="s">
        <v>15461</v>
      </c>
      <c r="G823" t="s">
        <v>74</v>
      </c>
      <c r="H823" t="s">
        <v>74</v>
      </c>
      <c r="I823" t="s">
        <v>15462</v>
      </c>
      <c r="J823" t="s">
        <v>11299</v>
      </c>
      <c r="K823" t="s">
        <v>74</v>
      </c>
      <c r="L823" t="s">
        <v>74</v>
      </c>
      <c r="M823" t="s">
        <v>78</v>
      </c>
      <c r="N823" t="s">
        <v>518</v>
      </c>
      <c r="O823" t="s">
        <v>74</v>
      </c>
      <c r="P823" t="s">
        <v>74</v>
      </c>
      <c r="Q823" t="s">
        <v>74</v>
      </c>
      <c r="R823" t="s">
        <v>74</v>
      </c>
      <c r="S823" t="s">
        <v>74</v>
      </c>
      <c r="T823" t="s">
        <v>15463</v>
      </c>
      <c r="U823" t="s">
        <v>15464</v>
      </c>
      <c r="V823" t="s">
        <v>15465</v>
      </c>
      <c r="W823" t="s">
        <v>15466</v>
      </c>
      <c r="X823" t="s">
        <v>15467</v>
      </c>
      <c r="Y823" t="s">
        <v>15468</v>
      </c>
      <c r="Z823" t="s">
        <v>15469</v>
      </c>
      <c r="AA823" t="s">
        <v>15470</v>
      </c>
      <c r="AB823" t="s">
        <v>15471</v>
      </c>
      <c r="AC823" t="s">
        <v>15472</v>
      </c>
      <c r="AD823" t="s">
        <v>15473</v>
      </c>
      <c r="AE823" t="s">
        <v>15474</v>
      </c>
      <c r="AF823" t="s">
        <v>74</v>
      </c>
      <c r="AG823">
        <v>228</v>
      </c>
      <c r="AH823">
        <v>240</v>
      </c>
      <c r="AI823">
        <v>260</v>
      </c>
      <c r="AJ823">
        <v>13</v>
      </c>
      <c r="AK823">
        <v>198</v>
      </c>
      <c r="AL823" t="s">
        <v>11311</v>
      </c>
      <c r="AM823" t="s">
        <v>11312</v>
      </c>
      <c r="AN823" t="s">
        <v>11313</v>
      </c>
      <c r="AO823" t="s">
        <v>11314</v>
      </c>
      <c r="AP823" t="s">
        <v>74</v>
      </c>
      <c r="AQ823" t="s">
        <v>74</v>
      </c>
      <c r="AR823" t="s">
        <v>11315</v>
      </c>
      <c r="AS823" t="s">
        <v>11316</v>
      </c>
      <c r="AT823" t="s">
        <v>15456</v>
      </c>
      <c r="AU823">
        <v>2017</v>
      </c>
      <c r="AV823">
        <v>5</v>
      </c>
      <c r="AW823" t="s">
        <v>74</v>
      </c>
      <c r="AX823" t="s">
        <v>74</v>
      </c>
      <c r="AY823" t="s">
        <v>74</v>
      </c>
      <c r="AZ823" t="s">
        <v>74</v>
      </c>
      <c r="BA823" t="s">
        <v>74</v>
      </c>
      <c r="BB823">
        <v>1</v>
      </c>
      <c r="BC823">
        <v>23</v>
      </c>
      <c r="BD823">
        <v>4</v>
      </c>
      <c r="BE823" t="s">
        <v>15475</v>
      </c>
      <c r="BF823" t="str">
        <f>HYPERLINK("http://dx.doi.org/10.1525/elementa.203","http://dx.doi.org/10.1525/elementa.203")</f>
        <v>http://dx.doi.org/10.1525/elementa.203</v>
      </c>
      <c r="BG823" t="s">
        <v>74</v>
      </c>
      <c r="BH823" t="s">
        <v>74</v>
      </c>
      <c r="BI823">
        <v>23</v>
      </c>
      <c r="BJ823" t="s">
        <v>3614</v>
      </c>
      <c r="BK823" t="s">
        <v>103</v>
      </c>
      <c r="BL823" t="s">
        <v>3615</v>
      </c>
      <c r="BM823" t="s">
        <v>15476</v>
      </c>
      <c r="BN823" t="s">
        <v>74</v>
      </c>
      <c r="BO823" t="s">
        <v>11375</v>
      </c>
      <c r="BP823" t="s">
        <v>74</v>
      </c>
      <c r="BQ823" t="s">
        <v>74</v>
      </c>
      <c r="BR823" t="s">
        <v>106</v>
      </c>
      <c r="BS823" t="s">
        <v>15477</v>
      </c>
      <c r="BT823" t="str">
        <f>HYPERLINK("https%3A%2F%2Fwww.webofscience.com%2Fwos%2Fwoscc%2Ffull-record%2FWOS:000397956500001","View Full Record in Web of Science")</f>
        <v>View Full Record in Web of Science</v>
      </c>
    </row>
    <row r="824" spans="1:72" x14ac:dyDescent="0.15">
      <c r="A824" t="s">
        <v>72</v>
      </c>
      <c r="B824" t="s">
        <v>15478</v>
      </c>
      <c r="C824" t="s">
        <v>74</v>
      </c>
      <c r="D824" t="s">
        <v>74</v>
      </c>
      <c r="E824" t="s">
        <v>74</v>
      </c>
      <c r="F824" t="s">
        <v>15479</v>
      </c>
      <c r="G824" t="s">
        <v>74</v>
      </c>
      <c r="H824" t="s">
        <v>74</v>
      </c>
      <c r="I824" t="s">
        <v>15480</v>
      </c>
      <c r="J824" t="s">
        <v>15481</v>
      </c>
      <c r="K824" t="s">
        <v>74</v>
      </c>
      <c r="L824" t="s">
        <v>74</v>
      </c>
      <c r="M824" t="s">
        <v>78</v>
      </c>
      <c r="N824" t="s">
        <v>79</v>
      </c>
      <c r="O824" t="s">
        <v>74</v>
      </c>
      <c r="P824" t="s">
        <v>74</v>
      </c>
      <c r="Q824" t="s">
        <v>74</v>
      </c>
      <c r="R824" t="s">
        <v>74</v>
      </c>
      <c r="S824" t="s">
        <v>74</v>
      </c>
      <c r="T824" t="s">
        <v>15482</v>
      </c>
      <c r="U824" t="s">
        <v>15483</v>
      </c>
      <c r="V824" t="s">
        <v>15484</v>
      </c>
      <c r="W824" t="s">
        <v>15485</v>
      </c>
      <c r="X824" t="s">
        <v>15486</v>
      </c>
      <c r="Y824" t="s">
        <v>15487</v>
      </c>
      <c r="Z824" t="s">
        <v>15488</v>
      </c>
      <c r="AA824" t="s">
        <v>15489</v>
      </c>
      <c r="AB824" t="s">
        <v>15490</v>
      </c>
      <c r="AC824" t="s">
        <v>15491</v>
      </c>
      <c r="AD824" t="s">
        <v>15492</v>
      </c>
      <c r="AE824" t="s">
        <v>15493</v>
      </c>
      <c r="AF824" t="s">
        <v>74</v>
      </c>
      <c r="AG824">
        <v>39</v>
      </c>
      <c r="AH824">
        <v>45</v>
      </c>
      <c r="AI824">
        <v>45</v>
      </c>
      <c r="AJ824">
        <v>3</v>
      </c>
      <c r="AK824">
        <v>24</v>
      </c>
      <c r="AL824" t="s">
        <v>3510</v>
      </c>
      <c r="AM824" t="s">
        <v>3511</v>
      </c>
      <c r="AN824" t="s">
        <v>7561</v>
      </c>
      <c r="AO824" t="s">
        <v>15494</v>
      </c>
      <c r="AP824" t="s">
        <v>74</v>
      </c>
      <c r="AQ824" t="s">
        <v>74</v>
      </c>
      <c r="AR824" t="s">
        <v>15495</v>
      </c>
      <c r="AS824" t="s">
        <v>15496</v>
      </c>
      <c r="AT824" t="s">
        <v>15456</v>
      </c>
      <c r="AU824">
        <v>2017</v>
      </c>
      <c r="AV824">
        <v>7</v>
      </c>
      <c r="AW824" t="s">
        <v>74</v>
      </c>
      <c r="AX824" t="s">
        <v>74</v>
      </c>
      <c r="AY824" t="s">
        <v>74</v>
      </c>
      <c r="AZ824" t="s">
        <v>74</v>
      </c>
      <c r="BA824" t="s">
        <v>74</v>
      </c>
      <c r="BB824" t="s">
        <v>74</v>
      </c>
      <c r="BC824" t="s">
        <v>74</v>
      </c>
      <c r="BD824">
        <v>46</v>
      </c>
      <c r="BE824" t="s">
        <v>15497</v>
      </c>
      <c r="BF824" t="str">
        <f>HYPERLINK("http://dx.doi.org/10.3389/fcimb.2017.00046","http://dx.doi.org/10.3389/fcimb.2017.00046")</f>
        <v>http://dx.doi.org/10.3389/fcimb.2017.00046</v>
      </c>
      <c r="BG824" t="s">
        <v>74</v>
      </c>
      <c r="BH824" t="s">
        <v>74</v>
      </c>
      <c r="BI824">
        <v>13</v>
      </c>
      <c r="BJ824" t="s">
        <v>2786</v>
      </c>
      <c r="BK824" t="s">
        <v>103</v>
      </c>
      <c r="BL824" t="s">
        <v>2786</v>
      </c>
      <c r="BM824" t="s">
        <v>15498</v>
      </c>
      <c r="BN824">
        <v>28280714</v>
      </c>
      <c r="BO824" t="s">
        <v>2009</v>
      </c>
      <c r="BP824" t="s">
        <v>74</v>
      </c>
      <c r="BQ824" t="s">
        <v>74</v>
      </c>
      <c r="BR824" t="s">
        <v>106</v>
      </c>
      <c r="BS824" t="s">
        <v>15499</v>
      </c>
      <c r="BT824" t="str">
        <f>HYPERLINK("https%3A%2F%2Fwww.webofscience.com%2Fwos%2Fwoscc%2Ffull-record%2FWOS:000394551600001","View Full Record in Web of Science")</f>
        <v>View Full Record in Web of Science</v>
      </c>
    </row>
    <row r="825" spans="1:72" x14ac:dyDescent="0.15">
      <c r="A825" t="s">
        <v>72</v>
      </c>
      <c r="B825" t="s">
        <v>15500</v>
      </c>
      <c r="C825" t="s">
        <v>74</v>
      </c>
      <c r="D825" t="s">
        <v>74</v>
      </c>
      <c r="E825" t="s">
        <v>74</v>
      </c>
      <c r="F825" t="s">
        <v>15501</v>
      </c>
      <c r="G825" t="s">
        <v>74</v>
      </c>
      <c r="H825" t="s">
        <v>74</v>
      </c>
      <c r="I825" t="s">
        <v>15502</v>
      </c>
      <c r="J825" t="s">
        <v>3849</v>
      </c>
      <c r="K825" t="s">
        <v>74</v>
      </c>
      <c r="L825" t="s">
        <v>74</v>
      </c>
      <c r="M825" t="s">
        <v>78</v>
      </c>
      <c r="N825" t="s">
        <v>79</v>
      </c>
      <c r="O825" t="s">
        <v>74</v>
      </c>
      <c r="P825" t="s">
        <v>74</v>
      </c>
      <c r="Q825" t="s">
        <v>74</v>
      </c>
      <c r="R825" t="s">
        <v>74</v>
      </c>
      <c r="S825" t="s">
        <v>74</v>
      </c>
      <c r="T825" t="s">
        <v>74</v>
      </c>
      <c r="U825" t="s">
        <v>15503</v>
      </c>
      <c r="V825" t="s">
        <v>15504</v>
      </c>
      <c r="W825" t="s">
        <v>15505</v>
      </c>
      <c r="X825" t="s">
        <v>15506</v>
      </c>
      <c r="Y825" t="s">
        <v>15507</v>
      </c>
      <c r="Z825" t="s">
        <v>15508</v>
      </c>
      <c r="AA825" t="s">
        <v>15509</v>
      </c>
      <c r="AB825" t="s">
        <v>15510</v>
      </c>
      <c r="AC825" t="s">
        <v>15511</v>
      </c>
      <c r="AD825" t="s">
        <v>15512</v>
      </c>
      <c r="AE825" t="s">
        <v>15513</v>
      </c>
      <c r="AF825" t="s">
        <v>74</v>
      </c>
      <c r="AG825">
        <v>55</v>
      </c>
      <c r="AH825">
        <v>15</v>
      </c>
      <c r="AI825">
        <v>21</v>
      </c>
      <c r="AJ825">
        <v>0</v>
      </c>
      <c r="AK825">
        <v>15</v>
      </c>
      <c r="AL825" t="s">
        <v>3861</v>
      </c>
      <c r="AM825" t="s">
        <v>3862</v>
      </c>
      <c r="AN825" t="s">
        <v>3863</v>
      </c>
      <c r="AO825" t="s">
        <v>3864</v>
      </c>
      <c r="AP825" t="s">
        <v>74</v>
      </c>
      <c r="AQ825" t="s">
        <v>74</v>
      </c>
      <c r="AR825" t="s">
        <v>3849</v>
      </c>
      <c r="AS825" t="s">
        <v>3865</v>
      </c>
      <c r="AT825" t="s">
        <v>15514</v>
      </c>
      <c r="AU825">
        <v>2017</v>
      </c>
      <c r="AV825">
        <v>12</v>
      </c>
      <c r="AW825">
        <v>2</v>
      </c>
      <c r="AX825" t="s">
        <v>74</v>
      </c>
      <c r="AY825" t="s">
        <v>74</v>
      </c>
      <c r="AZ825" t="s">
        <v>74</v>
      </c>
      <c r="BA825" t="s">
        <v>74</v>
      </c>
      <c r="BB825" t="s">
        <v>74</v>
      </c>
      <c r="BC825" t="s">
        <v>74</v>
      </c>
      <c r="BD825" t="s">
        <v>15515</v>
      </c>
      <c r="BE825" t="s">
        <v>15516</v>
      </c>
      <c r="BF825" t="str">
        <f>HYPERLINK("http://dx.doi.org/10.1371/journal.pone.0171773","http://dx.doi.org/10.1371/journal.pone.0171773")</f>
        <v>http://dx.doi.org/10.1371/journal.pone.0171773</v>
      </c>
      <c r="BG825" t="s">
        <v>74</v>
      </c>
      <c r="BH825" t="s">
        <v>74</v>
      </c>
      <c r="BI825">
        <v>14</v>
      </c>
      <c r="BJ825" t="s">
        <v>1617</v>
      </c>
      <c r="BK825" t="s">
        <v>103</v>
      </c>
      <c r="BL825" t="s">
        <v>1618</v>
      </c>
      <c r="BM825" t="s">
        <v>15517</v>
      </c>
      <c r="BN825">
        <v>28225825</v>
      </c>
      <c r="BO825" t="s">
        <v>15518</v>
      </c>
      <c r="BP825" t="s">
        <v>74</v>
      </c>
      <c r="BQ825" t="s">
        <v>74</v>
      </c>
      <c r="BR825" t="s">
        <v>106</v>
      </c>
      <c r="BS825" t="s">
        <v>15519</v>
      </c>
      <c r="BT825" t="str">
        <f>HYPERLINK("https%3A%2F%2Fwww.webofscience.com%2Fwos%2Fwoscc%2Ffull-record%2FWOS:000394680900020","View Full Record in Web of Science")</f>
        <v>View Full Record in Web of Science</v>
      </c>
    </row>
    <row r="826" spans="1:72" x14ac:dyDescent="0.15">
      <c r="A826" t="s">
        <v>72</v>
      </c>
      <c r="B826" t="s">
        <v>15520</v>
      </c>
      <c r="C826" t="s">
        <v>74</v>
      </c>
      <c r="D826" t="s">
        <v>74</v>
      </c>
      <c r="E826" t="s">
        <v>74</v>
      </c>
      <c r="F826" t="s">
        <v>15521</v>
      </c>
      <c r="G826" t="s">
        <v>74</v>
      </c>
      <c r="H826" t="s">
        <v>74</v>
      </c>
      <c r="I826" t="s">
        <v>15522</v>
      </c>
      <c r="J826" t="s">
        <v>4064</v>
      </c>
      <c r="K826" t="s">
        <v>74</v>
      </c>
      <c r="L826" t="s">
        <v>74</v>
      </c>
      <c r="M826" t="s">
        <v>78</v>
      </c>
      <c r="N826" t="s">
        <v>79</v>
      </c>
      <c r="O826" t="s">
        <v>74</v>
      </c>
      <c r="P826" t="s">
        <v>74</v>
      </c>
      <c r="Q826" t="s">
        <v>74</v>
      </c>
      <c r="R826" t="s">
        <v>74</v>
      </c>
      <c r="S826" t="s">
        <v>74</v>
      </c>
      <c r="T826" t="s">
        <v>15523</v>
      </c>
      <c r="U826" t="s">
        <v>15524</v>
      </c>
      <c r="V826" t="s">
        <v>15525</v>
      </c>
      <c r="W826" t="s">
        <v>15526</v>
      </c>
      <c r="X826" t="s">
        <v>15527</v>
      </c>
      <c r="Y826" t="s">
        <v>15528</v>
      </c>
      <c r="Z826" t="s">
        <v>15529</v>
      </c>
      <c r="AA826" t="s">
        <v>15530</v>
      </c>
      <c r="AB826" t="s">
        <v>15531</v>
      </c>
      <c r="AC826" t="s">
        <v>15532</v>
      </c>
      <c r="AD826" t="s">
        <v>15533</v>
      </c>
      <c r="AE826" t="s">
        <v>15534</v>
      </c>
      <c r="AF826" t="s">
        <v>74</v>
      </c>
      <c r="AG826">
        <v>62</v>
      </c>
      <c r="AH826">
        <v>25</v>
      </c>
      <c r="AI826">
        <v>31</v>
      </c>
      <c r="AJ826">
        <v>1</v>
      </c>
      <c r="AK826">
        <v>34</v>
      </c>
      <c r="AL826" t="s">
        <v>3510</v>
      </c>
      <c r="AM826" t="s">
        <v>3511</v>
      </c>
      <c r="AN826" t="s">
        <v>3512</v>
      </c>
      <c r="AO826" t="s">
        <v>74</v>
      </c>
      <c r="AP826" t="s">
        <v>4077</v>
      </c>
      <c r="AQ826" t="s">
        <v>74</v>
      </c>
      <c r="AR826" t="s">
        <v>4078</v>
      </c>
      <c r="AS826" t="s">
        <v>4079</v>
      </c>
      <c r="AT826" t="s">
        <v>15514</v>
      </c>
      <c r="AU826">
        <v>2017</v>
      </c>
      <c r="AV826">
        <v>8</v>
      </c>
      <c r="AW826" t="s">
        <v>74</v>
      </c>
      <c r="AX826" t="s">
        <v>74</v>
      </c>
      <c r="AY826" t="s">
        <v>74</v>
      </c>
      <c r="AZ826" t="s">
        <v>74</v>
      </c>
      <c r="BA826" t="s">
        <v>74</v>
      </c>
      <c r="BB826" t="s">
        <v>74</v>
      </c>
      <c r="BC826" t="s">
        <v>74</v>
      </c>
      <c r="BD826">
        <v>175</v>
      </c>
      <c r="BE826" t="s">
        <v>15535</v>
      </c>
      <c r="BF826" t="str">
        <f>HYPERLINK("http://dx.doi.org/10.3389/fmicb.2017.00175","http://dx.doi.org/10.3389/fmicb.2017.00175")</f>
        <v>http://dx.doi.org/10.3389/fmicb.2017.00175</v>
      </c>
      <c r="BG826" t="s">
        <v>74</v>
      </c>
      <c r="BH826" t="s">
        <v>74</v>
      </c>
      <c r="BI826">
        <v>12</v>
      </c>
      <c r="BJ826" t="s">
        <v>410</v>
      </c>
      <c r="BK826" t="s">
        <v>103</v>
      </c>
      <c r="BL826" t="s">
        <v>410</v>
      </c>
      <c r="BM826" t="s">
        <v>15536</v>
      </c>
      <c r="BN826">
        <v>28275369</v>
      </c>
      <c r="BO826" t="s">
        <v>2009</v>
      </c>
      <c r="BP826" t="s">
        <v>74</v>
      </c>
      <c r="BQ826" t="s">
        <v>74</v>
      </c>
      <c r="BR826" t="s">
        <v>106</v>
      </c>
      <c r="BS826" t="s">
        <v>15537</v>
      </c>
      <c r="BT826" t="str">
        <f>HYPERLINK("https%3A%2F%2Fwww.webofscience.com%2Fwos%2Fwoscc%2Ffull-record%2FWOS:000394542900001","View Full Record in Web of Science")</f>
        <v>View Full Record in Web of Science</v>
      </c>
    </row>
    <row r="827" spans="1:72" x14ac:dyDescent="0.15">
      <c r="A827" t="s">
        <v>72</v>
      </c>
      <c r="B827" t="s">
        <v>15538</v>
      </c>
      <c r="C827" t="s">
        <v>74</v>
      </c>
      <c r="D827" t="s">
        <v>74</v>
      </c>
      <c r="E827" t="s">
        <v>74</v>
      </c>
      <c r="F827" t="s">
        <v>15539</v>
      </c>
      <c r="G827" t="s">
        <v>74</v>
      </c>
      <c r="H827" t="s">
        <v>74</v>
      </c>
      <c r="I827" t="s">
        <v>15540</v>
      </c>
      <c r="J827" t="s">
        <v>1599</v>
      </c>
      <c r="K827" t="s">
        <v>74</v>
      </c>
      <c r="L827" t="s">
        <v>74</v>
      </c>
      <c r="M827" t="s">
        <v>78</v>
      </c>
      <c r="N827" t="s">
        <v>79</v>
      </c>
      <c r="O827" t="s">
        <v>74</v>
      </c>
      <c r="P827" t="s">
        <v>74</v>
      </c>
      <c r="Q827" t="s">
        <v>74</v>
      </c>
      <c r="R827" t="s">
        <v>74</v>
      </c>
      <c r="S827" t="s">
        <v>74</v>
      </c>
      <c r="T827" t="s">
        <v>74</v>
      </c>
      <c r="U827" t="s">
        <v>15541</v>
      </c>
      <c r="V827" t="s">
        <v>15542</v>
      </c>
      <c r="W827" t="s">
        <v>15543</v>
      </c>
      <c r="X827" t="s">
        <v>15544</v>
      </c>
      <c r="Y827" t="s">
        <v>15545</v>
      </c>
      <c r="Z827" t="s">
        <v>15546</v>
      </c>
      <c r="AA827" t="s">
        <v>15547</v>
      </c>
      <c r="AB827" t="s">
        <v>15548</v>
      </c>
      <c r="AC827" t="s">
        <v>15549</v>
      </c>
      <c r="AD827" t="s">
        <v>15550</v>
      </c>
      <c r="AE827" t="s">
        <v>15551</v>
      </c>
      <c r="AF827" t="s">
        <v>74</v>
      </c>
      <c r="AG827">
        <v>67</v>
      </c>
      <c r="AH827">
        <v>14</v>
      </c>
      <c r="AI827">
        <v>15</v>
      </c>
      <c r="AJ827">
        <v>1</v>
      </c>
      <c r="AK827">
        <v>16</v>
      </c>
      <c r="AL827" t="s">
        <v>3671</v>
      </c>
      <c r="AM827" t="s">
        <v>3672</v>
      </c>
      <c r="AN827" t="s">
        <v>3673</v>
      </c>
      <c r="AO827" t="s">
        <v>74</v>
      </c>
      <c r="AP827" t="s">
        <v>1613</v>
      </c>
      <c r="AQ827" t="s">
        <v>74</v>
      </c>
      <c r="AR827" t="s">
        <v>1614</v>
      </c>
      <c r="AS827" t="s">
        <v>1615</v>
      </c>
      <c r="AT827" t="s">
        <v>15514</v>
      </c>
      <c r="AU827">
        <v>2017</v>
      </c>
      <c r="AV827">
        <v>8</v>
      </c>
      <c r="AW827" t="s">
        <v>74</v>
      </c>
      <c r="AX827" t="s">
        <v>74</v>
      </c>
      <c r="AY827" t="s">
        <v>74</v>
      </c>
      <c r="AZ827" t="s">
        <v>74</v>
      </c>
      <c r="BA827" t="s">
        <v>74</v>
      </c>
      <c r="BB827" t="s">
        <v>74</v>
      </c>
      <c r="BC827" t="s">
        <v>74</v>
      </c>
      <c r="BD827">
        <v>14498</v>
      </c>
      <c r="BE827" t="s">
        <v>15552</v>
      </c>
      <c r="BF827" t="str">
        <f>HYPERLINK("http://dx.doi.org/10.1038/ncomms14498","http://dx.doi.org/10.1038/ncomms14498")</f>
        <v>http://dx.doi.org/10.1038/ncomms14498</v>
      </c>
      <c r="BG827" t="s">
        <v>74</v>
      </c>
      <c r="BH827" t="s">
        <v>74</v>
      </c>
      <c r="BI827">
        <v>10</v>
      </c>
      <c r="BJ827" t="s">
        <v>1617</v>
      </c>
      <c r="BK827" t="s">
        <v>103</v>
      </c>
      <c r="BL827" t="s">
        <v>1618</v>
      </c>
      <c r="BM827" t="s">
        <v>15553</v>
      </c>
      <c r="BN827">
        <v>28224985</v>
      </c>
      <c r="BO827" t="s">
        <v>4540</v>
      </c>
      <c r="BP827" t="s">
        <v>74</v>
      </c>
      <c r="BQ827" t="s">
        <v>74</v>
      </c>
      <c r="BR827" t="s">
        <v>106</v>
      </c>
      <c r="BS827" t="s">
        <v>15554</v>
      </c>
      <c r="BT827" t="str">
        <f>HYPERLINK("https%3A%2F%2Fwww.webofscience.com%2Fwos%2Fwoscc%2Ffull-record%2FWOS:000394524600001","View Full Record in Web of Science")</f>
        <v>View Full Record in Web of Science</v>
      </c>
    </row>
    <row r="828" spans="1:72" x14ac:dyDescent="0.15">
      <c r="A828" t="s">
        <v>72</v>
      </c>
      <c r="B828" t="s">
        <v>15555</v>
      </c>
      <c r="C828" t="s">
        <v>74</v>
      </c>
      <c r="D828" t="s">
        <v>74</v>
      </c>
      <c r="E828" t="s">
        <v>74</v>
      </c>
      <c r="F828" t="s">
        <v>15556</v>
      </c>
      <c r="G828" t="s">
        <v>74</v>
      </c>
      <c r="H828" t="s">
        <v>74</v>
      </c>
      <c r="I828" t="s">
        <v>15557</v>
      </c>
      <c r="J828" t="s">
        <v>3661</v>
      </c>
      <c r="K828" t="s">
        <v>74</v>
      </c>
      <c r="L828" t="s">
        <v>74</v>
      </c>
      <c r="M828" t="s">
        <v>78</v>
      </c>
      <c r="N828" t="s">
        <v>79</v>
      </c>
      <c r="O828" t="s">
        <v>74</v>
      </c>
      <c r="P828" t="s">
        <v>74</v>
      </c>
      <c r="Q828" t="s">
        <v>74</v>
      </c>
      <c r="R828" t="s">
        <v>74</v>
      </c>
      <c r="S828" t="s">
        <v>74</v>
      </c>
      <c r="T828" t="s">
        <v>74</v>
      </c>
      <c r="U828" t="s">
        <v>15558</v>
      </c>
      <c r="V828" t="s">
        <v>15559</v>
      </c>
      <c r="W828" t="s">
        <v>15560</v>
      </c>
      <c r="X828" t="s">
        <v>15561</v>
      </c>
      <c r="Y828" t="s">
        <v>15562</v>
      </c>
      <c r="Z828" t="s">
        <v>10451</v>
      </c>
      <c r="AA828" t="s">
        <v>15563</v>
      </c>
      <c r="AB828" t="s">
        <v>15564</v>
      </c>
      <c r="AC828" t="s">
        <v>15565</v>
      </c>
      <c r="AD828" t="s">
        <v>15566</v>
      </c>
      <c r="AE828" t="s">
        <v>15567</v>
      </c>
      <c r="AF828" t="s">
        <v>74</v>
      </c>
      <c r="AG828">
        <v>45</v>
      </c>
      <c r="AH828">
        <v>16</v>
      </c>
      <c r="AI828">
        <v>18</v>
      </c>
      <c r="AJ828">
        <v>1</v>
      </c>
      <c r="AK828">
        <v>24</v>
      </c>
      <c r="AL828" t="s">
        <v>3671</v>
      </c>
      <c r="AM828" t="s">
        <v>3672</v>
      </c>
      <c r="AN828" t="s">
        <v>3673</v>
      </c>
      <c r="AO828" t="s">
        <v>3674</v>
      </c>
      <c r="AP828" t="s">
        <v>74</v>
      </c>
      <c r="AQ828" t="s">
        <v>74</v>
      </c>
      <c r="AR828" t="s">
        <v>3675</v>
      </c>
      <c r="AS828" t="s">
        <v>3676</v>
      </c>
      <c r="AT828" t="s">
        <v>15514</v>
      </c>
      <c r="AU828">
        <v>2017</v>
      </c>
      <c r="AV828">
        <v>7</v>
      </c>
      <c r="AW828" t="s">
        <v>74</v>
      </c>
      <c r="AX828" t="s">
        <v>74</v>
      </c>
      <c r="AY828" t="s">
        <v>74</v>
      </c>
      <c r="AZ828" t="s">
        <v>74</v>
      </c>
      <c r="BA828" t="s">
        <v>74</v>
      </c>
      <c r="BB828" t="s">
        <v>74</v>
      </c>
      <c r="BC828" t="s">
        <v>74</v>
      </c>
      <c r="BD828">
        <v>42968</v>
      </c>
      <c r="BE828" t="s">
        <v>15568</v>
      </c>
      <c r="BF828" t="str">
        <f>HYPERLINK("http://dx.doi.org/10.1038/srep42968","http://dx.doi.org/10.1038/srep42968")</f>
        <v>http://dx.doi.org/10.1038/srep42968</v>
      </c>
      <c r="BG828" t="s">
        <v>74</v>
      </c>
      <c r="BH828" t="s">
        <v>74</v>
      </c>
      <c r="BI828">
        <v>11</v>
      </c>
      <c r="BJ828" t="s">
        <v>1617</v>
      </c>
      <c r="BK828" t="s">
        <v>103</v>
      </c>
      <c r="BL828" t="s">
        <v>1618</v>
      </c>
      <c r="BM828" t="s">
        <v>15569</v>
      </c>
      <c r="BN828">
        <v>28225085</v>
      </c>
      <c r="BO828" t="s">
        <v>1224</v>
      </c>
      <c r="BP828" t="s">
        <v>74</v>
      </c>
      <c r="BQ828" t="s">
        <v>74</v>
      </c>
      <c r="BR828" t="s">
        <v>106</v>
      </c>
      <c r="BS828" t="s">
        <v>15570</v>
      </c>
      <c r="BT828" t="str">
        <f>HYPERLINK("https%3A%2F%2Fwww.webofscience.com%2Fwos%2Fwoscc%2Ffull-record%2FWOS:000394762100001","View Full Record in Web of Science")</f>
        <v>View Full Record in Web of Science</v>
      </c>
    </row>
    <row r="829" spans="1:72" x14ac:dyDescent="0.15">
      <c r="A829" t="s">
        <v>72</v>
      </c>
      <c r="B829" t="s">
        <v>15571</v>
      </c>
      <c r="C829" t="s">
        <v>74</v>
      </c>
      <c r="D829" t="s">
        <v>74</v>
      </c>
      <c r="E829" t="s">
        <v>74</v>
      </c>
      <c r="F829" t="s">
        <v>15572</v>
      </c>
      <c r="G829" t="s">
        <v>74</v>
      </c>
      <c r="H829" t="s">
        <v>74</v>
      </c>
      <c r="I829" t="s">
        <v>15573</v>
      </c>
      <c r="J829" t="s">
        <v>3849</v>
      </c>
      <c r="K829" t="s">
        <v>74</v>
      </c>
      <c r="L829" t="s">
        <v>74</v>
      </c>
      <c r="M829" t="s">
        <v>78</v>
      </c>
      <c r="N829" t="s">
        <v>79</v>
      </c>
      <c r="O829" t="s">
        <v>74</v>
      </c>
      <c r="P829" t="s">
        <v>74</v>
      </c>
      <c r="Q829" t="s">
        <v>74</v>
      </c>
      <c r="R829" t="s">
        <v>74</v>
      </c>
      <c r="S829" t="s">
        <v>74</v>
      </c>
      <c r="T829" t="s">
        <v>74</v>
      </c>
      <c r="U829" t="s">
        <v>15574</v>
      </c>
      <c r="V829" t="s">
        <v>15575</v>
      </c>
      <c r="W829" t="s">
        <v>15576</v>
      </c>
      <c r="X829" t="s">
        <v>15577</v>
      </c>
      <c r="Y829" t="s">
        <v>15578</v>
      </c>
      <c r="Z829" t="s">
        <v>15579</v>
      </c>
      <c r="AA829" t="s">
        <v>15580</v>
      </c>
      <c r="AB829" t="s">
        <v>15581</v>
      </c>
      <c r="AC829" t="s">
        <v>15582</v>
      </c>
      <c r="AD829" t="s">
        <v>15582</v>
      </c>
      <c r="AE829" t="s">
        <v>15583</v>
      </c>
      <c r="AF829" t="s">
        <v>74</v>
      </c>
      <c r="AG829">
        <v>80</v>
      </c>
      <c r="AH829">
        <v>23</v>
      </c>
      <c r="AI829">
        <v>26</v>
      </c>
      <c r="AJ829">
        <v>2</v>
      </c>
      <c r="AK829">
        <v>29</v>
      </c>
      <c r="AL829" t="s">
        <v>3861</v>
      </c>
      <c r="AM829" t="s">
        <v>3862</v>
      </c>
      <c r="AN829" t="s">
        <v>3863</v>
      </c>
      <c r="AO829" t="s">
        <v>3864</v>
      </c>
      <c r="AP829" t="s">
        <v>74</v>
      </c>
      <c r="AQ829" t="s">
        <v>74</v>
      </c>
      <c r="AR829" t="s">
        <v>3849</v>
      </c>
      <c r="AS829" t="s">
        <v>3865</v>
      </c>
      <c r="AT829" t="s">
        <v>15584</v>
      </c>
      <c r="AU829">
        <v>2017</v>
      </c>
      <c r="AV829">
        <v>12</v>
      </c>
      <c r="AW829">
        <v>2</v>
      </c>
      <c r="AX829" t="s">
        <v>74</v>
      </c>
      <c r="AY829" t="s">
        <v>74</v>
      </c>
      <c r="AZ829" t="s">
        <v>74</v>
      </c>
      <c r="BA829" t="s">
        <v>74</v>
      </c>
      <c r="BB829" t="s">
        <v>74</v>
      </c>
      <c r="BC829" t="s">
        <v>74</v>
      </c>
      <c r="BD829" t="s">
        <v>15585</v>
      </c>
      <c r="BE829" t="s">
        <v>15586</v>
      </c>
      <c r="BF829" t="str">
        <f>HYPERLINK("http://dx.doi.org/10.1371/journal.pone.0172705","http://dx.doi.org/10.1371/journal.pone.0172705")</f>
        <v>http://dx.doi.org/10.1371/journal.pone.0172705</v>
      </c>
      <c r="BG829" t="s">
        <v>74</v>
      </c>
      <c r="BH829" t="s">
        <v>74</v>
      </c>
      <c r="BI829">
        <v>24</v>
      </c>
      <c r="BJ829" t="s">
        <v>1617</v>
      </c>
      <c r="BK829" t="s">
        <v>103</v>
      </c>
      <c r="BL829" t="s">
        <v>1618</v>
      </c>
      <c r="BM829" t="s">
        <v>15587</v>
      </c>
      <c r="BN829">
        <v>28222124</v>
      </c>
      <c r="BO829" t="s">
        <v>7101</v>
      </c>
      <c r="BP829" t="s">
        <v>74</v>
      </c>
      <c r="BQ829" t="s">
        <v>74</v>
      </c>
      <c r="BR829" t="s">
        <v>106</v>
      </c>
      <c r="BS829" t="s">
        <v>15588</v>
      </c>
      <c r="BT829" t="str">
        <f>HYPERLINK("https%3A%2F%2Fwww.webofscience.com%2Fwos%2Fwoscc%2Ffull-record%2FWOS:000394676800078","View Full Record in Web of Science")</f>
        <v>View Full Record in Web of Science</v>
      </c>
    </row>
    <row r="830" spans="1:72" x14ac:dyDescent="0.15">
      <c r="A830" t="s">
        <v>72</v>
      </c>
      <c r="B830" t="s">
        <v>15589</v>
      </c>
      <c r="C830" t="s">
        <v>74</v>
      </c>
      <c r="D830" t="s">
        <v>74</v>
      </c>
      <c r="E830" t="s">
        <v>74</v>
      </c>
      <c r="F830" t="s">
        <v>15590</v>
      </c>
      <c r="G830" t="s">
        <v>74</v>
      </c>
      <c r="H830" t="s">
        <v>15591</v>
      </c>
      <c r="I830" t="s">
        <v>15592</v>
      </c>
      <c r="J830" t="s">
        <v>3661</v>
      </c>
      <c r="K830" t="s">
        <v>74</v>
      </c>
      <c r="L830" t="s">
        <v>74</v>
      </c>
      <c r="M830" t="s">
        <v>78</v>
      </c>
      <c r="N830" t="s">
        <v>79</v>
      </c>
      <c r="O830" t="s">
        <v>74</v>
      </c>
      <c r="P830" t="s">
        <v>74</v>
      </c>
      <c r="Q830" t="s">
        <v>74</v>
      </c>
      <c r="R830" t="s">
        <v>74</v>
      </c>
      <c r="S830" t="s">
        <v>74</v>
      </c>
      <c r="T830" t="s">
        <v>74</v>
      </c>
      <c r="U830" t="s">
        <v>15593</v>
      </c>
      <c r="V830" t="s">
        <v>15594</v>
      </c>
      <c r="W830" t="s">
        <v>15595</v>
      </c>
      <c r="X830" t="s">
        <v>15596</v>
      </c>
      <c r="Y830" t="s">
        <v>15597</v>
      </c>
      <c r="Z830" t="s">
        <v>15598</v>
      </c>
      <c r="AA830" t="s">
        <v>15599</v>
      </c>
      <c r="AB830" t="s">
        <v>15600</v>
      </c>
      <c r="AC830" t="s">
        <v>15601</v>
      </c>
      <c r="AD830" t="s">
        <v>15602</v>
      </c>
      <c r="AE830" t="s">
        <v>15603</v>
      </c>
      <c r="AF830" t="s">
        <v>74</v>
      </c>
      <c r="AG830">
        <v>42</v>
      </c>
      <c r="AH830">
        <v>290</v>
      </c>
      <c r="AI830">
        <v>317</v>
      </c>
      <c r="AJ830">
        <v>1</v>
      </c>
      <c r="AK830">
        <v>42</v>
      </c>
      <c r="AL830" t="s">
        <v>3671</v>
      </c>
      <c r="AM830" t="s">
        <v>3672</v>
      </c>
      <c r="AN830" t="s">
        <v>3673</v>
      </c>
      <c r="AO830" t="s">
        <v>3674</v>
      </c>
      <c r="AP830" t="s">
        <v>74</v>
      </c>
      <c r="AQ830" t="s">
        <v>74</v>
      </c>
      <c r="AR830" t="s">
        <v>3675</v>
      </c>
      <c r="AS830" t="s">
        <v>3676</v>
      </c>
      <c r="AT830" t="s">
        <v>15584</v>
      </c>
      <c r="AU830">
        <v>2017</v>
      </c>
      <c r="AV830">
        <v>7</v>
      </c>
      <c r="AW830" t="s">
        <v>74</v>
      </c>
      <c r="AX830" t="s">
        <v>74</v>
      </c>
      <c r="AY830" t="s">
        <v>74</v>
      </c>
      <c r="AZ830" t="s">
        <v>74</v>
      </c>
      <c r="BA830" t="s">
        <v>74</v>
      </c>
      <c r="BB830">
        <v>1</v>
      </c>
      <c r="BC830">
        <v>7</v>
      </c>
      <c r="BD830">
        <v>43056</v>
      </c>
      <c r="BE830" t="s">
        <v>15604</v>
      </c>
      <c r="BF830" t="str">
        <f>HYPERLINK("http://dx.doi.org/10.1038/srep43056","http://dx.doi.org/10.1038/srep43056")</f>
        <v>http://dx.doi.org/10.1038/srep43056</v>
      </c>
      <c r="BG830" t="s">
        <v>74</v>
      </c>
      <c r="BH830" t="s">
        <v>74</v>
      </c>
      <c r="BI830">
        <v>7</v>
      </c>
      <c r="BJ830" t="s">
        <v>1617</v>
      </c>
      <c r="BK830" t="s">
        <v>103</v>
      </c>
      <c r="BL830" t="s">
        <v>1618</v>
      </c>
      <c r="BM830" t="s">
        <v>15605</v>
      </c>
      <c r="BN830">
        <v>28220851</v>
      </c>
      <c r="BO830" t="s">
        <v>2009</v>
      </c>
      <c r="BP830" t="s">
        <v>2243</v>
      </c>
      <c r="BQ830" t="s">
        <v>2244</v>
      </c>
      <c r="BR830" t="s">
        <v>106</v>
      </c>
      <c r="BS830" t="s">
        <v>15606</v>
      </c>
      <c r="BT830" t="str">
        <f>HYPERLINK("https%3A%2F%2Fwww.webofscience.com%2Fwos%2Fwoscc%2Ffull-record%2FWOS:000394703400001","View Full Record in Web of Science")</f>
        <v>View Full Record in Web of Science</v>
      </c>
    </row>
    <row r="831" spans="1:72" x14ac:dyDescent="0.15">
      <c r="A831" t="s">
        <v>72</v>
      </c>
      <c r="B831" t="s">
        <v>15607</v>
      </c>
      <c r="C831" t="s">
        <v>74</v>
      </c>
      <c r="D831" t="s">
        <v>74</v>
      </c>
      <c r="E831" t="s">
        <v>74</v>
      </c>
      <c r="F831" t="s">
        <v>15608</v>
      </c>
      <c r="G831" t="s">
        <v>74</v>
      </c>
      <c r="H831" t="s">
        <v>74</v>
      </c>
      <c r="I831" t="s">
        <v>15609</v>
      </c>
      <c r="J831" t="s">
        <v>15610</v>
      </c>
      <c r="K831" t="s">
        <v>74</v>
      </c>
      <c r="L831" t="s">
        <v>74</v>
      </c>
      <c r="M831" t="s">
        <v>78</v>
      </c>
      <c r="N831" t="s">
        <v>79</v>
      </c>
      <c r="O831" t="s">
        <v>74</v>
      </c>
      <c r="P831" t="s">
        <v>74</v>
      </c>
      <c r="Q831" t="s">
        <v>74</v>
      </c>
      <c r="R831" t="s">
        <v>74</v>
      </c>
      <c r="S831" t="s">
        <v>74</v>
      </c>
      <c r="T831" t="s">
        <v>15611</v>
      </c>
      <c r="U831" t="s">
        <v>15612</v>
      </c>
      <c r="V831" t="s">
        <v>15613</v>
      </c>
      <c r="W831" t="s">
        <v>15614</v>
      </c>
      <c r="X831" t="s">
        <v>15615</v>
      </c>
      <c r="Y831" t="s">
        <v>15616</v>
      </c>
      <c r="Z831" t="s">
        <v>15617</v>
      </c>
      <c r="AA831" t="s">
        <v>15618</v>
      </c>
      <c r="AB831" t="s">
        <v>15619</v>
      </c>
      <c r="AC831" t="s">
        <v>15620</v>
      </c>
      <c r="AD831" t="s">
        <v>15621</v>
      </c>
      <c r="AE831" t="s">
        <v>15622</v>
      </c>
      <c r="AF831" t="s">
        <v>74</v>
      </c>
      <c r="AG831">
        <v>41</v>
      </c>
      <c r="AH831">
        <v>5</v>
      </c>
      <c r="AI831">
        <v>7</v>
      </c>
      <c r="AJ831">
        <v>0</v>
      </c>
      <c r="AK831">
        <v>24</v>
      </c>
      <c r="AL831" t="s">
        <v>317</v>
      </c>
      <c r="AM831" t="s">
        <v>318</v>
      </c>
      <c r="AN831" t="s">
        <v>319</v>
      </c>
      <c r="AO831" t="s">
        <v>15623</v>
      </c>
      <c r="AP831" t="s">
        <v>15624</v>
      </c>
      <c r="AQ831" t="s">
        <v>74</v>
      </c>
      <c r="AR831" t="s">
        <v>15610</v>
      </c>
      <c r="AS831" t="s">
        <v>15625</v>
      </c>
      <c r="AT831" t="s">
        <v>15626</v>
      </c>
      <c r="AU831">
        <v>2017</v>
      </c>
      <c r="AV831">
        <v>469</v>
      </c>
      <c r="AW831" t="s">
        <v>74</v>
      </c>
      <c r="AX831" t="s">
        <v>74</v>
      </c>
      <c r="AY831" t="s">
        <v>74</v>
      </c>
      <c r="AZ831" t="s">
        <v>74</v>
      </c>
      <c r="BA831" t="s">
        <v>74</v>
      </c>
      <c r="BB831">
        <v>44</v>
      </c>
      <c r="BC831">
        <v>49</v>
      </c>
      <c r="BD831" t="s">
        <v>74</v>
      </c>
      <c r="BE831" t="s">
        <v>15627</v>
      </c>
      <c r="BF831" t="str">
        <f>HYPERLINK("http://dx.doi.org/10.1016/j.aquaculture.2016.11.040","http://dx.doi.org/10.1016/j.aquaculture.2016.11.040")</f>
        <v>http://dx.doi.org/10.1016/j.aquaculture.2016.11.040</v>
      </c>
      <c r="BG831" t="s">
        <v>74</v>
      </c>
      <c r="BH831" t="s">
        <v>74</v>
      </c>
      <c r="BI831">
        <v>6</v>
      </c>
      <c r="BJ831" t="s">
        <v>1198</v>
      </c>
      <c r="BK831" t="s">
        <v>103</v>
      </c>
      <c r="BL831" t="s">
        <v>1198</v>
      </c>
      <c r="BM831" t="s">
        <v>15628</v>
      </c>
      <c r="BN831" t="s">
        <v>74</v>
      </c>
      <c r="BO831" t="s">
        <v>74</v>
      </c>
      <c r="BP831" t="s">
        <v>74</v>
      </c>
      <c r="BQ831" t="s">
        <v>74</v>
      </c>
      <c r="BR831" t="s">
        <v>106</v>
      </c>
      <c r="BS831" t="s">
        <v>15629</v>
      </c>
      <c r="BT831" t="str">
        <f>HYPERLINK("https%3A%2F%2Fwww.webofscience.com%2Fwos%2Fwoscc%2Ffull-record%2FWOS:000391839400006","View Full Record in Web of Science")</f>
        <v>View Full Record in Web of Science</v>
      </c>
    </row>
    <row r="832" spans="1:72" x14ac:dyDescent="0.15">
      <c r="A832" t="s">
        <v>72</v>
      </c>
      <c r="B832" t="s">
        <v>15630</v>
      </c>
      <c r="C832" t="s">
        <v>74</v>
      </c>
      <c r="D832" t="s">
        <v>74</v>
      </c>
      <c r="E832" t="s">
        <v>74</v>
      </c>
      <c r="F832" t="s">
        <v>15631</v>
      </c>
      <c r="G832" t="s">
        <v>74</v>
      </c>
      <c r="H832" t="s">
        <v>74</v>
      </c>
      <c r="I832" t="s">
        <v>15632</v>
      </c>
      <c r="J832" t="s">
        <v>3441</v>
      </c>
      <c r="K832" t="s">
        <v>74</v>
      </c>
      <c r="L832" t="s">
        <v>74</v>
      </c>
      <c r="M832" t="s">
        <v>78</v>
      </c>
      <c r="N832" t="s">
        <v>79</v>
      </c>
      <c r="O832" t="s">
        <v>74</v>
      </c>
      <c r="P832" t="s">
        <v>74</v>
      </c>
      <c r="Q832" t="s">
        <v>74</v>
      </c>
      <c r="R832" t="s">
        <v>74</v>
      </c>
      <c r="S832" t="s">
        <v>74</v>
      </c>
      <c r="T832" t="s">
        <v>15633</v>
      </c>
      <c r="U832" t="s">
        <v>15634</v>
      </c>
      <c r="V832" t="s">
        <v>15635</v>
      </c>
      <c r="W832" t="s">
        <v>15636</v>
      </c>
      <c r="X832" t="s">
        <v>15637</v>
      </c>
      <c r="Y832" t="s">
        <v>15638</v>
      </c>
      <c r="Z832" t="s">
        <v>15639</v>
      </c>
      <c r="AA832" t="s">
        <v>15640</v>
      </c>
      <c r="AB832" t="s">
        <v>15641</v>
      </c>
      <c r="AC832" t="s">
        <v>15642</v>
      </c>
      <c r="AD832" t="s">
        <v>15642</v>
      </c>
      <c r="AE832" t="s">
        <v>15643</v>
      </c>
      <c r="AF832" t="s">
        <v>74</v>
      </c>
      <c r="AG832">
        <v>59</v>
      </c>
      <c r="AH832">
        <v>15</v>
      </c>
      <c r="AI832">
        <v>17</v>
      </c>
      <c r="AJ832">
        <v>1</v>
      </c>
      <c r="AK832">
        <v>17</v>
      </c>
      <c r="AL832" t="s">
        <v>3454</v>
      </c>
      <c r="AM832" t="s">
        <v>3455</v>
      </c>
      <c r="AN832" t="s">
        <v>3456</v>
      </c>
      <c r="AO832" t="s">
        <v>3457</v>
      </c>
      <c r="AP832" t="s">
        <v>3458</v>
      </c>
      <c r="AQ832" t="s">
        <v>74</v>
      </c>
      <c r="AR832" t="s">
        <v>3459</v>
      </c>
      <c r="AS832" t="s">
        <v>3460</v>
      </c>
      <c r="AT832" t="s">
        <v>15644</v>
      </c>
      <c r="AU832">
        <v>2017</v>
      </c>
      <c r="AV832">
        <v>565</v>
      </c>
      <c r="AW832" t="s">
        <v>74</v>
      </c>
      <c r="AX832" t="s">
        <v>74</v>
      </c>
      <c r="AY832" t="s">
        <v>74</v>
      </c>
      <c r="AZ832" t="s">
        <v>74</v>
      </c>
      <c r="BA832" t="s">
        <v>74</v>
      </c>
      <c r="BB832">
        <v>227</v>
      </c>
      <c r="BC832">
        <v>236</v>
      </c>
      <c r="BD832" t="s">
        <v>74</v>
      </c>
      <c r="BE832" t="s">
        <v>15645</v>
      </c>
      <c r="BF832" t="str">
        <f>HYPERLINK("http://dx.doi.org/10.3354/meps12017","http://dx.doi.org/10.3354/meps12017")</f>
        <v>http://dx.doi.org/10.3354/meps12017</v>
      </c>
      <c r="BG832" t="s">
        <v>74</v>
      </c>
      <c r="BH832" t="s">
        <v>74</v>
      </c>
      <c r="BI832">
        <v>10</v>
      </c>
      <c r="BJ832" t="s">
        <v>3463</v>
      </c>
      <c r="BK832" t="s">
        <v>103</v>
      </c>
      <c r="BL832" t="s">
        <v>3464</v>
      </c>
      <c r="BM832" t="s">
        <v>15646</v>
      </c>
      <c r="BN832" t="s">
        <v>74</v>
      </c>
      <c r="BO832" t="s">
        <v>74</v>
      </c>
      <c r="BP832" t="s">
        <v>74</v>
      </c>
      <c r="BQ832" t="s">
        <v>74</v>
      </c>
      <c r="BR832" t="s">
        <v>106</v>
      </c>
      <c r="BS832" t="s">
        <v>15647</v>
      </c>
      <c r="BT832" t="str">
        <f>HYPERLINK("https%3A%2F%2Fwww.webofscience.com%2Fwos%2Fwoscc%2Ffull-record%2FWOS:000396051700015","View Full Record in Web of Science")</f>
        <v>View Full Record in Web of Science</v>
      </c>
    </row>
    <row r="833" spans="1:72" x14ac:dyDescent="0.15">
      <c r="A833" t="s">
        <v>72</v>
      </c>
      <c r="B833" t="s">
        <v>15648</v>
      </c>
      <c r="C833" t="s">
        <v>74</v>
      </c>
      <c r="D833" t="s">
        <v>74</v>
      </c>
      <c r="E833" t="s">
        <v>74</v>
      </c>
      <c r="F833" t="s">
        <v>15649</v>
      </c>
      <c r="G833" t="s">
        <v>74</v>
      </c>
      <c r="H833" t="s">
        <v>74</v>
      </c>
      <c r="I833" t="s">
        <v>15650</v>
      </c>
      <c r="J833" t="s">
        <v>3441</v>
      </c>
      <c r="K833" t="s">
        <v>74</v>
      </c>
      <c r="L833" t="s">
        <v>74</v>
      </c>
      <c r="M833" t="s">
        <v>78</v>
      </c>
      <c r="N833" t="s">
        <v>79</v>
      </c>
      <c r="O833" t="s">
        <v>74</v>
      </c>
      <c r="P833" t="s">
        <v>74</v>
      </c>
      <c r="Q833" t="s">
        <v>74</v>
      </c>
      <c r="R833" t="s">
        <v>74</v>
      </c>
      <c r="S833" t="s">
        <v>74</v>
      </c>
      <c r="T833" t="s">
        <v>15651</v>
      </c>
      <c r="U833" t="s">
        <v>15652</v>
      </c>
      <c r="V833" t="s">
        <v>15653</v>
      </c>
      <c r="W833" t="s">
        <v>15654</v>
      </c>
      <c r="X833" t="s">
        <v>15655</v>
      </c>
      <c r="Y833" t="s">
        <v>15656</v>
      </c>
      <c r="Z833" t="s">
        <v>15657</v>
      </c>
      <c r="AA833" t="s">
        <v>15658</v>
      </c>
      <c r="AB833" t="s">
        <v>15659</v>
      </c>
      <c r="AC833" t="s">
        <v>15660</v>
      </c>
      <c r="AD833" t="s">
        <v>15661</v>
      </c>
      <c r="AE833" t="s">
        <v>15662</v>
      </c>
      <c r="AF833" t="s">
        <v>74</v>
      </c>
      <c r="AG833">
        <v>87</v>
      </c>
      <c r="AH833">
        <v>33</v>
      </c>
      <c r="AI833">
        <v>33</v>
      </c>
      <c r="AJ833">
        <v>1</v>
      </c>
      <c r="AK833">
        <v>42</v>
      </c>
      <c r="AL833" t="s">
        <v>3454</v>
      </c>
      <c r="AM833" t="s">
        <v>3455</v>
      </c>
      <c r="AN833" t="s">
        <v>3456</v>
      </c>
      <c r="AO833" t="s">
        <v>3457</v>
      </c>
      <c r="AP833" t="s">
        <v>3458</v>
      </c>
      <c r="AQ833" t="s">
        <v>74</v>
      </c>
      <c r="AR833" t="s">
        <v>3459</v>
      </c>
      <c r="AS833" t="s">
        <v>3460</v>
      </c>
      <c r="AT833" t="s">
        <v>15644</v>
      </c>
      <c r="AU833">
        <v>2017</v>
      </c>
      <c r="AV833">
        <v>565</v>
      </c>
      <c r="AW833" t="s">
        <v>74</v>
      </c>
      <c r="AX833" t="s">
        <v>74</v>
      </c>
      <c r="AY833" t="s">
        <v>74</v>
      </c>
      <c r="AZ833" t="s">
        <v>74</v>
      </c>
      <c r="BA833" t="s">
        <v>74</v>
      </c>
      <c r="BB833">
        <v>197</v>
      </c>
      <c r="BC833">
        <v>215</v>
      </c>
      <c r="BD833" t="s">
        <v>74</v>
      </c>
      <c r="BE833" t="s">
        <v>15663</v>
      </c>
      <c r="BF833" t="str">
        <f>HYPERLINK("http://dx.doi.org/10.3354/meps11994","http://dx.doi.org/10.3354/meps11994")</f>
        <v>http://dx.doi.org/10.3354/meps11994</v>
      </c>
      <c r="BG833" t="s">
        <v>74</v>
      </c>
      <c r="BH833" t="s">
        <v>74</v>
      </c>
      <c r="BI833">
        <v>19</v>
      </c>
      <c r="BJ833" t="s">
        <v>3463</v>
      </c>
      <c r="BK833" t="s">
        <v>103</v>
      </c>
      <c r="BL833" t="s">
        <v>3464</v>
      </c>
      <c r="BM833" t="s">
        <v>15646</v>
      </c>
      <c r="BN833" t="s">
        <v>74</v>
      </c>
      <c r="BO833" t="s">
        <v>11499</v>
      </c>
      <c r="BP833" t="s">
        <v>74</v>
      </c>
      <c r="BQ833" t="s">
        <v>74</v>
      </c>
      <c r="BR833" t="s">
        <v>106</v>
      </c>
      <c r="BS833" t="s">
        <v>15664</v>
      </c>
      <c r="BT833" t="str">
        <f>HYPERLINK("https%3A%2F%2Fwww.webofscience.com%2Fwos%2Fwoscc%2Ffull-record%2FWOS:000396051700013","View Full Record in Web of Science")</f>
        <v>View Full Record in Web of Science</v>
      </c>
    </row>
    <row r="834" spans="1:72" x14ac:dyDescent="0.15">
      <c r="A834" t="s">
        <v>72</v>
      </c>
      <c r="B834" t="s">
        <v>15665</v>
      </c>
      <c r="C834" t="s">
        <v>74</v>
      </c>
      <c r="D834" t="s">
        <v>74</v>
      </c>
      <c r="E834" t="s">
        <v>74</v>
      </c>
      <c r="F834" t="s">
        <v>15666</v>
      </c>
      <c r="G834" t="s">
        <v>74</v>
      </c>
      <c r="H834" t="s">
        <v>74</v>
      </c>
      <c r="I834" t="s">
        <v>15667</v>
      </c>
      <c r="J834" t="s">
        <v>1599</v>
      </c>
      <c r="K834" t="s">
        <v>74</v>
      </c>
      <c r="L834" t="s">
        <v>74</v>
      </c>
      <c r="M834" t="s">
        <v>78</v>
      </c>
      <c r="N834" t="s">
        <v>79</v>
      </c>
      <c r="O834" t="s">
        <v>74</v>
      </c>
      <c r="P834" t="s">
        <v>74</v>
      </c>
      <c r="Q834" t="s">
        <v>74</v>
      </c>
      <c r="R834" t="s">
        <v>74</v>
      </c>
      <c r="S834" t="s">
        <v>74</v>
      </c>
      <c r="T834" t="s">
        <v>74</v>
      </c>
      <c r="U834" t="s">
        <v>15668</v>
      </c>
      <c r="V834" t="s">
        <v>15669</v>
      </c>
      <c r="W834" t="s">
        <v>15670</v>
      </c>
      <c r="X834" t="s">
        <v>15671</v>
      </c>
      <c r="Y834" t="s">
        <v>15672</v>
      </c>
      <c r="Z834" t="s">
        <v>15673</v>
      </c>
      <c r="AA834" t="s">
        <v>15674</v>
      </c>
      <c r="AB834" t="s">
        <v>15675</v>
      </c>
      <c r="AC834" t="s">
        <v>15676</v>
      </c>
      <c r="AD834" t="s">
        <v>15677</v>
      </c>
      <c r="AE834" t="s">
        <v>15678</v>
      </c>
      <c r="AF834" t="s">
        <v>74</v>
      </c>
      <c r="AG834">
        <v>41</v>
      </c>
      <c r="AH834">
        <v>75</v>
      </c>
      <c r="AI834">
        <v>81</v>
      </c>
      <c r="AJ834">
        <v>1</v>
      </c>
      <c r="AK834">
        <v>37</v>
      </c>
      <c r="AL834" t="s">
        <v>1611</v>
      </c>
      <c r="AM834" t="s">
        <v>403</v>
      </c>
      <c r="AN834" t="s">
        <v>1612</v>
      </c>
      <c r="AO834" t="s">
        <v>1613</v>
      </c>
      <c r="AP834" t="s">
        <v>74</v>
      </c>
      <c r="AQ834" t="s">
        <v>74</v>
      </c>
      <c r="AR834" t="s">
        <v>1614</v>
      </c>
      <c r="AS834" t="s">
        <v>1615</v>
      </c>
      <c r="AT834" t="s">
        <v>15644</v>
      </c>
      <c r="AU834">
        <v>2017</v>
      </c>
      <c r="AV834">
        <v>8</v>
      </c>
      <c r="AW834" t="s">
        <v>74</v>
      </c>
      <c r="AX834" t="s">
        <v>74</v>
      </c>
      <c r="AY834" t="s">
        <v>74</v>
      </c>
      <c r="AZ834" t="s">
        <v>74</v>
      </c>
      <c r="BA834" t="s">
        <v>74</v>
      </c>
      <c r="BB834" t="s">
        <v>74</v>
      </c>
      <c r="BC834" t="s">
        <v>74</v>
      </c>
      <c r="BD834">
        <v>14507</v>
      </c>
      <c r="BE834" t="s">
        <v>15679</v>
      </c>
      <c r="BF834" t="str">
        <f>HYPERLINK("http://dx.doi.org/10.1038/ncomms14507","http://dx.doi.org/10.1038/ncomms14507")</f>
        <v>http://dx.doi.org/10.1038/ncomms14507</v>
      </c>
      <c r="BG834" t="s">
        <v>74</v>
      </c>
      <c r="BH834" t="s">
        <v>74</v>
      </c>
      <c r="BI834">
        <v>8</v>
      </c>
      <c r="BJ834" t="s">
        <v>1617</v>
      </c>
      <c r="BK834" t="s">
        <v>103</v>
      </c>
      <c r="BL834" t="s">
        <v>1618</v>
      </c>
      <c r="BM834" t="s">
        <v>15680</v>
      </c>
      <c r="BN834">
        <v>28211473</v>
      </c>
      <c r="BO834" t="s">
        <v>1224</v>
      </c>
      <c r="BP834" t="s">
        <v>74</v>
      </c>
      <c r="BQ834" t="s">
        <v>74</v>
      </c>
      <c r="BR834" t="s">
        <v>106</v>
      </c>
      <c r="BS834" t="s">
        <v>15681</v>
      </c>
      <c r="BT834" t="str">
        <f>HYPERLINK("https%3A%2F%2Fwww.webofscience.com%2Fwos%2Fwoscc%2Ffull-record%2FWOS:000394222900001","View Full Record in Web of Science")</f>
        <v>View Full Record in Web of Science</v>
      </c>
    </row>
    <row r="835" spans="1:72" x14ac:dyDescent="0.15">
      <c r="A835" t="s">
        <v>72</v>
      </c>
      <c r="B835" t="s">
        <v>15682</v>
      </c>
      <c r="C835" t="s">
        <v>74</v>
      </c>
      <c r="D835" t="s">
        <v>74</v>
      </c>
      <c r="E835" t="s">
        <v>74</v>
      </c>
      <c r="F835" t="s">
        <v>15683</v>
      </c>
      <c r="G835" t="s">
        <v>74</v>
      </c>
      <c r="H835" t="s">
        <v>74</v>
      </c>
      <c r="I835" t="s">
        <v>15684</v>
      </c>
      <c r="J835" t="s">
        <v>15685</v>
      </c>
      <c r="K835" t="s">
        <v>74</v>
      </c>
      <c r="L835" t="s">
        <v>74</v>
      </c>
      <c r="M835" t="s">
        <v>78</v>
      </c>
      <c r="N835" t="s">
        <v>79</v>
      </c>
      <c r="O835" t="s">
        <v>74</v>
      </c>
      <c r="P835" t="s">
        <v>74</v>
      </c>
      <c r="Q835" t="s">
        <v>74</v>
      </c>
      <c r="R835" t="s">
        <v>74</v>
      </c>
      <c r="S835" t="s">
        <v>74</v>
      </c>
      <c r="T835" t="s">
        <v>15686</v>
      </c>
      <c r="U835" t="s">
        <v>15687</v>
      </c>
      <c r="V835" t="s">
        <v>15688</v>
      </c>
      <c r="W835" t="s">
        <v>15689</v>
      </c>
      <c r="X835" t="s">
        <v>15690</v>
      </c>
      <c r="Y835" t="s">
        <v>15691</v>
      </c>
      <c r="Z835" t="s">
        <v>15692</v>
      </c>
      <c r="AA835" t="s">
        <v>15693</v>
      </c>
      <c r="AB835" t="s">
        <v>15694</v>
      </c>
      <c r="AC835" t="s">
        <v>15695</v>
      </c>
      <c r="AD835" t="s">
        <v>15696</v>
      </c>
      <c r="AE835" t="s">
        <v>15697</v>
      </c>
      <c r="AF835" t="s">
        <v>74</v>
      </c>
      <c r="AG835">
        <v>90</v>
      </c>
      <c r="AH835">
        <v>15</v>
      </c>
      <c r="AI835">
        <v>17</v>
      </c>
      <c r="AJ835">
        <v>0</v>
      </c>
      <c r="AK835">
        <v>8</v>
      </c>
      <c r="AL835" t="s">
        <v>15698</v>
      </c>
      <c r="AM835" t="s">
        <v>403</v>
      </c>
      <c r="AN835" t="s">
        <v>15699</v>
      </c>
      <c r="AO835" t="s">
        <v>15700</v>
      </c>
      <c r="AP835" t="s">
        <v>74</v>
      </c>
      <c r="AQ835" t="s">
        <v>74</v>
      </c>
      <c r="AR835" t="s">
        <v>15685</v>
      </c>
      <c r="AS835" t="s">
        <v>15701</v>
      </c>
      <c r="AT835" t="s">
        <v>15702</v>
      </c>
      <c r="AU835">
        <v>2017</v>
      </c>
      <c r="AV835">
        <v>5</v>
      </c>
      <c r="AW835" t="s">
        <v>74</v>
      </c>
      <c r="AX835" t="s">
        <v>74</v>
      </c>
      <c r="AY835" t="s">
        <v>74</v>
      </c>
      <c r="AZ835" t="s">
        <v>74</v>
      </c>
      <c r="BA835" t="s">
        <v>74</v>
      </c>
      <c r="BB835" t="s">
        <v>74</v>
      </c>
      <c r="BC835" t="s">
        <v>74</v>
      </c>
      <c r="BD835" t="s">
        <v>15703</v>
      </c>
      <c r="BE835" t="s">
        <v>15704</v>
      </c>
      <c r="BF835" t="str">
        <f>HYPERLINK("http://dx.doi.org/10.7717/peerj.2985","http://dx.doi.org/10.7717/peerj.2985")</f>
        <v>http://dx.doi.org/10.7717/peerj.2985</v>
      </c>
      <c r="BG835" t="s">
        <v>74</v>
      </c>
      <c r="BH835" t="s">
        <v>74</v>
      </c>
      <c r="BI835">
        <v>29</v>
      </c>
      <c r="BJ835" t="s">
        <v>1617</v>
      </c>
      <c r="BK835" t="s">
        <v>103</v>
      </c>
      <c r="BL835" t="s">
        <v>1618</v>
      </c>
      <c r="BM835" t="s">
        <v>15705</v>
      </c>
      <c r="BN835">
        <v>28224051</v>
      </c>
      <c r="BO835" t="s">
        <v>621</v>
      </c>
      <c r="BP835" t="s">
        <v>74</v>
      </c>
      <c r="BQ835" t="s">
        <v>74</v>
      </c>
      <c r="BR835" t="s">
        <v>106</v>
      </c>
      <c r="BS835" t="s">
        <v>15706</v>
      </c>
      <c r="BT835" t="str">
        <f>HYPERLINK("https%3A%2F%2Fwww.webofscience.com%2Fwos%2Fwoscc%2Ffull-record%2FWOS:000396899700002","View Full Record in Web of Science")</f>
        <v>View Full Record in Web of Science</v>
      </c>
    </row>
    <row r="836" spans="1:72" x14ac:dyDescent="0.15">
      <c r="A836" t="s">
        <v>72</v>
      </c>
      <c r="B836" t="s">
        <v>15707</v>
      </c>
      <c r="C836" t="s">
        <v>74</v>
      </c>
      <c r="D836" t="s">
        <v>74</v>
      </c>
      <c r="E836" t="s">
        <v>74</v>
      </c>
      <c r="F836" t="s">
        <v>15708</v>
      </c>
      <c r="G836" t="s">
        <v>74</v>
      </c>
      <c r="H836" t="s">
        <v>74</v>
      </c>
      <c r="I836" t="s">
        <v>15709</v>
      </c>
      <c r="J836" t="s">
        <v>3684</v>
      </c>
      <c r="K836" t="s">
        <v>74</v>
      </c>
      <c r="L836" t="s">
        <v>74</v>
      </c>
      <c r="M836" t="s">
        <v>78</v>
      </c>
      <c r="N836" t="s">
        <v>79</v>
      </c>
      <c r="O836" t="s">
        <v>74</v>
      </c>
      <c r="P836" t="s">
        <v>74</v>
      </c>
      <c r="Q836" t="s">
        <v>74</v>
      </c>
      <c r="R836" t="s">
        <v>74</v>
      </c>
      <c r="S836" t="s">
        <v>74</v>
      </c>
      <c r="T836" t="s">
        <v>74</v>
      </c>
      <c r="U836" t="s">
        <v>15710</v>
      </c>
      <c r="V836" t="s">
        <v>15711</v>
      </c>
      <c r="W836" t="s">
        <v>15712</v>
      </c>
      <c r="X836" t="s">
        <v>15713</v>
      </c>
      <c r="Y836" t="s">
        <v>15714</v>
      </c>
      <c r="Z836" t="s">
        <v>15715</v>
      </c>
      <c r="AA836" t="s">
        <v>15716</v>
      </c>
      <c r="AB836" t="s">
        <v>15717</v>
      </c>
      <c r="AC836" t="s">
        <v>15718</v>
      </c>
      <c r="AD836" t="s">
        <v>15719</v>
      </c>
      <c r="AE836" t="s">
        <v>15720</v>
      </c>
      <c r="AF836" t="s">
        <v>74</v>
      </c>
      <c r="AG836">
        <v>43</v>
      </c>
      <c r="AH836">
        <v>68</v>
      </c>
      <c r="AI836">
        <v>73</v>
      </c>
      <c r="AJ836">
        <v>0</v>
      </c>
      <c r="AK836">
        <v>4</v>
      </c>
      <c r="AL836" t="s">
        <v>222</v>
      </c>
      <c r="AM836" t="s">
        <v>223</v>
      </c>
      <c r="AN836" t="s">
        <v>224</v>
      </c>
      <c r="AO836" t="s">
        <v>3696</v>
      </c>
      <c r="AP836" t="s">
        <v>3697</v>
      </c>
      <c r="AQ836" t="s">
        <v>74</v>
      </c>
      <c r="AR836" t="s">
        <v>3698</v>
      </c>
      <c r="AS836" t="s">
        <v>3699</v>
      </c>
      <c r="AT836" t="s">
        <v>15702</v>
      </c>
      <c r="AU836">
        <v>2017</v>
      </c>
      <c r="AV836">
        <v>44</v>
      </c>
      <c r="AW836">
        <v>3</v>
      </c>
      <c r="AX836" t="s">
        <v>74</v>
      </c>
      <c r="AY836" t="s">
        <v>74</v>
      </c>
      <c r="AZ836" t="s">
        <v>74</v>
      </c>
      <c r="BA836" t="s">
        <v>74</v>
      </c>
      <c r="BB836">
        <v>1210</v>
      </c>
      <c r="BC836">
        <v>1218</v>
      </c>
      <c r="BD836" t="s">
        <v>74</v>
      </c>
      <c r="BE836" t="s">
        <v>15721</v>
      </c>
      <c r="BF836" t="str">
        <f>HYPERLINK("http://dx.doi.org/10.1002/2016GL071807","http://dx.doi.org/10.1002/2016GL071807")</f>
        <v>http://dx.doi.org/10.1002/2016GL071807</v>
      </c>
      <c r="BG836" t="s">
        <v>74</v>
      </c>
      <c r="BH836" t="s">
        <v>74</v>
      </c>
      <c r="BI836">
        <v>9</v>
      </c>
      <c r="BJ836" t="s">
        <v>437</v>
      </c>
      <c r="BK836" t="s">
        <v>103</v>
      </c>
      <c r="BL836" t="s">
        <v>438</v>
      </c>
      <c r="BM836" t="s">
        <v>15722</v>
      </c>
      <c r="BN836" t="s">
        <v>74</v>
      </c>
      <c r="BO836" t="s">
        <v>1100</v>
      </c>
      <c r="BP836" t="s">
        <v>74</v>
      </c>
      <c r="BQ836" t="s">
        <v>74</v>
      </c>
      <c r="BR836" t="s">
        <v>106</v>
      </c>
      <c r="BS836" t="s">
        <v>15723</v>
      </c>
      <c r="BT836" t="str">
        <f>HYPERLINK("https%3A%2F%2Fwww.webofscience.com%2Fwos%2Fwoscc%2Ffull-record%2FWOS:000396115000003","View Full Record in Web of Science")</f>
        <v>View Full Record in Web of Science</v>
      </c>
    </row>
    <row r="837" spans="1:72" x14ac:dyDescent="0.15">
      <c r="A837" t="s">
        <v>72</v>
      </c>
      <c r="B837" t="s">
        <v>15724</v>
      </c>
      <c r="C837" t="s">
        <v>74</v>
      </c>
      <c r="D837" t="s">
        <v>74</v>
      </c>
      <c r="E837" t="s">
        <v>74</v>
      </c>
      <c r="F837" t="s">
        <v>15725</v>
      </c>
      <c r="G837" t="s">
        <v>74</v>
      </c>
      <c r="H837" t="s">
        <v>74</v>
      </c>
      <c r="I837" t="s">
        <v>15726</v>
      </c>
      <c r="J837" t="s">
        <v>1322</v>
      </c>
      <c r="K837" t="s">
        <v>74</v>
      </c>
      <c r="L837" t="s">
        <v>74</v>
      </c>
      <c r="M837" t="s">
        <v>78</v>
      </c>
      <c r="N837" t="s">
        <v>79</v>
      </c>
      <c r="O837" t="s">
        <v>74</v>
      </c>
      <c r="P837" t="s">
        <v>74</v>
      </c>
      <c r="Q837" t="s">
        <v>74</v>
      </c>
      <c r="R837" t="s">
        <v>74</v>
      </c>
      <c r="S837" t="s">
        <v>74</v>
      </c>
      <c r="T837" t="s">
        <v>15727</v>
      </c>
      <c r="U837" t="s">
        <v>15728</v>
      </c>
      <c r="V837" t="s">
        <v>15729</v>
      </c>
      <c r="W837" t="s">
        <v>15730</v>
      </c>
      <c r="X837" t="s">
        <v>15731</v>
      </c>
      <c r="Y837" t="s">
        <v>15732</v>
      </c>
      <c r="Z837" t="s">
        <v>15733</v>
      </c>
      <c r="AA837" t="s">
        <v>15734</v>
      </c>
      <c r="AB837" t="s">
        <v>15735</v>
      </c>
      <c r="AC837" t="s">
        <v>15736</v>
      </c>
      <c r="AD837" t="s">
        <v>15737</v>
      </c>
      <c r="AE837" t="s">
        <v>15738</v>
      </c>
      <c r="AF837" t="s">
        <v>74</v>
      </c>
      <c r="AG837">
        <v>109</v>
      </c>
      <c r="AH837">
        <v>25</v>
      </c>
      <c r="AI837">
        <v>27</v>
      </c>
      <c r="AJ837">
        <v>2</v>
      </c>
      <c r="AK837">
        <v>14</v>
      </c>
      <c r="AL837" t="s">
        <v>656</v>
      </c>
      <c r="AM837" t="s">
        <v>93</v>
      </c>
      <c r="AN837" t="s">
        <v>657</v>
      </c>
      <c r="AO837" t="s">
        <v>1334</v>
      </c>
      <c r="AP837" t="s">
        <v>74</v>
      </c>
      <c r="AQ837" t="s">
        <v>74</v>
      </c>
      <c r="AR837" t="s">
        <v>1335</v>
      </c>
      <c r="AS837" t="s">
        <v>1336</v>
      </c>
      <c r="AT837" t="s">
        <v>15739</v>
      </c>
      <c r="AU837">
        <v>2017</v>
      </c>
      <c r="AV837">
        <v>158</v>
      </c>
      <c r="AW837" t="s">
        <v>74</v>
      </c>
      <c r="AX837" t="s">
        <v>74</v>
      </c>
      <c r="AY837" t="s">
        <v>74</v>
      </c>
      <c r="AZ837" t="s">
        <v>74</v>
      </c>
      <c r="BA837" t="s">
        <v>74</v>
      </c>
      <c r="BB837">
        <v>1</v>
      </c>
      <c r="BC837">
        <v>14</v>
      </c>
      <c r="BD837" t="s">
        <v>74</v>
      </c>
      <c r="BE837" t="s">
        <v>15740</v>
      </c>
      <c r="BF837" t="str">
        <f>HYPERLINK("http://dx.doi.org/10.1016/j.quascirev.2016.12.020","http://dx.doi.org/10.1016/j.quascirev.2016.12.020")</f>
        <v>http://dx.doi.org/10.1016/j.quascirev.2016.12.020</v>
      </c>
      <c r="BG837" t="s">
        <v>74</v>
      </c>
      <c r="BH837" t="s">
        <v>74</v>
      </c>
      <c r="BI837">
        <v>14</v>
      </c>
      <c r="BJ837" t="s">
        <v>1338</v>
      </c>
      <c r="BK837" t="s">
        <v>103</v>
      </c>
      <c r="BL837" t="s">
        <v>1339</v>
      </c>
      <c r="BM837" t="s">
        <v>15741</v>
      </c>
      <c r="BN837" t="s">
        <v>74</v>
      </c>
      <c r="BO837" t="s">
        <v>74</v>
      </c>
      <c r="BP837" t="s">
        <v>74</v>
      </c>
      <c r="BQ837" t="s">
        <v>74</v>
      </c>
      <c r="BR837" t="s">
        <v>106</v>
      </c>
      <c r="BS837" t="s">
        <v>15742</v>
      </c>
      <c r="BT837" t="str">
        <f>HYPERLINK("https%3A%2F%2Fwww.webofscience.com%2Fwos%2Fwoscc%2Ffull-record%2FWOS:000394485500001","View Full Record in Web of Science")</f>
        <v>View Full Record in Web of Science</v>
      </c>
    </row>
    <row r="838" spans="1:72" x14ac:dyDescent="0.15">
      <c r="A838" t="s">
        <v>72</v>
      </c>
      <c r="B838" t="s">
        <v>15743</v>
      </c>
      <c r="C838" t="s">
        <v>74</v>
      </c>
      <c r="D838" t="s">
        <v>74</v>
      </c>
      <c r="E838" t="s">
        <v>74</v>
      </c>
      <c r="F838" t="s">
        <v>15744</v>
      </c>
      <c r="G838" t="s">
        <v>74</v>
      </c>
      <c r="H838" t="s">
        <v>74</v>
      </c>
      <c r="I838" t="s">
        <v>15745</v>
      </c>
      <c r="J838" t="s">
        <v>4545</v>
      </c>
      <c r="K838" t="s">
        <v>74</v>
      </c>
      <c r="L838" t="s">
        <v>74</v>
      </c>
      <c r="M838" t="s">
        <v>78</v>
      </c>
      <c r="N838" t="s">
        <v>79</v>
      </c>
      <c r="O838" t="s">
        <v>74</v>
      </c>
      <c r="P838" t="s">
        <v>74</v>
      </c>
      <c r="Q838" t="s">
        <v>74</v>
      </c>
      <c r="R838" t="s">
        <v>74</v>
      </c>
      <c r="S838" t="s">
        <v>74</v>
      </c>
      <c r="T838" t="s">
        <v>74</v>
      </c>
      <c r="U838" t="s">
        <v>15746</v>
      </c>
      <c r="V838" t="s">
        <v>15747</v>
      </c>
      <c r="W838" t="s">
        <v>15748</v>
      </c>
      <c r="X838" t="s">
        <v>15749</v>
      </c>
      <c r="Y838" t="s">
        <v>15750</v>
      </c>
      <c r="Z838" t="s">
        <v>15751</v>
      </c>
      <c r="AA838" t="s">
        <v>74</v>
      </c>
      <c r="AB838" t="s">
        <v>15752</v>
      </c>
      <c r="AC838" t="s">
        <v>15753</v>
      </c>
      <c r="AD838" t="s">
        <v>15754</v>
      </c>
      <c r="AE838" t="s">
        <v>15755</v>
      </c>
      <c r="AF838" t="s">
        <v>74</v>
      </c>
      <c r="AG838">
        <v>65</v>
      </c>
      <c r="AH838">
        <v>13</v>
      </c>
      <c r="AI838">
        <v>13</v>
      </c>
      <c r="AJ838">
        <v>1</v>
      </c>
      <c r="AK838">
        <v>26</v>
      </c>
      <c r="AL838" t="s">
        <v>3534</v>
      </c>
      <c r="AM838" t="s">
        <v>3535</v>
      </c>
      <c r="AN838" t="s">
        <v>3536</v>
      </c>
      <c r="AO838" t="s">
        <v>4557</v>
      </c>
      <c r="AP838" t="s">
        <v>4558</v>
      </c>
      <c r="AQ838" t="s">
        <v>74</v>
      </c>
      <c r="AR838" t="s">
        <v>4559</v>
      </c>
      <c r="AS838" t="s">
        <v>4560</v>
      </c>
      <c r="AT838" t="s">
        <v>15739</v>
      </c>
      <c r="AU838">
        <v>2017</v>
      </c>
      <c r="AV838">
        <v>9</v>
      </c>
      <c r="AW838">
        <v>1</v>
      </c>
      <c r="AX838" t="s">
        <v>74</v>
      </c>
      <c r="AY838" t="s">
        <v>74</v>
      </c>
      <c r="AZ838" t="s">
        <v>74</v>
      </c>
      <c r="BA838" t="s">
        <v>74</v>
      </c>
      <c r="BB838">
        <v>115</v>
      </c>
      <c r="BC838">
        <v>131</v>
      </c>
      <c r="BD838" t="s">
        <v>74</v>
      </c>
      <c r="BE838" t="s">
        <v>15756</v>
      </c>
      <c r="BF838" t="str">
        <f>HYPERLINK("http://dx.doi.org/10.5194/essd-9-115-2017","http://dx.doi.org/10.5194/essd-9-115-2017")</f>
        <v>http://dx.doi.org/10.5194/essd-9-115-2017</v>
      </c>
      <c r="BG838" t="s">
        <v>74</v>
      </c>
      <c r="BH838" t="s">
        <v>74</v>
      </c>
      <c r="BI838">
        <v>17</v>
      </c>
      <c r="BJ838" t="s">
        <v>3820</v>
      </c>
      <c r="BK838" t="s">
        <v>103</v>
      </c>
      <c r="BL838" t="s">
        <v>3821</v>
      </c>
      <c r="BM838" t="s">
        <v>15757</v>
      </c>
      <c r="BN838" t="s">
        <v>74</v>
      </c>
      <c r="BO838" t="s">
        <v>7702</v>
      </c>
      <c r="BP838" t="s">
        <v>74</v>
      </c>
      <c r="BQ838" t="s">
        <v>74</v>
      </c>
      <c r="BR838" t="s">
        <v>106</v>
      </c>
      <c r="BS838" t="s">
        <v>15758</v>
      </c>
      <c r="BT838" t="str">
        <f>HYPERLINK("https%3A%2F%2Fwww.webofscience.com%2Fwos%2Fwoscc%2Ffull-record%2FWOS:000395159800001","View Full Record in Web of Science")</f>
        <v>View Full Record in Web of Science</v>
      </c>
    </row>
    <row r="839" spans="1:72" x14ac:dyDescent="0.15">
      <c r="A839" t="s">
        <v>72</v>
      </c>
      <c r="B839" t="s">
        <v>15759</v>
      </c>
      <c r="C839" t="s">
        <v>74</v>
      </c>
      <c r="D839" t="s">
        <v>74</v>
      </c>
      <c r="E839" t="s">
        <v>74</v>
      </c>
      <c r="F839" t="s">
        <v>15760</v>
      </c>
      <c r="G839" t="s">
        <v>74</v>
      </c>
      <c r="H839" t="s">
        <v>74</v>
      </c>
      <c r="I839" t="s">
        <v>15761</v>
      </c>
      <c r="J839" t="s">
        <v>1299</v>
      </c>
      <c r="K839" t="s">
        <v>74</v>
      </c>
      <c r="L839" t="s">
        <v>74</v>
      </c>
      <c r="M839" t="s">
        <v>78</v>
      </c>
      <c r="N839" t="s">
        <v>79</v>
      </c>
      <c r="O839" t="s">
        <v>74</v>
      </c>
      <c r="P839" t="s">
        <v>74</v>
      </c>
      <c r="Q839" t="s">
        <v>74</v>
      </c>
      <c r="R839" t="s">
        <v>74</v>
      </c>
      <c r="S839" t="s">
        <v>74</v>
      </c>
      <c r="T839" t="s">
        <v>15762</v>
      </c>
      <c r="U839" t="s">
        <v>15763</v>
      </c>
      <c r="V839" t="s">
        <v>15764</v>
      </c>
      <c r="W839" t="s">
        <v>15765</v>
      </c>
      <c r="X839" t="s">
        <v>15766</v>
      </c>
      <c r="Y839" t="s">
        <v>15767</v>
      </c>
      <c r="Z839" t="s">
        <v>15768</v>
      </c>
      <c r="AA839" t="s">
        <v>74</v>
      </c>
      <c r="AB839" t="s">
        <v>15769</v>
      </c>
      <c r="AC839" t="s">
        <v>15770</v>
      </c>
      <c r="AD839" t="s">
        <v>15771</v>
      </c>
      <c r="AE839" t="s">
        <v>15772</v>
      </c>
      <c r="AF839" t="s">
        <v>74</v>
      </c>
      <c r="AG839">
        <v>61</v>
      </c>
      <c r="AH839">
        <v>14</v>
      </c>
      <c r="AI839">
        <v>16</v>
      </c>
      <c r="AJ839">
        <v>0</v>
      </c>
      <c r="AK839">
        <v>17</v>
      </c>
      <c r="AL839" t="s">
        <v>656</v>
      </c>
      <c r="AM839" t="s">
        <v>93</v>
      </c>
      <c r="AN839" t="s">
        <v>657</v>
      </c>
      <c r="AO839" t="s">
        <v>1312</v>
      </c>
      <c r="AP839" t="s">
        <v>1313</v>
      </c>
      <c r="AQ839" t="s">
        <v>74</v>
      </c>
      <c r="AR839" t="s">
        <v>1314</v>
      </c>
      <c r="AS839" t="s">
        <v>1315</v>
      </c>
      <c r="AT839" t="s">
        <v>15739</v>
      </c>
      <c r="AU839">
        <v>2017</v>
      </c>
      <c r="AV839">
        <v>199</v>
      </c>
      <c r="AW839" t="s">
        <v>74</v>
      </c>
      <c r="AX839" t="s">
        <v>74</v>
      </c>
      <c r="AY839" t="s">
        <v>74</v>
      </c>
      <c r="AZ839" t="s">
        <v>74</v>
      </c>
      <c r="BA839" t="s">
        <v>74</v>
      </c>
      <c r="BB839">
        <v>185</v>
      </c>
      <c r="BC839">
        <v>195</v>
      </c>
      <c r="BD839" t="s">
        <v>74</v>
      </c>
      <c r="BE839" t="s">
        <v>15773</v>
      </c>
      <c r="BF839" t="str">
        <f>HYPERLINK("http://dx.doi.org/10.1016/j.gca.2016.11.034","http://dx.doi.org/10.1016/j.gca.2016.11.034")</f>
        <v>http://dx.doi.org/10.1016/j.gca.2016.11.034</v>
      </c>
      <c r="BG839" t="s">
        <v>74</v>
      </c>
      <c r="BH839" t="s">
        <v>74</v>
      </c>
      <c r="BI839">
        <v>11</v>
      </c>
      <c r="BJ839" t="s">
        <v>176</v>
      </c>
      <c r="BK839" t="s">
        <v>103</v>
      </c>
      <c r="BL839" t="s">
        <v>176</v>
      </c>
      <c r="BM839" t="s">
        <v>15774</v>
      </c>
      <c r="BN839" t="s">
        <v>74</v>
      </c>
      <c r="BO839" t="s">
        <v>384</v>
      </c>
      <c r="BP839" t="s">
        <v>74</v>
      </c>
      <c r="BQ839" t="s">
        <v>74</v>
      </c>
      <c r="BR839" t="s">
        <v>106</v>
      </c>
      <c r="BS839" t="s">
        <v>15775</v>
      </c>
      <c r="BT839" t="str">
        <f>HYPERLINK("https%3A%2F%2Fwww.webofscience.com%2Fwos%2Fwoscc%2Ffull-record%2FWOS:000393125500012","View Full Record in Web of Science")</f>
        <v>View Full Record in Web of Science</v>
      </c>
    </row>
    <row r="840" spans="1:72" x14ac:dyDescent="0.15">
      <c r="A840" t="s">
        <v>72</v>
      </c>
      <c r="B840" t="s">
        <v>15776</v>
      </c>
      <c r="C840" t="s">
        <v>74</v>
      </c>
      <c r="D840" t="s">
        <v>74</v>
      </c>
      <c r="E840" t="s">
        <v>74</v>
      </c>
      <c r="F840" t="s">
        <v>15777</v>
      </c>
      <c r="G840" t="s">
        <v>74</v>
      </c>
      <c r="H840" t="s">
        <v>74</v>
      </c>
      <c r="I840" t="s">
        <v>15778</v>
      </c>
      <c r="J840" t="s">
        <v>1599</v>
      </c>
      <c r="K840" t="s">
        <v>74</v>
      </c>
      <c r="L840" t="s">
        <v>74</v>
      </c>
      <c r="M840" t="s">
        <v>78</v>
      </c>
      <c r="N840" t="s">
        <v>79</v>
      </c>
      <c r="O840" t="s">
        <v>74</v>
      </c>
      <c r="P840" t="s">
        <v>74</v>
      </c>
      <c r="Q840" t="s">
        <v>74</v>
      </c>
      <c r="R840" t="s">
        <v>74</v>
      </c>
      <c r="S840" t="s">
        <v>74</v>
      </c>
      <c r="T840" t="s">
        <v>74</v>
      </c>
      <c r="U840" t="s">
        <v>15779</v>
      </c>
      <c r="V840" t="s">
        <v>15780</v>
      </c>
      <c r="W840" t="s">
        <v>15781</v>
      </c>
      <c r="X840" t="s">
        <v>15782</v>
      </c>
      <c r="Y840" t="s">
        <v>15783</v>
      </c>
      <c r="Z840" t="s">
        <v>258</v>
      </c>
      <c r="AA840" t="s">
        <v>15784</v>
      </c>
      <c r="AB840" t="s">
        <v>15785</v>
      </c>
      <c r="AC840" t="s">
        <v>15786</v>
      </c>
      <c r="AD840" t="s">
        <v>15787</v>
      </c>
      <c r="AE840" t="s">
        <v>15788</v>
      </c>
      <c r="AF840" t="s">
        <v>74</v>
      </c>
      <c r="AG840">
        <v>36</v>
      </c>
      <c r="AH840">
        <v>51</v>
      </c>
      <c r="AI840">
        <v>52</v>
      </c>
      <c r="AJ840">
        <v>1</v>
      </c>
      <c r="AK840">
        <v>31</v>
      </c>
      <c r="AL840" t="s">
        <v>1611</v>
      </c>
      <c r="AM840" t="s">
        <v>403</v>
      </c>
      <c r="AN840" t="s">
        <v>1612</v>
      </c>
      <c r="AO840" t="s">
        <v>1613</v>
      </c>
      <c r="AP840" t="s">
        <v>74</v>
      </c>
      <c r="AQ840" t="s">
        <v>74</v>
      </c>
      <c r="AR840" t="s">
        <v>1614</v>
      </c>
      <c r="AS840" t="s">
        <v>1615</v>
      </c>
      <c r="AT840" t="s">
        <v>15739</v>
      </c>
      <c r="AU840">
        <v>2017</v>
      </c>
      <c r="AV840">
        <v>8</v>
      </c>
      <c r="AW840" t="s">
        <v>74</v>
      </c>
      <c r="AX840" t="s">
        <v>74</v>
      </c>
      <c r="AY840" t="s">
        <v>74</v>
      </c>
      <c r="AZ840" t="s">
        <v>74</v>
      </c>
      <c r="BA840" t="s">
        <v>74</v>
      </c>
      <c r="BB840" t="s">
        <v>74</v>
      </c>
      <c r="BC840" t="s">
        <v>74</v>
      </c>
      <c r="BD840">
        <v>14499</v>
      </c>
      <c r="BE840" t="s">
        <v>15789</v>
      </c>
      <c r="BF840" t="str">
        <f>HYPERLINK("http://dx.doi.org/10.1038/ncomms14499","http://dx.doi.org/10.1038/ncomms14499")</f>
        <v>http://dx.doi.org/10.1038/ncomms14499</v>
      </c>
      <c r="BG840" t="s">
        <v>74</v>
      </c>
      <c r="BH840" t="s">
        <v>74</v>
      </c>
      <c r="BI840">
        <v>7</v>
      </c>
      <c r="BJ840" t="s">
        <v>1617</v>
      </c>
      <c r="BK840" t="s">
        <v>103</v>
      </c>
      <c r="BL840" t="s">
        <v>1618</v>
      </c>
      <c r="BM840" t="s">
        <v>15790</v>
      </c>
      <c r="BN840">
        <v>28198359</v>
      </c>
      <c r="BO840" t="s">
        <v>8026</v>
      </c>
      <c r="BP840" t="s">
        <v>74</v>
      </c>
      <c r="BQ840" t="s">
        <v>74</v>
      </c>
      <c r="BR840" t="s">
        <v>106</v>
      </c>
      <c r="BS840" t="s">
        <v>15791</v>
      </c>
      <c r="BT840" t="str">
        <f>HYPERLINK("https%3A%2F%2Fwww.webofscience.com%2Fwos%2Fwoscc%2Ffull-record%2FWOS:000394224300001","View Full Record in Web of Science")</f>
        <v>View Full Record in Web of Science</v>
      </c>
    </row>
    <row r="841" spans="1:72" x14ac:dyDescent="0.15">
      <c r="A841" t="s">
        <v>72</v>
      </c>
      <c r="B841" t="s">
        <v>15792</v>
      </c>
      <c r="C841" t="s">
        <v>74</v>
      </c>
      <c r="D841" t="s">
        <v>74</v>
      </c>
      <c r="E841" t="s">
        <v>74</v>
      </c>
      <c r="F841" t="s">
        <v>15793</v>
      </c>
      <c r="G841" t="s">
        <v>74</v>
      </c>
      <c r="H841" t="s">
        <v>74</v>
      </c>
      <c r="I841" t="s">
        <v>15794</v>
      </c>
      <c r="J841" t="s">
        <v>1322</v>
      </c>
      <c r="K841" t="s">
        <v>74</v>
      </c>
      <c r="L841" t="s">
        <v>74</v>
      </c>
      <c r="M841" t="s">
        <v>78</v>
      </c>
      <c r="N841" t="s">
        <v>79</v>
      </c>
      <c r="O841" t="s">
        <v>74</v>
      </c>
      <c r="P841" t="s">
        <v>74</v>
      </c>
      <c r="Q841" t="s">
        <v>74</v>
      </c>
      <c r="R841" t="s">
        <v>74</v>
      </c>
      <c r="S841" t="s">
        <v>74</v>
      </c>
      <c r="T841" t="s">
        <v>15795</v>
      </c>
      <c r="U841" t="s">
        <v>15796</v>
      </c>
      <c r="V841" t="s">
        <v>15797</v>
      </c>
      <c r="W841" t="s">
        <v>15798</v>
      </c>
      <c r="X841" t="s">
        <v>15799</v>
      </c>
      <c r="Y841" t="s">
        <v>15800</v>
      </c>
      <c r="Z841" t="s">
        <v>15801</v>
      </c>
      <c r="AA841" t="s">
        <v>15802</v>
      </c>
      <c r="AB841" t="s">
        <v>15803</v>
      </c>
      <c r="AC841" t="s">
        <v>15804</v>
      </c>
      <c r="AD841" t="s">
        <v>15805</v>
      </c>
      <c r="AE841" t="s">
        <v>15806</v>
      </c>
      <c r="AF841" t="s">
        <v>74</v>
      </c>
      <c r="AG841">
        <v>53</v>
      </c>
      <c r="AH841">
        <v>24</v>
      </c>
      <c r="AI841">
        <v>27</v>
      </c>
      <c r="AJ841">
        <v>0</v>
      </c>
      <c r="AK841">
        <v>13</v>
      </c>
      <c r="AL841" t="s">
        <v>656</v>
      </c>
      <c r="AM841" t="s">
        <v>93</v>
      </c>
      <c r="AN841" t="s">
        <v>657</v>
      </c>
      <c r="AO841" t="s">
        <v>1334</v>
      </c>
      <c r="AP841" t="s">
        <v>74</v>
      </c>
      <c r="AQ841" t="s">
        <v>74</v>
      </c>
      <c r="AR841" t="s">
        <v>1335</v>
      </c>
      <c r="AS841" t="s">
        <v>1336</v>
      </c>
      <c r="AT841" t="s">
        <v>15739</v>
      </c>
      <c r="AU841">
        <v>2017</v>
      </c>
      <c r="AV841">
        <v>158</v>
      </c>
      <c r="AW841" t="s">
        <v>74</v>
      </c>
      <c r="AX841" t="s">
        <v>74</v>
      </c>
      <c r="AY841" t="s">
        <v>74</v>
      </c>
      <c r="AZ841" t="s">
        <v>74</v>
      </c>
      <c r="BA841" t="s">
        <v>74</v>
      </c>
      <c r="BB841">
        <v>58</v>
      </c>
      <c r="BC841">
        <v>76</v>
      </c>
      <c r="BD841" t="s">
        <v>74</v>
      </c>
      <c r="BE841" t="s">
        <v>15807</v>
      </c>
      <c r="BF841" t="str">
        <f>HYPERLINK("http://dx.doi.org/10.1016/j.quascirev.2016.09.028","http://dx.doi.org/10.1016/j.quascirev.2016.09.028")</f>
        <v>http://dx.doi.org/10.1016/j.quascirev.2016.09.028</v>
      </c>
      <c r="BG841" t="s">
        <v>74</v>
      </c>
      <c r="BH841" t="s">
        <v>74</v>
      </c>
      <c r="BI841">
        <v>19</v>
      </c>
      <c r="BJ841" t="s">
        <v>1338</v>
      </c>
      <c r="BK841" t="s">
        <v>103</v>
      </c>
      <c r="BL841" t="s">
        <v>1339</v>
      </c>
      <c r="BM841" t="s">
        <v>15741</v>
      </c>
      <c r="BN841" t="s">
        <v>74</v>
      </c>
      <c r="BO841" t="s">
        <v>272</v>
      </c>
      <c r="BP841" t="s">
        <v>74</v>
      </c>
      <c r="BQ841" t="s">
        <v>74</v>
      </c>
      <c r="BR841" t="s">
        <v>106</v>
      </c>
      <c r="BS841" t="s">
        <v>15808</v>
      </c>
      <c r="BT841" t="str">
        <f>HYPERLINK("https%3A%2F%2Fwww.webofscience.com%2Fwos%2Fwoscc%2Ffull-record%2FWOS:000394485500005","View Full Record in Web of Science")</f>
        <v>View Full Record in Web of Science</v>
      </c>
    </row>
    <row r="842" spans="1:72" x14ac:dyDescent="0.15">
      <c r="A842" t="s">
        <v>72</v>
      </c>
      <c r="B842" t="s">
        <v>15809</v>
      </c>
      <c r="C842" t="s">
        <v>74</v>
      </c>
      <c r="D842" t="s">
        <v>74</v>
      </c>
      <c r="E842" t="s">
        <v>74</v>
      </c>
      <c r="F842" t="s">
        <v>15810</v>
      </c>
      <c r="G842" t="s">
        <v>74</v>
      </c>
      <c r="H842" t="s">
        <v>74</v>
      </c>
      <c r="I842" t="s">
        <v>15811</v>
      </c>
      <c r="J842" t="s">
        <v>3352</v>
      </c>
      <c r="K842" t="s">
        <v>74</v>
      </c>
      <c r="L842" t="s">
        <v>74</v>
      </c>
      <c r="M842" t="s">
        <v>78</v>
      </c>
      <c r="N842" t="s">
        <v>79</v>
      </c>
      <c r="O842" t="s">
        <v>74</v>
      </c>
      <c r="P842" t="s">
        <v>74</v>
      </c>
      <c r="Q842" t="s">
        <v>74</v>
      </c>
      <c r="R842" t="s">
        <v>74</v>
      </c>
      <c r="S842" t="s">
        <v>74</v>
      </c>
      <c r="T842" t="s">
        <v>15812</v>
      </c>
      <c r="U842" t="s">
        <v>15813</v>
      </c>
      <c r="V842" t="s">
        <v>15814</v>
      </c>
      <c r="W842" t="s">
        <v>15815</v>
      </c>
      <c r="X842" t="s">
        <v>15816</v>
      </c>
      <c r="Y842" t="s">
        <v>15817</v>
      </c>
      <c r="Z842" t="s">
        <v>13822</v>
      </c>
      <c r="AA842" t="s">
        <v>15818</v>
      </c>
      <c r="AB842" t="s">
        <v>15819</v>
      </c>
      <c r="AC842" t="s">
        <v>15820</v>
      </c>
      <c r="AD842" t="s">
        <v>15821</v>
      </c>
      <c r="AE842" t="s">
        <v>15822</v>
      </c>
      <c r="AF842" t="s">
        <v>74</v>
      </c>
      <c r="AG842">
        <v>106</v>
      </c>
      <c r="AH842">
        <v>196</v>
      </c>
      <c r="AI842">
        <v>209</v>
      </c>
      <c r="AJ842">
        <v>3</v>
      </c>
      <c r="AK842">
        <v>105</v>
      </c>
      <c r="AL842" t="s">
        <v>317</v>
      </c>
      <c r="AM842" t="s">
        <v>318</v>
      </c>
      <c r="AN842" t="s">
        <v>319</v>
      </c>
      <c r="AO842" t="s">
        <v>3365</v>
      </c>
      <c r="AP842" t="s">
        <v>3366</v>
      </c>
      <c r="AQ842" t="s">
        <v>74</v>
      </c>
      <c r="AR842" t="s">
        <v>3367</v>
      </c>
      <c r="AS842" t="s">
        <v>3368</v>
      </c>
      <c r="AT842" t="s">
        <v>15739</v>
      </c>
      <c r="AU842">
        <v>2017</v>
      </c>
      <c r="AV842">
        <v>580</v>
      </c>
      <c r="AW842" t="s">
        <v>74</v>
      </c>
      <c r="AX842" t="s">
        <v>74</v>
      </c>
      <c r="AY842" t="s">
        <v>74</v>
      </c>
      <c r="AZ842" t="s">
        <v>74</v>
      </c>
      <c r="BA842" t="s">
        <v>74</v>
      </c>
      <c r="BB842">
        <v>210</v>
      </c>
      <c r="BC842">
        <v>223</v>
      </c>
      <c r="BD842" t="s">
        <v>74</v>
      </c>
      <c r="BE842" t="s">
        <v>15823</v>
      </c>
      <c r="BF842" t="str">
        <f>HYPERLINK("http://dx.doi.org/10.1016/j.scitotenv.2016.12.030","http://dx.doi.org/10.1016/j.scitotenv.2016.12.030")</f>
        <v>http://dx.doi.org/10.1016/j.scitotenv.2016.12.030</v>
      </c>
      <c r="BG842" t="s">
        <v>74</v>
      </c>
      <c r="BH842" t="s">
        <v>74</v>
      </c>
      <c r="BI842">
        <v>14</v>
      </c>
      <c r="BJ842" t="s">
        <v>2189</v>
      </c>
      <c r="BK842" t="s">
        <v>103</v>
      </c>
      <c r="BL842" t="s">
        <v>993</v>
      </c>
      <c r="BM842" t="s">
        <v>15824</v>
      </c>
      <c r="BN842">
        <v>27979621</v>
      </c>
      <c r="BO842" t="s">
        <v>231</v>
      </c>
      <c r="BP842" t="s">
        <v>74</v>
      </c>
      <c r="BQ842" t="s">
        <v>74</v>
      </c>
      <c r="BR842" t="s">
        <v>106</v>
      </c>
      <c r="BS842" t="s">
        <v>15825</v>
      </c>
      <c r="BT842" t="str">
        <f>HYPERLINK("https%3A%2F%2Fwww.webofscience.com%2Fwos%2Fwoscc%2Ffull-record%2FWOS:000395353600022","View Full Record in Web of Science")</f>
        <v>View Full Record in Web of Science</v>
      </c>
    </row>
    <row r="843" spans="1:72" x14ac:dyDescent="0.15">
      <c r="A843" t="s">
        <v>72</v>
      </c>
      <c r="B843" t="s">
        <v>15826</v>
      </c>
      <c r="C843" t="s">
        <v>74</v>
      </c>
      <c r="D843" t="s">
        <v>74</v>
      </c>
      <c r="E843" t="s">
        <v>74</v>
      </c>
      <c r="F843" t="s">
        <v>15827</v>
      </c>
      <c r="G843" t="s">
        <v>74</v>
      </c>
      <c r="H843" t="s">
        <v>74</v>
      </c>
      <c r="I843" t="s">
        <v>15828</v>
      </c>
      <c r="J843" t="s">
        <v>1599</v>
      </c>
      <c r="K843" t="s">
        <v>74</v>
      </c>
      <c r="L843" t="s">
        <v>74</v>
      </c>
      <c r="M843" t="s">
        <v>78</v>
      </c>
      <c r="N843" t="s">
        <v>79</v>
      </c>
      <c r="O843" t="s">
        <v>74</v>
      </c>
      <c r="P843" t="s">
        <v>74</v>
      </c>
      <c r="Q843" t="s">
        <v>74</v>
      </c>
      <c r="R843" t="s">
        <v>74</v>
      </c>
      <c r="S843" t="s">
        <v>74</v>
      </c>
      <c r="T843" t="s">
        <v>74</v>
      </c>
      <c r="U843" t="s">
        <v>15829</v>
      </c>
      <c r="V843" t="s">
        <v>15830</v>
      </c>
      <c r="W843" t="s">
        <v>15831</v>
      </c>
      <c r="X843" t="s">
        <v>15832</v>
      </c>
      <c r="Y843" t="s">
        <v>15833</v>
      </c>
      <c r="Z843" t="s">
        <v>15834</v>
      </c>
      <c r="AA843" t="s">
        <v>15835</v>
      </c>
      <c r="AB843" t="s">
        <v>15836</v>
      </c>
      <c r="AC843" t="s">
        <v>15837</v>
      </c>
      <c r="AD843" t="s">
        <v>15837</v>
      </c>
      <c r="AE843" t="s">
        <v>15838</v>
      </c>
      <c r="AF843" t="s">
        <v>74</v>
      </c>
      <c r="AG843">
        <v>74</v>
      </c>
      <c r="AH843">
        <v>64</v>
      </c>
      <c r="AI843">
        <v>68</v>
      </c>
      <c r="AJ843">
        <v>0</v>
      </c>
      <c r="AK843">
        <v>41</v>
      </c>
      <c r="AL843" t="s">
        <v>3671</v>
      </c>
      <c r="AM843" t="s">
        <v>3672</v>
      </c>
      <c r="AN843" t="s">
        <v>3673</v>
      </c>
      <c r="AO843" t="s">
        <v>74</v>
      </c>
      <c r="AP843" t="s">
        <v>1613</v>
      </c>
      <c r="AQ843" t="s">
        <v>74</v>
      </c>
      <c r="AR843" t="s">
        <v>1614</v>
      </c>
      <c r="AS843" t="s">
        <v>1615</v>
      </c>
      <c r="AT843" t="s">
        <v>15839</v>
      </c>
      <c r="AU843">
        <v>2017</v>
      </c>
      <c r="AV843">
        <v>8</v>
      </c>
      <c r="AW843" t="s">
        <v>74</v>
      </c>
      <c r="AX843" t="s">
        <v>74</v>
      </c>
      <c r="AY843" t="s">
        <v>74</v>
      </c>
      <c r="AZ843" t="s">
        <v>74</v>
      </c>
      <c r="BA843" t="s">
        <v>74</v>
      </c>
      <c r="BB843" t="s">
        <v>74</v>
      </c>
      <c r="BC843" t="s">
        <v>74</v>
      </c>
      <c r="BD843">
        <v>14202</v>
      </c>
      <c r="BE843" t="s">
        <v>15840</v>
      </c>
      <c r="BF843" t="str">
        <f>HYPERLINK("http://dx.doi.org/10.1038/ncomms14202","http://dx.doi.org/10.1038/ncomms14202")</f>
        <v>http://dx.doi.org/10.1038/ncomms14202</v>
      </c>
      <c r="BG843" t="s">
        <v>74</v>
      </c>
      <c r="BH843" t="s">
        <v>74</v>
      </c>
      <c r="BI843">
        <v>13</v>
      </c>
      <c r="BJ843" t="s">
        <v>1617</v>
      </c>
      <c r="BK843" t="s">
        <v>103</v>
      </c>
      <c r="BL843" t="s">
        <v>1618</v>
      </c>
      <c r="BM843" t="s">
        <v>15841</v>
      </c>
      <c r="BN843">
        <v>28195582</v>
      </c>
      <c r="BO843" t="s">
        <v>2009</v>
      </c>
      <c r="BP843" t="s">
        <v>74</v>
      </c>
      <c r="BQ843" t="s">
        <v>74</v>
      </c>
      <c r="BR843" t="s">
        <v>106</v>
      </c>
      <c r="BS843" t="s">
        <v>15842</v>
      </c>
      <c r="BT843" t="str">
        <f>HYPERLINK("https%3A%2F%2Fwww.webofscience.com%2Fwos%2Fwoscc%2Ffull-record%2FWOS:000393857300001","View Full Record in Web of Science")</f>
        <v>View Full Record in Web of Science</v>
      </c>
    </row>
    <row r="844" spans="1:72" x14ac:dyDescent="0.15">
      <c r="A844" t="s">
        <v>72</v>
      </c>
      <c r="B844" t="s">
        <v>15843</v>
      </c>
      <c r="C844" t="s">
        <v>74</v>
      </c>
      <c r="D844" t="s">
        <v>74</v>
      </c>
      <c r="E844" t="s">
        <v>74</v>
      </c>
      <c r="F844" t="s">
        <v>15844</v>
      </c>
      <c r="G844" t="s">
        <v>74</v>
      </c>
      <c r="H844" t="s">
        <v>74</v>
      </c>
      <c r="I844" t="s">
        <v>15845</v>
      </c>
      <c r="J844" t="s">
        <v>3522</v>
      </c>
      <c r="K844" t="s">
        <v>74</v>
      </c>
      <c r="L844" t="s">
        <v>74</v>
      </c>
      <c r="M844" t="s">
        <v>78</v>
      </c>
      <c r="N844" t="s">
        <v>518</v>
      </c>
      <c r="O844" t="s">
        <v>74</v>
      </c>
      <c r="P844" t="s">
        <v>74</v>
      </c>
      <c r="Q844" t="s">
        <v>74</v>
      </c>
      <c r="R844" t="s">
        <v>74</v>
      </c>
      <c r="S844" t="s">
        <v>74</v>
      </c>
      <c r="T844" t="s">
        <v>74</v>
      </c>
      <c r="U844" t="s">
        <v>15846</v>
      </c>
      <c r="V844" t="s">
        <v>15847</v>
      </c>
      <c r="W844" t="s">
        <v>15848</v>
      </c>
      <c r="X844" t="s">
        <v>15849</v>
      </c>
      <c r="Y844" t="s">
        <v>15850</v>
      </c>
      <c r="Z844" t="s">
        <v>15851</v>
      </c>
      <c r="AA844" t="s">
        <v>15852</v>
      </c>
      <c r="AB844" t="s">
        <v>15853</v>
      </c>
      <c r="AC844" t="s">
        <v>15854</v>
      </c>
      <c r="AD844" t="s">
        <v>15855</v>
      </c>
      <c r="AE844" t="s">
        <v>15856</v>
      </c>
      <c r="AF844" t="s">
        <v>74</v>
      </c>
      <c r="AG844">
        <v>262</v>
      </c>
      <c r="AH844">
        <v>245</v>
      </c>
      <c r="AI844">
        <v>255</v>
      </c>
      <c r="AJ844">
        <v>2</v>
      </c>
      <c r="AK844">
        <v>70</v>
      </c>
      <c r="AL844" t="s">
        <v>3534</v>
      </c>
      <c r="AM844" t="s">
        <v>3535</v>
      </c>
      <c r="AN844" t="s">
        <v>3536</v>
      </c>
      <c r="AO844" t="s">
        <v>3537</v>
      </c>
      <c r="AP844" t="s">
        <v>3538</v>
      </c>
      <c r="AQ844" t="s">
        <v>74</v>
      </c>
      <c r="AR844" t="s">
        <v>3539</v>
      </c>
      <c r="AS844" t="s">
        <v>3540</v>
      </c>
      <c r="AT844" t="s">
        <v>15857</v>
      </c>
      <c r="AU844">
        <v>2017</v>
      </c>
      <c r="AV844">
        <v>10</v>
      </c>
      <c r="AW844">
        <v>2</v>
      </c>
      <c r="AX844" t="s">
        <v>74</v>
      </c>
      <c r="AY844" t="s">
        <v>74</v>
      </c>
      <c r="AZ844" t="s">
        <v>74</v>
      </c>
      <c r="BA844" t="s">
        <v>74</v>
      </c>
      <c r="BB844">
        <v>639</v>
      </c>
      <c r="BC844">
        <v>671</v>
      </c>
      <c r="BD844" t="s">
        <v>74</v>
      </c>
      <c r="BE844" t="s">
        <v>15858</v>
      </c>
      <c r="BF844" t="str">
        <f>HYPERLINK("http://dx.doi.org/10.5194/gmd-10-639-2017","http://dx.doi.org/10.5194/gmd-10-639-2017")</f>
        <v>http://dx.doi.org/10.5194/gmd-10-639-2017</v>
      </c>
      <c r="BG844" t="s">
        <v>74</v>
      </c>
      <c r="BH844" t="s">
        <v>74</v>
      </c>
      <c r="BI844">
        <v>33</v>
      </c>
      <c r="BJ844" t="s">
        <v>437</v>
      </c>
      <c r="BK844" t="s">
        <v>103</v>
      </c>
      <c r="BL844" t="s">
        <v>438</v>
      </c>
      <c r="BM844" t="s">
        <v>15859</v>
      </c>
      <c r="BN844" t="s">
        <v>74</v>
      </c>
      <c r="BO844" t="s">
        <v>7360</v>
      </c>
      <c r="BP844" t="s">
        <v>2243</v>
      </c>
      <c r="BQ844" t="s">
        <v>2244</v>
      </c>
      <c r="BR844" t="s">
        <v>106</v>
      </c>
      <c r="BS844" t="s">
        <v>15860</v>
      </c>
      <c r="BT844" t="str">
        <f>HYPERLINK("https%3A%2F%2Fwww.webofscience.com%2Fwos%2Fwoscc%2Ffull-record%2FWOS:000395113300001","View Full Record in Web of Science")</f>
        <v>View Full Record in Web of Science</v>
      </c>
    </row>
    <row r="845" spans="1:72" x14ac:dyDescent="0.15">
      <c r="A845" t="s">
        <v>72</v>
      </c>
      <c r="B845" t="s">
        <v>15861</v>
      </c>
      <c r="C845" t="s">
        <v>74</v>
      </c>
      <c r="D845" t="s">
        <v>74</v>
      </c>
      <c r="E845" t="s">
        <v>74</v>
      </c>
      <c r="F845" t="s">
        <v>15862</v>
      </c>
      <c r="G845" t="s">
        <v>74</v>
      </c>
      <c r="H845" t="s">
        <v>74</v>
      </c>
      <c r="I845" t="s">
        <v>15863</v>
      </c>
      <c r="J845" t="s">
        <v>15864</v>
      </c>
      <c r="K845" t="s">
        <v>74</v>
      </c>
      <c r="L845" t="s">
        <v>74</v>
      </c>
      <c r="M845" t="s">
        <v>78</v>
      </c>
      <c r="N845" t="s">
        <v>79</v>
      </c>
      <c r="O845" t="s">
        <v>74</v>
      </c>
      <c r="P845" t="s">
        <v>74</v>
      </c>
      <c r="Q845" t="s">
        <v>74</v>
      </c>
      <c r="R845" t="s">
        <v>74</v>
      </c>
      <c r="S845" t="s">
        <v>74</v>
      </c>
      <c r="T845" t="s">
        <v>15865</v>
      </c>
      <c r="U845" t="s">
        <v>15866</v>
      </c>
      <c r="V845" t="s">
        <v>15867</v>
      </c>
      <c r="W845" t="s">
        <v>15868</v>
      </c>
      <c r="X845" t="s">
        <v>15869</v>
      </c>
      <c r="Y845" t="s">
        <v>15870</v>
      </c>
      <c r="Z845" t="s">
        <v>15871</v>
      </c>
      <c r="AA845" t="s">
        <v>15872</v>
      </c>
      <c r="AB845" t="s">
        <v>15873</v>
      </c>
      <c r="AC845" t="s">
        <v>15874</v>
      </c>
      <c r="AD845" t="s">
        <v>15875</v>
      </c>
      <c r="AE845" t="s">
        <v>15876</v>
      </c>
      <c r="AF845" t="s">
        <v>74</v>
      </c>
      <c r="AG845">
        <v>115</v>
      </c>
      <c r="AH845">
        <v>43</v>
      </c>
      <c r="AI845">
        <v>45</v>
      </c>
      <c r="AJ845">
        <v>0</v>
      </c>
      <c r="AK845">
        <v>39</v>
      </c>
      <c r="AL845" t="s">
        <v>5377</v>
      </c>
      <c r="AM845" t="s">
        <v>403</v>
      </c>
      <c r="AN845" t="s">
        <v>5378</v>
      </c>
      <c r="AO845" t="s">
        <v>15877</v>
      </c>
      <c r="AP845" t="s">
        <v>15878</v>
      </c>
      <c r="AQ845" t="s">
        <v>74</v>
      </c>
      <c r="AR845" t="s">
        <v>15879</v>
      </c>
      <c r="AS845" t="s">
        <v>15880</v>
      </c>
      <c r="AT845" t="s">
        <v>15857</v>
      </c>
      <c r="AU845">
        <v>2017</v>
      </c>
      <c r="AV845">
        <v>375</v>
      </c>
      <c r="AW845">
        <v>2086</v>
      </c>
      <c r="AX845" t="s">
        <v>74</v>
      </c>
      <c r="AY845" t="s">
        <v>74</v>
      </c>
      <c r="AZ845" t="s">
        <v>74</v>
      </c>
      <c r="BA845" t="s">
        <v>74</v>
      </c>
      <c r="BB845" t="s">
        <v>74</v>
      </c>
      <c r="BC845" t="s">
        <v>74</v>
      </c>
      <c r="BD845">
        <v>20150347</v>
      </c>
      <c r="BE845" t="s">
        <v>15881</v>
      </c>
      <c r="BF845" t="str">
        <f>HYPERLINK("http://dx.doi.org/10.1098/rsta.2015.0347","http://dx.doi.org/10.1098/rsta.2015.0347")</f>
        <v>http://dx.doi.org/10.1098/rsta.2015.0347</v>
      </c>
      <c r="BG845" t="s">
        <v>74</v>
      </c>
      <c r="BH845" t="s">
        <v>74</v>
      </c>
      <c r="BI845">
        <v>27</v>
      </c>
      <c r="BJ845" t="s">
        <v>1617</v>
      </c>
      <c r="BK845" t="s">
        <v>103</v>
      </c>
      <c r="BL845" t="s">
        <v>1618</v>
      </c>
      <c r="BM845" t="s">
        <v>15882</v>
      </c>
      <c r="BN845">
        <v>28025296</v>
      </c>
      <c r="BO845" t="s">
        <v>10014</v>
      </c>
      <c r="BP845" t="s">
        <v>74</v>
      </c>
      <c r="BQ845" t="s">
        <v>74</v>
      </c>
      <c r="BR845" t="s">
        <v>106</v>
      </c>
      <c r="BS845" t="s">
        <v>15883</v>
      </c>
      <c r="BT845" t="str">
        <f>HYPERLINK("https%3A%2F%2Fwww.webofscience.com%2Fwos%2Fwoscc%2Ffull-record%2FWOS:000391840100005","View Full Record in Web of Science")</f>
        <v>View Full Record in Web of Science</v>
      </c>
    </row>
    <row r="846" spans="1:72" x14ac:dyDescent="0.15">
      <c r="A846" t="s">
        <v>72</v>
      </c>
      <c r="B846" t="s">
        <v>15884</v>
      </c>
      <c r="C846" t="s">
        <v>74</v>
      </c>
      <c r="D846" t="s">
        <v>74</v>
      </c>
      <c r="E846" t="s">
        <v>74</v>
      </c>
      <c r="F846" t="s">
        <v>15885</v>
      </c>
      <c r="G846" t="s">
        <v>74</v>
      </c>
      <c r="H846" t="s">
        <v>74</v>
      </c>
      <c r="I846" t="s">
        <v>15886</v>
      </c>
      <c r="J846" t="s">
        <v>15864</v>
      </c>
      <c r="K846" t="s">
        <v>74</v>
      </c>
      <c r="L846" t="s">
        <v>74</v>
      </c>
      <c r="M846" t="s">
        <v>78</v>
      </c>
      <c r="N846" t="s">
        <v>79</v>
      </c>
      <c r="O846" t="s">
        <v>74</v>
      </c>
      <c r="P846" t="s">
        <v>74</v>
      </c>
      <c r="Q846" t="s">
        <v>74</v>
      </c>
      <c r="R846" t="s">
        <v>74</v>
      </c>
      <c r="S846" t="s">
        <v>74</v>
      </c>
      <c r="T846" t="s">
        <v>15887</v>
      </c>
      <c r="U846" t="s">
        <v>15888</v>
      </c>
      <c r="V846" t="s">
        <v>15889</v>
      </c>
      <c r="W846" t="s">
        <v>15890</v>
      </c>
      <c r="X846" t="s">
        <v>3688</v>
      </c>
      <c r="Y846" t="s">
        <v>15891</v>
      </c>
      <c r="Z846" t="s">
        <v>15892</v>
      </c>
      <c r="AA846" t="s">
        <v>15893</v>
      </c>
      <c r="AB846" t="s">
        <v>15894</v>
      </c>
      <c r="AC846" t="s">
        <v>15895</v>
      </c>
      <c r="AD846" t="s">
        <v>8919</v>
      </c>
      <c r="AE846" t="s">
        <v>15896</v>
      </c>
      <c r="AF846" t="s">
        <v>74</v>
      </c>
      <c r="AG846">
        <v>64</v>
      </c>
      <c r="AH846">
        <v>42</v>
      </c>
      <c r="AI846">
        <v>46</v>
      </c>
      <c r="AJ846">
        <v>1</v>
      </c>
      <c r="AK846">
        <v>34</v>
      </c>
      <c r="AL846" t="s">
        <v>5377</v>
      </c>
      <c r="AM846" t="s">
        <v>403</v>
      </c>
      <c r="AN846" t="s">
        <v>5378</v>
      </c>
      <c r="AO846" t="s">
        <v>15877</v>
      </c>
      <c r="AP846" t="s">
        <v>15878</v>
      </c>
      <c r="AQ846" t="s">
        <v>74</v>
      </c>
      <c r="AR846" t="s">
        <v>15879</v>
      </c>
      <c r="AS846" t="s">
        <v>15880</v>
      </c>
      <c r="AT846" t="s">
        <v>15857</v>
      </c>
      <c r="AU846">
        <v>2017</v>
      </c>
      <c r="AV846">
        <v>375</v>
      </c>
      <c r="AW846">
        <v>2086</v>
      </c>
      <c r="AX846" t="s">
        <v>74</v>
      </c>
      <c r="AY846" t="s">
        <v>74</v>
      </c>
      <c r="AZ846" t="s">
        <v>74</v>
      </c>
      <c r="BA846" t="s">
        <v>74</v>
      </c>
      <c r="BB846" t="s">
        <v>74</v>
      </c>
      <c r="BC846" t="s">
        <v>74</v>
      </c>
      <c r="BD846">
        <v>20150348</v>
      </c>
      <c r="BE846" t="s">
        <v>15897</v>
      </c>
      <c r="BF846" t="str">
        <f>HYPERLINK("http://dx.doi.org/10.1098/rsta.2015.0348","http://dx.doi.org/10.1098/rsta.2015.0348")</f>
        <v>http://dx.doi.org/10.1098/rsta.2015.0348</v>
      </c>
      <c r="BG846" t="s">
        <v>74</v>
      </c>
      <c r="BH846" t="s">
        <v>74</v>
      </c>
      <c r="BI846">
        <v>18</v>
      </c>
      <c r="BJ846" t="s">
        <v>1617</v>
      </c>
      <c r="BK846" t="s">
        <v>103</v>
      </c>
      <c r="BL846" t="s">
        <v>1618</v>
      </c>
      <c r="BM846" t="s">
        <v>15882</v>
      </c>
      <c r="BN846">
        <v>28025297</v>
      </c>
      <c r="BO846" t="s">
        <v>5576</v>
      </c>
      <c r="BP846" t="s">
        <v>74</v>
      </c>
      <c r="BQ846" t="s">
        <v>74</v>
      </c>
      <c r="BR846" t="s">
        <v>106</v>
      </c>
      <c r="BS846" t="s">
        <v>15898</v>
      </c>
      <c r="BT846" t="str">
        <f>HYPERLINK("https%3A%2F%2Fwww.webofscience.com%2Fwos%2Fwoscc%2Ffull-record%2FWOS:000391840100008","View Full Record in Web of Science")</f>
        <v>View Full Record in Web of Science</v>
      </c>
    </row>
    <row r="847" spans="1:72" x14ac:dyDescent="0.15">
      <c r="A847" t="s">
        <v>72</v>
      </c>
      <c r="B847" t="s">
        <v>15899</v>
      </c>
      <c r="C847" t="s">
        <v>74</v>
      </c>
      <c r="D847" t="s">
        <v>74</v>
      </c>
      <c r="E847" t="s">
        <v>74</v>
      </c>
      <c r="F847" t="s">
        <v>15900</v>
      </c>
      <c r="G847" t="s">
        <v>74</v>
      </c>
      <c r="H847" t="s">
        <v>74</v>
      </c>
      <c r="I847" t="s">
        <v>15901</v>
      </c>
      <c r="J847" t="s">
        <v>3849</v>
      </c>
      <c r="K847" t="s">
        <v>74</v>
      </c>
      <c r="L847" t="s">
        <v>74</v>
      </c>
      <c r="M847" t="s">
        <v>78</v>
      </c>
      <c r="N847" t="s">
        <v>79</v>
      </c>
      <c r="O847" t="s">
        <v>74</v>
      </c>
      <c r="P847" t="s">
        <v>74</v>
      </c>
      <c r="Q847" t="s">
        <v>74</v>
      </c>
      <c r="R847" t="s">
        <v>74</v>
      </c>
      <c r="S847" t="s">
        <v>74</v>
      </c>
      <c r="T847" t="s">
        <v>74</v>
      </c>
      <c r="U847" t="s">
        <v>15902</v>
      </c>
      <c r="V847" t="s">
        <v>15903</v>
      </c>
      <c r="W847" t="s">
        <v>15904</v>
      </c>
      <c r="X847" t="s">
        <v>15905</v>
      </c>
      <c r="Y847" t="s">
        <v>15906</v>
      </c>
      <c r="Z847" t="s">
        <v>15907</v>
      </c>
      <c r="AA847" t="s">
        <v>15908</v>
      </c>
      <c r="AB847" t="s">
        <v>15909</v>
      </c>
      <c r="AC847" t="s">
        <v>15910</v>
      </c>
      <c r="AD847" t="s">
        <v>15911</v>
      </c>
      <c r="AE847" t="s">
        <v>15912</v>
      </c>
      <c r="AF847" t="s">
        <v>74</v>
      </c>
      <c r="AG847">
        <v>32</v>
      </c>
      <c r="AH847">
        <v>20</v>
      </c>
      <c r="AI847">
        <v>20</v>
      </c>
      <c r="AJ847">
        <v>0</v>
      </c>
      <c r="AK847">
        <v>15</v>
      </c>
      <c r="AL847" t="s">
        <v>3861</v>
      </c>
      <c r="AM847" t="s">
        <v>3862</v>
      </c>
      <c r="AN847" t="s">
        <v>3863</v>
      </c>
      <c r="AO847" t="s">
        <v>3864</v>
      </c>
      <c r="AP847" t="s">
        <v>74</v>
      </c>
      <c r="AQ847" t="s">
        <v>74</v>
      </c>
      <c r="AR847" t="s">
        <v>3849</v>
      </c>
      <c r="AS847" t="s">
        <v>3865</v>
      </c>
      <c r="AT847" t="s">
        <v>15913</v>
      </c>
      <c r="AU847">
        <v>2017</v>
      </c>
      <c r="AV847">
        <v>12</v>
      </c>
      <c r="AW847">
        <v>2</v>
      </c>
      <c r="AX847" t="s">
        <v>74</v>
      </c>
      <c r="AY847" t="s">
        <v>74</v>
      </c>
      <c r="AZ847" t="s">
        <v>74</v>
      </c>
      <c r="BA847" t="s">
        <v>74</v>
      </c>
      <c r="BB847" t="s">
        <v>74</v>
      </c>
      <c r="BC847" t="s">
        <v>74</v>
      </c>
      <c r="BD847" t="s">
        <v>15914</v>
      </c>
      <c r="BE847" t="s">
        <v>15915</v>
      </c>
      <c r="BF847" t="str">
        <f>HYPERLINK("http://dx.doi.org/10.1371/journal.pone.0171908","http://dx.doi.org/10.1371/journal.pone.0171908")</f>
        <v>http://dx.doi.org/10.1371/journal.pone.0171908</v>
      </c>
      <c r="BG847" t="s">
        <v>74</v>
      </c>
      <c r="BH847" t="s">
        <v>74</v>
      </c>
      <c r="BI847">
        <v>12</v>
      </c>
      <c r="BJ847" t="s">
        <v>1617</v>
      </c>
      <c r="BK847" t="s">
        <v>103</v>
      </c>
      <c r="BL847" t="s">
        <v>1618</v>
      </c>
      <c r="BM847" t="s">
        <v>15916</v>
      </c>
      <c r="BN847">
        <v>28187156</v>
      </c>
      <c r="BO847" t="s">
        <v>7101</v>
      </c>
      <c r="BP847" t="s">
        <v>74</v>
      </c>
      <c r="BQ847" t="s">
        <v>74</v>
      </c>
      <c r="BR847" t="s">
        <v>106</v>
      </c>
      <c r="BS847" t="s">
        <v>15917</v>
      </c>
      <c r="BT847" t="str">
        <f>HYPERLINK("https%3A%2F%2Fwww.webofscience.com%2Fwos%2Fwoscc%2Ffull-record%2FWOS:000394244300059","View Full Record in Web of Science")</f>
        <v>View Full Record in Web of Science</v>
      </c>
    </row>
    <row r="848" spans="1:72" x14ac:dyDescent="0.15">
      <c r="A848" t="s">
        <v>72</v>
      </c>
      <c r="B848" t="s">
        <v>15918</v>
      </c>
      <c r="C848" t="s">
        <v>74</v>
      </c>
      <c r="D848" t="s">
        <v>74</v>
      </c>
      <c r="E848" t="s">
        <v>74</v>
      </c>
      <c r="F848" t="s">
        <v>15919</v>
      </c>
      <c r="G848" t="s">
        <v>74</v>
      </c>
      <c r="H848" t="s">
        <v>74</v>
      </c>
      <c r="I848" t="s">
        <v>15920</v>
      </c>
      <c r="J848" t="s">
        <v>1599</v>
      </c>
      <c r="K848" t="s">
        <v>74</v>
      </c>
      <c r="L848" t="s">
        <v>74</v>
      </c>
      <c r="M848" t="s">
        <v>78</v>
      </c>
      <c r="N848" t="s">
        <v>79</v>
      </c>
      <c r="O848" t="s">
        <v>74</v>
      </c>
      <c r="P848" t="s">
        <v>74</v>
      </c>
      <c r="Q848" t="s">
        <v>74</v>
      </c>
      <c r="R848" t="s">
        <v>74</v>
      </c>
      <c r="S848" t="s">
        <v>74</v>
      </c>
      <c r="T848" t="s">
        <v>74</v>
      </c>
      <c r="U848" t="s">
        <v>15921</v>
      </c>
      <c r="V848" t="s">
        <v>15922</v>
      </c>
      <c r="W848" t="s">
        <v>15923</v>
      </c>
      <c r="X848" t="s">
        <v>15924</v>
      </c>
      <c r="Y848" t="s">
        <v>15925</v>
      </c>
      <c r="Z848" t="s">
        <v>15926</v>
      </c>
      <c r="AA848" t="s">
        <v>74</v>
      </c>
      <c r="AB848" t="s">
        <v>74</v>
      </c>
      <c r="AC848" t="s">
        <v>15927</v>
      </c>
      <c r="AD848" t="s">
        <v>15928</v>
      </c>
      <c r="AE848" t="s">
        <v>15929</v>
      </c>
      <c r="AF848" t="s">
        <v>74</v>
      </c>
      <c r="AG848">
        <v>86</v>
      </c>
      <c r="AH848">
        <v>14</v>
      </c>
      <c r="AI848">
        <v>17</v>
      </c>
      <c r="AJ848">
        <v>1</v>
      </c>
      <c r="AK848">
        <v>30</v>
      </c>
      <c r="AL848" t="s">
        <v>1611</v>
      </c>
      <c r="AM848" t="s">
        <v>403</v>
      </c>
      <c r="AN848" t="s">
        <v>1612</v>
      </c>
      <c r="AO848" t="s">
        <v>1613</v>
      </c>
      <c r="AP848" t="s">
        <v>74</v>
      </c>
      <c r="AQ848" t="s">
        <v>74</v>
      </c>
      <c r="AR848" t="s">
        <v>1614</v>
      </c>
      <c r="AS848" t="s">
        <v>1615</v>
      </c>
      <c r="AT848" t="s">
        <v>15913</v>
      </c>
      <c r="AU848">
        <v>2017</v>
      </c>
      <c r="AV848">
        <v>8</v>
      </c>
      <c r="AW848" t="s">
        <v>74</v>
      </c>
      <c r="AX848" t="s">
        <v>74</v>
      </c>
      <c r="AY848" t="s">
        <v>74</v>
      </c>
      <c r="AZ848" t="s">
        <v>74</v>
      </c>
      <c r="BA848" t="s">
        <v>74</v>
      </c>
      <c r="BB848" t="s">
        <v>74</v>
      </c>
      <c r="BC848" t="s">
        <v>74</v>
      </c>
      <c r="BD848">
        <v>14194</v>
      </c>
      <c r="BE848" t="s">
        <v>15930</v>
      </c>
      <c r="BF848" t="str">
        <f>HYPERLINK("http://dx.doi.org/10.1038/ncomms14194","http://dx.doi.org/10.1038/ncomms14194")</f>
        <v>http://dx.doi.org/10.1038/ncomms14194</v>
      </c>
      <c r="BG848" t="s">
        <v>74</v>
      </c>
      <c r="BH848" t="s">
        <v>74</v>
      </c>
      <c r="BI848">
        <v>12</v>
      </c>
      <c r="BJ848" t="s">
        <v>1617</v>
      </c>
      <c r="BK848" t="s">
        <v>103</v>
      </c>
      <c r="BL848" t="s">
        <v>1618</v>
      </c>
      <c r="BM848" t="s">
        <v>15931</v>
      </c>
      <c r="BN848">
        <v>28186094</v>
      </c>
      <c r="BO848" t="s">
        <v>2009</v>
      </c>
      <c r="BP848" t="s">
        <v>74</v>
      </c>
      <c r="BQ848" t="s">
        <v>74</v>
      </c>
      <c r="BR848" t="s">
        <v>106</v>
      </c>
      <c r="BS848" t="s">
        <v>15932</v>
      </c>
      <c r="BT848" t="str">
        <f>HYPERLINK("https%3A%2F%2Fwww.webofscience.com%2Fwos%2Fwoscc%2Ffull-record%2FWOS:000393656100001","View Full Record in Web of Science")</f>
        <v>View Full Record in Web of Science</v>
      </c>
    </row>
    <row r="849" spans="1:72" x14ac:dyDescent="0.15">
      <c r="A849" t="s">
        <v>72</v>
      </c>
      <c r="B849" t="s">
        <v>15933</v>
      </c>
      <c r="C849" t="s">
        <v>74</v>
      </c>
      <c r="D849" t="s">
        <v>74</v>
      </c>
      <c r="E849" t="s">
        <v>74</v>
      </c>
      <c r="F849" t="s">
        <v>15934</v>
      </c>
      <c r="G849" t="s">
        <v>74</v>
      </c>
      <c r="H849" t="s">
        <v>74</v>
      </c>
      <c r="I849" t="s">
        <v>15935</v>
      </c>
      <c r="J849" t="s">
        <v>4328</v>
      </c>
      <c r="K849" t="s">
        <v>74</v>
      </c>
      <c r="L849" t="s">
        <v>74</v>
      </c>
      <c r="M849" t="s">
        <v>78</v>
      </c>
      <c r="N849" t="s">
        <v>79</v>
      </c>
      <c r="O849" t="s">
        <v>74</v>
      </c>
      <c r="P849" t="s">
        <v>74</v>
      </c>
      <c r="Q849" t="s">
        <v>74</v>
      </c>
      <c r="R849" t="s">
        <v>74</v>
      </c>
      <c r="S849" t="s">
        <v>74</v>
      </c>
      <c r="T849" t="s">
        <v>74</v>
      </c>
      <c r="U849" t="s">
        <v>15936</v>
      </c>
      <c r="V849" t="s">
        <v>15937</v>
      </c>
      <c r="W849" t="s">
        <v>15938</v>
      </c>
      <c r="X849" t="s">
        <v>15939</v>
      </c>
      <c r="Y849" t="s">
        <v>15940</v>
      </c>
      <c r="Z849" t="s">
        <v>15941</v>
      </c>
      <c r="AA849" t="s">
        <v>15942</v>
      </c>
      <c r="AB849" t="s">
        <v>15943</v>
      </c>
      <c r="AC849" t="s">
        <v>15944</v>
      </c>
      <c r="AD849" t="s">
        <v>15945</v>
      </c>
      <c r="AE849" t="s">
        <v>15946</v>
      </c>
      <c r="AF849" t="s">
        <v>74</v>
      </c>
      <c r="AG849">
        <v>28</v>
      </c>
      <c r="AH849">
        <v>50</v>
      </c>
      <c r="AI849">
        <v>54</v>
      </c>
      <c r="AJ849">
        <v>0</v>
      </c>
      <c r="AK849">
        <v>38</v>
      </c>
      <c r="AL849" t="s">
        <v>1611</v>
      </c>
      <c r="AM849" t="s">
        <v>403</v>
      </c>
      <c r="AN849" t="s">
        <v>1612</v>
      </c>
      <c r="AO849" t="s">
        <v>4337</v>
      </c>
      <c r="AP849" t="s">
        <v>4338</v>
      </c>
      <c r="AQ849" t="s">
        <v>74</v>
      </c>
      <c r="AR849" t="s">
        <v>4328</v>
      </c>
      <c r="AS849" t="s">
        <v>4339</v>
      </c>
      <c r="AT849" t="s">
        <v>15947</v>
      </c>
      <c r="AU849">
        <v>2017</v>
      </c>
      <c r="AV849">
        <v>542</v>
      </c>
      <c r="AW849">
        <v>7640</v>
      </c>
      <c r="AX849" t="s">
        <v>74</v>
      </c>
      <c r="AY849" t="s">
        <v>74</v>
      </c>
      <c r="AZ849" t="s">
        <v>74</v>
      </c>
      <c r="BA849" t="s">
        <v>74</v>
      </c>
      <c r="BB849">
        <v>219</v>
      </c>
      <c r="BC849">
        <v>222</v>
      </c>
      <c r="BD849" t="s">
        <v>74</v>
      </c>
      <c r="BE849" t="s">
        <v>15948</v>
      </c>
      <c r="BF849" t="str">
        <f>HYPERLINK("http://dx.doi.org/10.1038/nature20825","http://dx.doi.org/10.1038/nature20825")</f>
        <v>http://dx.doi.org/10.1038/nature20825</v>
      </c>
      <c r="BG849" t="s">
        <v>74</v>
      </c>
      <c r="BH849" t="s">
        <v>74</v>
      </c>
      <c r="BI849">
        <v>4</v>
      </c>
      <c r="BJ849" t="s">
        <v>1617</v>
      </c>
      <c r="BK849" t="s">
        <v>103</v>
      </c>
      <c r="BL849" t="s">
        <v>1618</v>
      </c>
      <c r="BM849" t="s">
        <v>15949</v>
      </c>
      <c r="BN849">
        <v>28135723</v>
      </c>
      <c r="BO849" t="s">
        <v>1100</v>
      </c>
      <c r="BP849" t="s">
        <v>74</v>
      </c>
      <c r="BQ849" t="s">
        <v>74</v>
      </c>
      <c r="BR849" t="s">
        <v>106</v>
      </c>
      <c r="BS849" t="s">
        <v>15950</v>
      </c>
      <c r="BT849" t="str">
        <f>HYPERLINK("https%3A%2F%2Fwww.webofscience.com%2Fwos%2Fwoscc%2Ffull-record%2FWOS:000393737500038","View Full Record in Web of Science")</f>
        <v>View Full Record in Web of Science</v>
      </c>
    </row>
    <row r="850" spans="1:72" x14ac:dyDescent="0.15">
      <c r="A850" t="s">
        <v>72</v>
      </c>
      <c r="B850" t="s">
        <v>15951</v>
      </c>
      <c r="C850" t="s">
        <v>74</v>
      </c>
      <c r="D850" t="s">
        <v>74</v>
      </c>
      <c r="E850" t="s">
        <v>74</v>
      </c>
      <c r="F850" t="s">
        <v>15952</v>
      </c>
      <c r="G850" t="s">
        <v>74</v>
      </c>
      <c r="H850" t="s">
        <v>74</v>
      </c>
      <c r="I850" t="s">
        <v>15953</v>
      </c>
      <c r="J850" t="s">
        <v>3827</v>
      </c>
      <c r="K850" t="s">
        <v>74</v>
      </c>
      <c r="L850" t="s">
        <v>74</v>
      </c>
      <c r="M850" t="s">
        <v>78</v>
      </c>
      <c r="N850" t="s">
        <v>79</v>
      </c>
      <c r="O850" t="s">
        <v>74</v>
      </c>
      <c r="P850" t="s">
        <v>74</v>
      </c>
      <c r="Q850" t="s">
        <v>74</v>
      </c>
      <c r="R850" t="s">
        <v>74</v>
      </c>
      <c r="S850" t="s">
        <v>74</v>
      </c>
      <c r="T850" t="s">
        <v>74</v>
      </c>
      <c r="U850" t="s">
        <v>15954</v>
      </c>
      <c r="V850" t="s">
        <v>15955</v>
      </c>
      <c r="W850" t="s">
        <v>15956</v>
      </c>
      <c r="X850" t="s">
        <v>15957</v>
      </c>
      <c r="Y850" t="s">
        <v>15958</v>
      </c>
      <c r="Z850" t="s">
        <v>15959</v>
      </c>
      <c r="AA850" t="s">
        <v>15960</v>
      </c>
      <c r="AB850" t="s">
        <v>15961</v>
      </c>
      <c r="AC850" t="s">
        <v>15962</v>
      </c>
      <c r="AD850" t="s">
        <v>15963</v>
      </c>
      <c r="AE850" t="s">
        <v>15964</v>
      </c>
      <c r="AF850" t="s">
        <v>74</v>
      </c>
      <c r="AG850">
        <v>62</v>
      </c>
      <c r="AH850">
        <v>44</v>
      </c>
      <c r="AI850">
        <v>46</v>
      </c>
      <c r="AJ850">
        <v>0</v>
      </c>
      <c r="AK850">
        <v>15</v>
      </c>
      <c r="AL850" t="s">
        <v>3534</v>
      </c>
      <c r="AM850" t="s">
        <v>3535</v>
      </c>
      <c r="AN850" t="s">
        <v>3536</v>
      </c>
      <c r="AO850" t="s">
        <v>3839</v>
      </c>
      <c r="AP850" t="s">
        <v>3840</v>
      </c>
      <c r="AQ850" t="s">
        <v>74</v>
      </c>
      <c r="AR850" t="s">
        <v>3827</v>
      </c>
      <c r="AS850" t="s">
        <v>3841</v>
      </c>
      <c r="AT850" t="s">
        <v>15965</v>
      </c>
      <c r="AU850">
        <v>2017</v>
      </c>
      <c r="AV850">
        <v>11</v>
      </c>
      <c r="AW850">
        <v>1</v>
      </c>
      <c r="AX850" t="s">
        <v>74</v>
      </c>
      <c r="AY850" t="s">
        <v>74</v>
      </c>
      <c r="AZ850" t="s">
        <v>74</v>
      </c>
      <c r="BA850" t="s">
        <v>74</v>
      </c>
      <c r="BB850">
        <v>427</v>
      </c>
      <c r="BC850">
        <v>442</v>
      </c>
      <c r="BD850" t="s">
        <v>74</v>
      </c>
      <c r="BE850" t="s">
        <v>15966</v>
      </c>
      <c r="BF850" t="str">
        <f>HYPERLINK("http://dx.doi.org/10.5194/tc-11-427-2017","http://dx.doi.org/10.5194/tc-11-427-2017")</f>
        <v>http://dx.doi.org/10.5194/tc-11-427-2017</v>
      </c>
      <c r="BG850" t="s">
        <v>74</v>
      </c>
      <c r="BH850" t="s">
        <v>74</v>
      </c>
      <c r="BI850">
        <v>16</v>
      </c>
      <c r="BJ850" t="s">
        <v>1338</v>
      </c>
      <c r="BK850" t="s">
        <v>103</v>
      </c>
      <c r="BL850" t="s">
        <v>1339</v>
      </c>
      <c r="BM850" t="s">
        <v>15967</v>
      </c>
      <c r="BN850" t="s">
        <v>74</v>
      </c>
      <c r="BO850" t="s">
        <v>15968</v>
      </c>
      <c r="BP850" t="s">
        <v>74</v>
      </c>
      <c r="BQ850" t="s">
        <v>74</v>
      </c>
      <c r="BR850" t="s">
        <v>106</v>
      </c>
      <c r="BS850" t="s">
        <v>15969</v>
      </c>
      <c r="BT850" t="str">
        <f>HYPERLINK("https%3A%2F%2Fwww.webofscience.com%2Fwos%2Fwoscc%2Ffull-record%2FWOS:000395091000001","View Full Record in Web of Science")</f>
        <v>View Full Record in Web of Science</v>
      </c>
    </row>
    <row r="851" spans="1:72" x14ac:dyDescent="0.15">
      <c r="A851" t="s">
        <v>72</v>
      </c>
      <c r="B851" t="s">
        <v>15970</v>
      </c>
      <c r="C851" t="s">
        <v>74</v>
      </c>
      <c r="D851" t="s">
        <v>74</v>
      </c>
      <c r="E851" t="s">
        <v>74</v>
      </c>
      <c r="F851" t="s">
        <v>15971</v>
      </c>
      <c r="G851" t="s">
        <v>74</v>
      </c>
      <c r="H851" t="s">
        <v>74</v>
      </c>
      <c r="I851" t="s">
        <v>15972</v>
      </c>
      <c r="J851" t="s">
        <v>15973</v>
      </c>
      <c r="K851" t="s">
        <v>74</v>
      </c>
      <c r="L851" t="s">
        <v>74</v>
      </c>
      <c r="M851" t="s">
        <v>78</v>
      </c>
      <c r="N851" t="s">
        <v>518</v>
      </c>
      <c r="O851" t="s">
        <v>74</v>
      </c>
      <c r="P851" t="s">
        <v>74</v>
      </c>
      <c r="Q851" t="s">
        <v>74</v>
      </c>
      <c r="R851" t="s">
        <v>74</v>
      </c>
      <c r="S851" t="s">
        <v>74</v>
      </c>
      <c r="T851" t="s">
        <v>15974</v>
      </c>
      <c r="U851" t="s">
        <v>15975</v>
      </c>
      <c r="V851" t="s">
        <v>15976</v>
      </c>
      <c r="W851" t="s">
        <v>15977</v>
      </c>
      <c r="X851" t="s">
        <v>15978</v>
      </c>
      <c r="Y851" t="s">
        <v>15979</v>
      </c>
      <c r="Z851" t="s">
        <v>15980</v>
      </c>
      <c r="AA851" t="s">
        <v>15981</v>
      </c>
      <c r="AB851" t="s">
        <v>15982</v>
      </c>
      <c r="AC851" t="s">
        <v>15983</v>
      </c>
      <c r="AD851" t="s">
        <v>15984</v>
      </c>
      <c r="AE851" t="s">
        <v>15985</v>
      </c>
      <c r="AF851" t="s">
        <v>74</v>
      </c>
      <c r="AG851">
        <v>114</v>
      </c>
      <c r="AH851">
        <v>39</v>
      </c>
      <c r="AI851">
        <v>40</v>
      </c>
      <c r="AJ851">
        <v>0</v>
      </c>
      <c r="AK851">
        <v>34</v>
      </c>
      <c r="AL851" t="s">
        <v>3585</v>
      </c>
      <c r="AM851" t="s">
        <v>403</v>
      </c>
      <c r="AN851" t="s">
        <v>3586</v>
      </c>
      <c r="AO851" t="s">
        <v>15986</v>
      </c>
      <c r="AP851" t="s">
        <v>74</v>
      </c>
      <c r="AQ851" t="s">
        <v>74</v>
      </c>
      <c r="AR851" t="s">
        <v>15987</v>
      </c>
      <c r="AS851" t="s">
        <v>15988</v>
      </c>
      <c r="AT851" t="s">
        <v>15989</v>
      </c>
      <c r="AU851">
        <v>2017</v>
      </c>
      <c r="AV851">
        <v>14</v>
      </c>
      <c r="AW851" t="s">
        <v>74</v>
      </c>
      <c r="AX851" t="s">
        <v>74</v>
      </c>
      <c r="AY851" t="s">
        <v>74</v>
      </c>
      <c r="AZ851" t="s">
        <v>74</v>
      </c>
      <c r="BA851" t="s">
        <v>74</v>
      </c>
      <c r="BB851" t="s">
        <v>74</v>
      </c>
      <c r="BC851" t="s">
        <v>74</v>
      </c>
      <c r="BD851">
        <v>6</v>
      </c>
      <c r="BE851" t="s">
        <v>15990</v>
      </c>
      <c r="BF851" t="str">
        <f>HYPERLINK("http://dx.doi.org/10.1186/s12983-017-0192-2","http://dx.doi.org/10.1186/s12983-017-0192-2")</f>
        <v>http://dx.doi.org/10.1186/s12983-017-0192-2</v>
      </c>
      <c r="BG851" t="s">
        <v>74</v>
      </c>
      <c r="BH851" t="s">
        <v>74</v>
      </c>
      <c r="BI851">
        <v>22</v>
      </c>
      <c r="BJ851" t="s">
        <v>555</v>
      </c>
      <c r="BK851" t="s">
        <v>103</v>
      </c>
      <c r="BL851" t="s">
        <v>555</v>
      </c>
      <c r="BM851" t="s">
        <v>15991</v>
      </c>
      <c r="BN851">
        <v>28191025</v>
      </c>
      <c r="BO851" t="s">
        <v>3118</v>
      </c>
      <c r="BP851" t="s">
        <v>74</v>
      </c>
      <c r="BQ851" t="s">
        <v>74</v>
      </c>
      <c r="BR851" t="s">
        <v>106</v>
      </c>
      <c r="BS851" t="s">
        <v>15992</v>
      </c>
      <c r="BT851" t="str">
        <f>HYPERLINK("https%3A%2F%2Fwww.webofscience.com%2Fwos%2Fwoscc%2Ffull-record%2FWOS:000393714100001","View Full Record in Web of Science")</f>
        <v>View Full Record in Web of Science</v>
      </c>
    </row>
    <row r="852" spans="1:72" x14ac:dyDescent="0.15">
      <c r="A852" t="s">
        <v>72</v>
      </c>
      <c r="B852" t="s">
        <v>15993</v>
      </c>
      <c r="C852" t="s">
        <v>74</v>
      </c>
      <c r="D852" t="s">
        <v>74</v>
      </c>
      <c r="E852" t="s">
        <v>74</v>
      </c>
      <c r="F852" t="s">
        <v>15994</v>
      </c>
      <c r="G852" t="s">
        <v>74</v>
      </c>
      <c r="H852" t="s">
        <v>74</v>
      </c>
      <c r="I852" t="s">
        <v>15995</v>
      </c>
      <c r="J852" t="s">
        <v>7365</v>
      </c>
      <c r="K852" t="s">
        <v>74</v>
      </c>
      <c r="L852" t="s">
        <v>74</v>
      </c>
      <c r="M852" t="s">
        <v>78</v>
      </c>
      <c r="N852" t="s">
        <v>79</v>
      </c>
      <c r="O852" t="s">
        <v>74</v>
      </c>
      <c r="P852" t="s">
        <v>74</v>
      </c>
      <c r="Q852" t="s">
        <v>74</v>
      </c>
      <c r="R852" t="s">
        <v>74</v>
      </c>
      <c r="S852" t="s">
        <v>74</v>
      </c>
      <c r="T852" t="s">
        <v>74</v>
      </c>
      <c r="U852" t="s">
        <v>15996</v>
      </c>
      <c r="V852" t="s">
        <v>15997</v>
      </c>
      <c r="W852" t="s">
        <v>15998</v>
      </c>
      <c r="X852" t="s">
        <v>15999</v>
      </c>
      <c r="Y852" t="s">
        <v>16000</v>
      </c>
      <c r="Z852" t="s">
        <v>16001</v>
      </c>
      <c r="AA852" t="s">
        <v>16002</v>
      </c>
      <c r="AB852" t="s">
        <v>16003</v>
      </c>
      <c r="AC852" t="s">
        <v>16004</v>
      </c>
      <c r="AD852" t="s">
        <v>16005</v>
      </c>
      <c r="AE852" t="s">
        <v>16006</v>
      </c>
      <c r="AF852" t="s">
        <v>74</v>
      </c>
      <c r="AG852">
        <v>110</v>
      </c>
      <c r="AH852">
        <v>40</v>
      </c>
      <c r="AI852">
        <v>44</v>
      </c>
      <c r="AJ852">
        <v>5</v>
      </c>
      <c r="AK852">
        <v>54</v>
      </c>
      <c r="AL852" t="s">
        <v>3534</v>
      </c>
      <c r="AM852" t="s">
        <v>3535</v>
      </c>
      <c r="AN852" t="s">
        <v>3536</v>
      </c>
      <c r="AO852" t="s">
        <v>7377</v>
      </c>
      <c r="AP852" t="s">
        <v>7378</v>
      </c>
      <c r="AQ852" t="s">
        <v>74</v>
      </c>
      <c r="AR852" t="s">
        <v>7365</v>
      </c>
      <c r="AS852" t="s">
        <v>7379</v>
      </c>
      <c r="AT852" t="s">
        <v>15989</v>
      </c>
      <c r="AU852">
        <v>2017</v>
      </c>
      <c r="AV852">
        <v>14</v>
      </c>
      <c r="AW852">
        <v>3</v>
      </c>
      <c r="AX852" t="s">
        <v>74</v>
      </c>
      <c r="AY852" t="s">
        <v>74</v>
      </c>
      <c r="AZ852" t="s">
        <v>74</v>
      </c>
      <c r="BA852" t="s">
        <v>74</v>
      </c>
      <c r="BB852">
        <v>575</v>
      </c>
      <c r="BC852">
        <v>596</v>
      </c>
      <c r="BD852" t="s">
        <v>74</v>
      </c>
      <c r="BE852" t="s">
        <v>16007</v>
      </c>
      <c r="BF852" t="str">
        <f>HYPERLINK("http://dx.doi.org/10.5194/bg-14-575-2017","http://dx.doi.org/10.5194/bg-14-575-2017")</f>
        <v>http://dx.doi.org/10.5194/bg-14-575-2017</v>
      </c>
      <c r="BG852" t="s">
        <v>74</v>
      </c>
      <c r="BH852" t="s">
        <v>74</v>
      </c>
      <c r="BI852">
        <v>22</v>
      </c>
      <c r="BJ852" t="s">
        <v>1693</v>
      </c>
      <c r="BK852" t="s">
        <v>103</v>
      </c>
      <c r="BL852" t="s">
        <v>270</v>
      </c>
      <c r="BM852" t="s">
        <v>16008</v>
      </c>
      <c r="BN852" t="s">
        <v>74</v>
      </c>
      <c r="BO852" t="s">
        <v>205</v>
      </c>
      <c r="BP852" t="s">
        <v>74</v>
      </c>
      <c r="BQ852" t="s">
        <v>74</v>
      </c>
      <c r="BR852" t="s">
        <v>106</v>
      </c>
      <c r="BS852" t="s">
        <v>16009</v>
      </c>
      <c r="BT852" t="str">
        <f>HYPERLINK("https%3A%2F%2Fwww.webofscience.com%2Fwos%2Fwoscc%2Ffull-record%2FWOS:000395315100002","View Full Record in Web of Science")</f>
        <v>View Full Record in Web of Science</v>
      </c>
    </row>
    <row r="853" spans="1:72" x14ac:dyDescent="0.15">
      <c r="A853" t="s">
        <v>72</v>
      </c>
      <c r="B853" t="s">
        <v>16010</v>
      </c>
      <c r="C853" t="s">
        <v>74</v>
      </c>
      <c r="D853" t="s">
        <v>74</v>
      </c>
      <c r="E853" t="s">
        <v>74</v>
      </c>
      <c r="F853" t="s">
        <v>16011</v>
      </c>
      <c r="G853" t="s">
        <v>74</v>
      </c>
      <c r="H853" t="s">
        <v>74</v>
      </c>
      <c r="I853" t="s">
        <v>16012</v>
      </c>
      <c r="J853" t="s">
        <v>3441</v>
      </c>
      <c r="K853" t="s">
        <v>74</v>
      </c>
      <c r="L853" t="s">
        <v>74</v>
      </c>
      <c r="M853" t="s">
        <v>78</v>
      </c>
      <c r="N853" t="s">
        <v>79</v>
      </c>
      <c r="O853" t="s">
        <v>74</v>
      </c>
      <c r="P853" t="s">
        <v>74</v>
      </c>
      <c r="Q853" t="s">
        <v>74</v>
      </c>
      <c r="R853" t="s">
        <v>74</v>
      </c>
      <c r="S853" t="s">
        <v>74</v>
      </c>
      <c r="T853" t="s">
        <v>16013</v>
      </c>
      <c r="U853" t="s">
        <v>16014</v>
      </c>
      <c r="V853" t="s">
        <v>16015</v>
      </c>
      <c r="W853" t="s">
        <v>16016</v>
      </c>
      <c r="X853" t="s">
        <v>722</v>
      </c>
      <c r="Y853" t="s">
        <v>16017</v>
      </c>
      <c r="Z853" t="s">
        <v>16018</v>
      </c>
      <c r="AA853" t="s">
        <v>16019</v>
      </c>
      <c r="AB853" t="s">
        <v>16020</v>
      </c>
      <c r="AC853" t="s">
        <v>16021</v>
      </c>
      <c r="AD853" t="s">
        <v>16022</v>
      </c>
      <c r="AE853" t="s">
        <v>16023</v>
      </c>
      <c r="AF853" t="s">
        <v>74</v>
      </c>
      <c r="AG853">
        <v>55</v>
      </c>
      <c r="AH853">
        <v>16</v>
      </c>
      <c r="AI853">
        <v>18</v>
      </c>
      <c r="AJ853">
        <v>0</v>
      </c>
      <c r="AK853">
        <v>12</v>
      </c>
      <c r="AL853" t="s">
        <v>3454</v>
      </c>
      <c r="AM853" t="s">
        <v>3455</v>
      </c>
      <c r="AN853" t="s">
        <v>3456</v>
      </c>
      <c r="AO853" t="s">
        <v>3457</v>
      </c>
      <c r="AP853" t="s">
        <v>3458</v>
      </c>
      <c r="AQ853" t="s">
        <v>74</v>
      </c>
      <c r="AR853" t="s">
        <v>3459</v>
      </c>
      <c r="AS853" t="s">
        <v>3460</v>
      </c>
      <c r="AT853" t="s">
        <v>16024</v>
      </c>
      <c r="AU853">
        <v>2017</v>
      </c>
      <c r="AV853">
        <v>564</v>
      </c>
      <c r="AW853" t="s">
        <v>74</v>
      </c>
      <c r="AX853" t="s">
        <v>74</v>
      </c>
      <c r="AY853" t="s">
        <v>74</v>
      </c>
      <c r="AZ853" t="s">
        <v>74</v>
      </c>
      <c r="BA853" t="s">
        <v>74</v>
      </c>
      <c r="BB853">
        <v>87</v>
      </c>
      <c r="BC853">
        <v>98</v>
      </c>
      <c r="BD853" t="s">
        <v>74</v>
      </c>
      <c r="BE853" t="s">
        <v>16025</v>
      </c>
      <c r="BF853" t="str">
        <f>HYPERLINK("http://dx.doi.org/10.3354/meps12031","http://dx.doi.org/10.3354/meps12031")</f>
        <v>http://dx.doi.org/10.3354/meps12031</v>
      </c>
      <c r="BG853" t="s">
        <v>74</v>
      </c>
      <c r="BH853" t="s">
        <v>74</v>
      </c>
      <c r="BI853">
        <v>12</v>
      </c>
      <c r="BJ853" t="s">
        <v>3463</v>
      </c>
      <c r="BK853" t="s">
        <v>103</v>
      </c>
      <c r="BL853" t="s">
        <v>3464</v>
      </c>
      <c r="BM853" t="s">
        <v>16026</v>
      </c>
      <c r="BN853" t="s">
        <v>74</v>
      </c>
      <c r="BO853" t="s">
        <v>412</v>
      </c>
      <c r="BP853" t="s">
        <v>74</v>
      </c>
      <c r="BQ853" t="s">
        <v>74</v>
      </c>
      <c r="BR853" t="s">
        <v>106</v>
      </c>
      <c r="BS853" t="s">
        <v>16027</v>
      </c>
      <c r="BT853" t="str">
        <f>HYPERLINK("https%3A%2F%2Fwww.webofscience.com%2Fwos%2Fwoscc%2Ffull-record%2FWOS:000400661400008","View Full Record in Web of Science")</f>
        <v>View Full Record in Web of Science</v>
      </c>
    </row>
    <row r="854" spans="1:72" x14ac:dyDescent="0.15">
      <c r="A854" t="s">
        <v>72</v>
      </c>
      <c r="B854" t="s">
        <v>16028</v>
      </c>
      <c r="C854" t="s">
        <v>74</v>
      </c>
      <c r="D854" t="s">
        <v>74</v>
      </c>
      <c r="E854" t="s">
        <v>74</v>
      </c>
      <c r="F854" t="s">
        <v>16029</v>
      </c>
      <c r="G854" t="s">
        <v>74</v>
      </c>
      <c r="H854" t="s">
        <v>74</v>
      </c>
      <c r="I854" t="s">
        <v>16030</v>
      </c>
      <c r="J854" t="s">
        <v>3470</v>
      </c>
      <c r="K854" t="s">
        <v>74</v>
      </c>
      <c r="L854" t="s">
        <v>74</v>
      </c>
      <c r="M854" t="s">
        <v>78</v>
      </c>
      <c r="N854" t="s">
        <v>79</v>
      </c>
      <c r="O854" t="s">
        <v>74</v>
      </c>
      <c r="P854" t="s">
        <v>74</v>
      </c>
      <c r="Q854" t="s">
        <v>74</v>
      </c>
      <c r="R854" t="s">
        <v>74</v>
      </c>
      <c r="S854" t="s">
        <v>74</v>
      </c>
      <c r="T854" t="s">
        <v>16031</v>
      </c>
      <c r="U854" t="s">
        <v>16032</v>
      </c>
      <c r="V854" t="s">
        <v>16033</v>
      </c>
      <c r="W854" t="s">
        <v>16034</v>
      </c>
      <c r="X854" t="s">
        <v>1781</v>
      </c>
      <c r="Y854" t="s">
        <v>16035</v>
      </c>
      <c r="Z854" t="s">
        <v>16036</v>
      </c>
      <c r="AA854" t="s">
        <v>16037</v>
      </c>
      <c r="AB854" t="s">
        <v>14331</v>
      </c>
      <c r="AC854" t="s">
        <v>16038</v>
      </c>
      <c r="AD854" t="s">
        <v>16038</v>
      </c>
      <c r="AE854" t="s">
        <v>16039</v>
      </c>
      <c r="AF854" t="s">
        <v>74</v>
      </c>
      <c r="AG854">
        <v>41</v>
      </c>
      <c r="AH854">
        <v>9</v>
      </c>
      <c r="AI854">
        <v>9</v>
      </c>
      <c r="AJ854">
        <v>0</v>
      </c>
      <c r="AK854">
        <v>15</v>
      </c>
      <c r="AL854" t="s">
        <v>3483</v>
      </c>
      <c r="AM854" t="s">
        <v>3484</v>
      </c>
      <c r="AN854" t="s">
        <v>3485</v>
      </c>
      <c r="AO854" t="s">
        <v>3486</v>
      </c>
      <c r="AP854" t="s">
        <v>74</v>
      </c>
      <c r="AQ854" t="s">
        <v>74</v>
      </c>
      <c r="AR854" t="s">
        <v>3487</v>
      </c>
      <c r="AS854" t="s">
        <v>3488</v>
      </c>
      <c r="AT854" t="s">
        <v>16024</v>
      </c>
      <c r="AU854">
        <v>2017</v>
      </c>
      <c r="AV854">
        <v>11</v>
      </c>
      <c r="AW854" t="s">
        <v>74</v>
      </c>
      <c r="AX854" t="s">
        <v>74</v>
      </c>
      <c r="AY854" t="s">
        <v>74</v>
      </c>
      <c r="AZ854" t="s">
        <v>74</v>
      </c>
      <c r="BA854" t="s">
        <v>74</v>
      </c>
      <c r="BB854" t="s">
        <v>74</v>
      </c>
      <c r="BC854" t="s">
        <v>74</v>
      </c>
      <c r="BD854">
        <v>16019</v>
      </c>
      <c r="BE854" t="s">
        <v>16040</v>
      </c>
      <c r="BF854" t="str">
        <f>HYPERLINK("http://dx.doi.org/10.1117/1.JRS.11.016019","http://dx.doi.org/10.1117/1.JRS.11.016019")</f>
        <v>http://dx.doi.org/10.1117/1.JRS.11.016019</v>
      </c>
      <c r="BG854" t="s">
        <v>74</v>
      </c>
      <c r="BH854" t="s">
        <v>74</v>
      </c>
      <c r="BI854">
        <v>11</v>
      </c>
      <c r="BJ854" t="s">
        <v>3490</v>
      </c>
      <c r="BK854" t="s">
        <v>103</v>
      </c>
      <c r="BL854" t="s">
        <v>3491</v>
      </c>
      <c r="BM854" t="s">
        <v>16041</v>
      </c>
      <c r="BN854" t="s">
        <v>74</v>
      </c>
      <c r="BO854" t="s">
        <v>74</v>
      </c>
      <c r="BP854" t="s">
        <v>74</v>
      </c>
      <c r="BQ854" t="s">
        <v>74</v>
      </c>
      <c r="BR854" t="s">
        <v>106</v>
      </c>
      <c r="BS854" t="s">
        <v>16042</v>
      </c>
      <c r="BT854" t="str">
        <f>HYPERLINK("https%3A%2F%2Fwww.webofscience.com%2Fwos%2Fwoscc%2Ffull-record%2FWOS:000397654000001","View Full Record in Web of Science")</f>
        <v>View Full Record in Web of Science</v>
      </c>
    </row>
    <row r="855" spans="1:72" x14ac:dyDescent="0.15">
      <c r="A855" t="s">
        <v>72</v>
      </c>
      <c r="B855" t="s">
        <v>16043</v>
      </c>
      <c r="C855" t="s">
        <v>74</v>
      </c>
      <c r="D855" t="s">
        <v>74</v>
      </c>
      <c r="E855" t="s">
        <v>74</v>
      </c>
      <c r="F855" t="s">
        <v>16044</v>
      </c>
      <c r="G855" t="s">
        <v>74</v>
      </c>
      <c r="H855" t="s">
        <v>74</v>
      </c>
      <c r="I855" t="s">
        <v>16045</v>
      </c>
      <c r="J855" t="s">
        <v>3597</v>
      </c>
      <c r="K855" t="s">
        <v>74</v>
      </c>
      <c r="L855" t="s">
        <v>74</v>
      </c>
      <c r="M855" t="s">
        <v>78</v>
      </c>
      <c r="N855" t="s">
        <v>79</v>
      </c>
      <c r="O855" t="s">
        <v>74</v>
      </c>
      <c r="P855" t="s">
        <v>74</v>
      </c>
      <c r="Q855" t="s">
        <v>74</v>
      </c>
      <c r="R855" t="s">
        <v>74</v>
      </c>
      <c r="S855" t="s">
        <v>74</v>
      </c>
      <c r="T855" t="s">
        <v>74</v>
      </c>
      <c r="U855" t="s">
        <v>16046</v>
      </c>
      <c r="V855" t="s">
        <v>16047</v>
      </c>
      <c r="W855" t="s">
        <v>16048</v>
      </c>
      <c r="X855" t="s">
        <v>16049</v>
      </c>
      <c r="Y855" t="s">
        <v>16050</v>
      </c>
      <c r="Z855" t="s">
        <v>16051</v>
      </c>
      <c r="AA855" t="s">
        <v>16052</v>
      </c>
      <c r="AB855" t="s">
        <v>16053</v>
      </c>
      <c r="AC855" t="s">
        <v>16054</v>
      </c>
      <c r="AD855" t="s">
        <v>16055</v>
      </c>
      <c r="AE855" t="s">
        <v>16056</v>
      </c>
      <c r="AF855" t="s">
        <v>74</v>
      </c>
      <c r="AG855">
        <v>49</v>
      </c>
      <c r="AH855">
        <v>36</v>
      </c>
      <c r="AI855">
        <v>40</v>
      </c>
      <c r="AJ855">
        <v>4</v>
      </c>
      <c r="AK855">
        <v>35</v>
      </c>
      <c r="AL855" t="s">
        <v>3534</v>
      </c>
      <c r="AM855" t="s">
        <v>3535</v>
      </c>
      <c r="AN855" t="s">
        <v>3536</v>
      </c>
      <c r="AO855" t="s">
        <v>3609</v>
      </c>
      <c r="AP855" t="s">
        <v>3610</v>
      </c>
      <c r="AQ855" t="s">
        <v>74</v>
      </c>
      <c r="AR855" t="s">
        <v>3611</v>
      </c>
      <c r="AS855" t="s">
        <v>3612</v>
      </c>
      <c r="AT855" t="s">
        <v>16024</v>
      </c>
      <c r="AU855">
        <v>2017</v>
      </c>
      <c r="AV855">
        <v>17</v>
      </c>
      <c r="AW855">
        <v>3</v>
      </c>
      <c r="AX855" t="s">
        <v>74</v>
      </c>
      <c r="AY855" t="s">
        <v>74</v>
      </c>
      <c r="AZ855" t="s">
        <v>74</v>
      </c>
      <c r="BA855" t="s">
        <v>74</v>
      </c>
      <c r="BB855">
        <v>1673</v>
      </c>
      <c r="BC855">
        <v>1688</v>
      </c>
      <c r="BD855" t="s">
        <v>74</v>
      </c>
      <c r="BE855" t="s">
        <v>16057</v>
      </c>
      <c r="BF855" t="str">
        <f>HYPERLINK("http://dx.doi.org/10.5194/acp-17-1673-2017","http://dx.doi.org/10.5194/acp-17-1673-2017")</f>
        <v>http://dx.doi.org/10.5194/acp-17-1673-2017</v>
      </c>
      <c r="BG855" t="s">
        <v>74</v>
      </c>
      <c r="BH855" t="s">
        <v>74</v>
      </c>
      <c r="BI855">
        <v>16</v>
      </c>
      <c r="BJ855" t="s">
        <v>3614</v>
      </c>
      <c r="BK855" t="s">
        <v>103</v>
      </c>
      <c r="BL855" t="s">
        <v>3615</v>
      </c>
      <c r="BM855" t="s">
        <v>16058</v>
      </c>
      <c r="BN855" t="s">
        <v>74</v>
      </c>
      <c r="BO855" t="s">
        <v>7299</v>
      </c>
      <c r="BP855" t="s">
        <v>74</v>
      </c>
      <c r="BQ855" t="s">
        <v>74</v>
      </c>
      <c r="BR855" t="s">
        <v>106</v>
      </c>
      <c r="BS855" t="s">
        <v>16059</v>
      </c>
      <c r="BT855" t="str">
        <f>HYPERLINK("https%3A%2F%2Fwww.webofscience.com%2Fwos%2Fwoscc%2Ffull-record%2FWOS:000395097100001","View Full Record in Web of Science")</f>
        <v>View Full Record in Web of Science</v>
      </c>
    </row>
    <row r="856" spans="1:72" x14ac:dyDescent="0.15">
      <c r="A856" t="s">
        <v>72</v>
      </c>
      <c r="B856" t="s">
        <v>16060</v>
      </c>
      <c r="C856" t="s">
        <v>74</v>
      </c>
      <c r="D856" t="s">
        <v>74</v>
      </c>
      <c r="E856" t="s">
        <v>74</v>
      </c>
      <c r="F856" t="s">
        <v>16061</v>
      </c>
      <c r="G856" t="s">
        <v>74</v>
      </c>
      <c r="H856" t="s">
        <v>74</v>
      </c>
      <c r="I856" t="s">
        <v>16062</v>
      </c>
      <c r="J856" t="s">
        <v>3597</v>
      </c>
      <c r="K856" t="s">
        <v>74</v>
      </c>
      <c r="L856" t="s">
        <v>74</v>
      </c>
      <c r="M856" t="s">
        <v>78</v>
      </c>
      <c r="N856" t="s">
        <v>79</v>
      </c>
      <c r="O856" t="s">
        <v>74</v>
      </c>
      <c r="P856" t="s">
        <v>74</v>
      </c>
      <c r="Q856" t="s">
        <v>74</v>
      </c>
      <c r="R856" t="s">
        <v>74</v>
      </c>
      <c r="S856" t="s">
        <v>74</v>
      </c>
      <c r="T856" t="s">
        <v>74</v>
      </c>
      <c r="U856" t="s">
        <v>16063</v>
      </c>
      <c r="V856" t="s">
        <v>16064</v>
      </c>
      <c r="W856" t="s">
        <v>16065</v>
      </c>
      <c r="X856" t="s">
        <v>16066</v>
      </c>
      <c r="Y856" t="s">
        <v>16067</v>
      </c>
      <c r="Z856" t="s">
        <v>16068</v>
      </c>
      <c r="AA856" t="s">
        <v>16069</v>
      </c>
      <c r="AB856" t="s">
        <v>16070</v>
      </c>
      <c r="AC856" t="s">
        <v>16071</v>
      </c>
      <c r="AD856" t="s">
        <v>16072</v>
      </c>
      <c r="AE856" t="s">
        <v>16073</v>
      </c>
      <c r="AF856" t="s">
        <v>74</v>
      </c>
      <c r="AG856">
        <v>81</v>
      </c>
      <c r="AH856">
        <v>8</v>
      </c>
      <c r="AI856">
        <v>8</v>
      </c>
      <c r="AJ856">
        <v>0</v>
      </c>
      <c r="AK856">
        <v>6</v>
      </c>
      <c r="AL856" t="s">
        <v>3534</v>
      </c>
      <c r="AM856" t="s">
        <v>3535</v>
      </c>
      <c r="AN856" t="s">
        <v>3536</v>
      </c>
      <c r="AO856" t="s">
        <v>3609</v>
      </c>
      <c r="AP856" t="s">
        <v>3610</v>
      </c>
      <c r="AQ856" t="s">
        <v>74</v>
      </c>
      <c r="AR856" t="s">
        <v>3611</v>
      </c>
      <c r="AS856" t="s">
        <v>3612</v>
      </c>
      <c r="AT856" t="s">
        <v>16024</v>
      </c>
      <c r="AU856">
        <v>2017</v>
      </c>
      <c r="AV856">
        <v>17</v>
      </c>
      <c r="AW856">
        <v>3</v>
      </c>
      <c r="AX856" t="s">
        <v>74</v>
      </c>
      <c r="AY856" t="s">
        <v>74</v>
      </c>
      <c r="AZ856" t="s">
        <v>74</v>
      </c>
      <c r="BA856" t="s">
        <v>74</v>
      </c>
      <c r="BB856">
        <v>1741</v>
      </c>
      <c r="BC856">
        <v>1758</v>
      </c>
      <c r="BD856" t="s">
        <v>74</v>
      </c>
      <c r="BE856" t="s">
        <v>16074</v>
      </c>
      <c r="BF856" t="str">
        <f>HYPERLINK("http://dx.doi.org/10.5194/acp-17-1741-2017","http://dx.doi.org/10.5194/acp-17-1741-2017")</f>
        <v>http://dx.doi.org/10.5194/acp-17-1741-2017</v>
      </c>
      <c r="BG856" t="s">
        <v>74</v>
      </c>
      <c r="BH856" t="s">
        <v>74</v>
      </c>
      <c r="BI856">
        <v>18</v>
      </c>
      <c r="BJ856" t="s">
        <v>3614</v>
      </c>
      <c r="BK856" t="s">
        <v>103</v>
      </c>
      <c r="BL856" t="s">
        <v>3615</v>
      </c>
      <c r="BM856" t="s">
        <v>16075</v>
      </c>
      <c r="BN856" t="s">
        <v>74</v>
      </c>
      <c r="BO856" t="s">
        <v>16076</v>
      </c>
      <c r="BP856" t="s">
        <v>74</v>
      </c>
      <c r="BQ856" t="s">
        <v>74</v>
      </c>
      <c r="BR856" t="s">
        <v>106</v>
      </c>
      <c r="BS856" t="s">
        <v>16077</v>
      </c>
      <c r="BT856" t="str">
        <f>HYPERLINK("https%3A%2F%2Fwww.webofscience.com%2Fwos%2Fwoscc%2Ffull-record%2FWOS:000437926100001","View Full Record in Web of Science")</f>
        <v>View Full Record in Web of Science</v>
      </c>
    </row>
    <row r="857" spans="1:72" x14ac:dyDescent="0.15">
      <c r="A857" t="s">
        <v>72</v>
      </c>
      <c r="B857" t="s">
        <v>16078</v>
      </c>
      <c r="C857" t="s">
        <v>74</v>
      </c>
      <c r="D857" t="s">
        <v>74</v>
      </c>
      <c r="E857" t="s">
        <v>74</v>
      </c>
      <c r="F857" t="s">
        <v>16079</v>
      </c>
      <c r="G857" t="s">
        <v>74</v>
      </c>
      <c r="H857" t="s">
        <v>74</v>
      </c>
      <c r="I857" t="s">
        <v>16080</v>
      </c>
      <c r="J857" t="s">
        <v>3827</v>
      </c>
      <c r="K857" t="s">
        <v>74</v>
      </c>
      <c r="L857" t="s">
        <v>74</v>
      </c>
      <c r="M857" t="s">
        <v>78</v>
      </c>
      <c r="N857" t="s">
        <v>79</v>
      </c>
      <c r="O857" t="s">
        <v>74</v>
      </c>
      <c r="P857" t="s">
        <v>74</v>
      </c>
      <c r="Q857" t="s">
        <v>74</v>
      </c>
      <c r="R857" t="s">
        <v>74</v>
      </c>
      <c r="S857" t="s">
        <v>74</v>
      </c>
      <c r="T857" t="s">
        <v>74</v>
      </c>
      <c r="U857" t="s">
        <v>16081</v>
      </c>
      <c r="V857" t="s">
        <v>16082</v>
      </c>
      <c r="W857" t="s">
        <v>16083</v>
      </c>
      <c r="X857" t="s">
        <v>796</v>
      </c>
      <c r="Y857" t="s">
        <v>16084</v>
      </c>
      <c r="Z857" t="s">
        <v>16085</v>
      </c>
      <c r="AA857" t="s">
        <v>74</v>
      </c>
      <c r="AB857" t="s">
        <v>16086</v>
      </c>
      <c r="AC857" t="s">
        <v>16087</v>
      </c>
      <c r="AD857" t="s">
        <v>16088</v>
      </c>
      <c r="AE857" t="s">
        <v>16089</v>
      </c>
      <c r="AF857" t="s">
        <v>74</v>
      </c>
      <c r="AG857">
        <v>91</v>
      </c>
      <c r="AH857">
        <v>35</v>
      </c>
      <c r="AI857">
        <v>41</v>
      </c>
      <c r="AJ857">
        <v>0</v>
      </c>
      <c r="AK857">
        <v>36</v>
      </c>
      <c r="AL857" t="s">
        <v>3534</v>
      </c>
      <c r="AM857" t="s">
        <v>3535</v>
      </c>
      <c r="AN857" t="s">
        <v>3536</v>
      </c>
      <c r="AO857" t="s">
        <v>3839</v>
      </c>
      <c r="AP857" t="s">
        <v>3840</v>
      </c>
      <c r="AQ857" t="s">
        <v>74</v>
      </c>
      <c r="AR857" t="s">
        <v>3827</v>
      </c>
      <c r="AS857" t="s">
        <v>3841</v>
      </c>
      <c r="AT857" t="s">
        <v>16090</v>
      </c>
      <c r="AU857">
        <v>2017</v>
      </c>
      <c r="AV857">
        <v>11</v>
      </c>
      <c r="AW857">
        <v>1</v>
      </c>
      <c r="AX857" t="s">
        <v>74</v>
      </c>
      <c r="AY857" t="s">
        <v>74</v>
      </c>
      <c r="AZ857" t="s">
        <v>74</v>
      </c>
      <c r="BA857" t="s">
        <v>74</v>
      </c>
      <c r="BB857">
        <v>381</v>
      </c>
      <c r="BC857">
        <v>405</v>
      </c>
      <c r="BD857" t="s">
        <v>74</v>
      </c>
      <c r="BE857" t="s">
        <v>16091</v>
      </c>
      <c r="BF857" t="str">
        <f>HYPERLINK("http://dx.doi.org/10.5194/tc-11-381-2017","http://dx.doi.org/10.5194/tc-11-381-2017")</f>
        <v>http://dx.doi.org/10.5194/tc-11-381-2017</v>
      </c>
      <c r="BG857" t="s">
        <v>74</v>
      </c>
      <c r="BH857" t="s">
        <v>74</v>
      </c>
      <c r="BI857">
        <v>25</v>
      </c>
      <c r="BJ857" t="s">
        <v>1338</v>
      </c>
      <c r="BK857" t="s">
        <v>103</v>
      </c>
      <c r="BL857" t="s">
        <v>1339</v>
      </c>
      <c r="BM857" t="s">
        <v>16092</v>
      </c>
      <c r="BN857" t="s">
        <v>74</v>
      </c>
      <c r="BO857" t="s">
        <v>205</v>
      </c>
      <c r="BP857" t="s">
        <v>74</v>
      </c>
      <c r="BQ857" t="s">
        <v>74</v>
      </c>
      <c r="BR857" t="s">
        <v>106</v>
      </c>
      <c r="BS857" t="s">
        <v>16093</v>
      </c>
      <c r="BT857" t="str">
        <f>HYPERLINK("https%3A%2F%2Fwww.webofscience.com%2Fwos%2Fwoscc%2Ffull-record%2FWOS:000395089500001","View Full Record in Web of Science")</f>
        <v>View Full Record in Web of Science</v>
      </c>
    </row>
    <row r="858" spans="1:72" x14ac:dyDescent="0.15">
      <c r="A858" t="s">
        <v>72</v>
      </c>
      <c r="B858" t="s">
        <v>16094</v>
      </c>
      <c r="C858" t="s">
        <v>74</v>
      </c>
      <c r="D858" t="s">
        <v>74</v>
      </c>
      <c r="E858" t="s">
        <v>74</v>
      </c>
      <c r="F858" t="s">
        <v>16095</v>
      </c>
      <c r="G858" t="s">
        <v>74</v>
      </c>
      <c r="H858" t="s">
        <v>74</v>
      </c>
      <c r="I858" t="s">
        <v>16096</v>
      </c>
      <c r="J858" t="s">
        <v>4064</v>
      </c>
      <c r="K858" t="s">
        <v>74</v>
      </c>
      <c r="L858" t="s">
        <v>74</v>
      </c>
      <c r="M858" t="s">
        <v>78</v>
      </c>
      <c r="N858" t="s">
        <v>79</v>
      </c>
      <c r="O858" t="s">
        <v>74</v>
      </c>
      <c r="P858" t="s">
        <v>74</v>
      </c>
      <c r="Q858" t="s">
        <v>74</v>
      </c>
      <c r="R858" t="s">
        <v>74</v>
      </c>
      <c r="S858" t="s">
        <v>74</v>
      </c>
      <c r="T858" t="s">
        <v>16097</v>
      </c>
      <c r="U858" t="s">
        <v>16098</v>
      </c>
      <c r="V858" t="s">
        <v>16099</v>
      </c>
      <c r="W858" t="s">
        <v>16100</v>
      </c>
      <c r="X858" t="s">
        <v>16101</v>
      </c>
      <c r="Y858" t="s">
        <v>16102</v>
      </c>
      <c r="Z858" t="s">
        <v>16103</v>
      </c>
      <c r="AA858" t="s">
        <v>16104</v>
      </c>
      <c r="AB858" t="s">
        <v>16105</v>
      </c>
      <c r="AC858" t="s">
        <v>16106</v>
      </c>
      <c r="AD858" t="s">
        <v>16107</v>
      </c>
      <c r="AE858" t="s">
        <v>16108</v>
      </c>
      <c r="AF858" t="s">
        <v>74</v>
      </c>
      <c r="AG858">
        <v>63</v>
      </c>
      <c r="AH858">
        <v>29</v>
      </c>
      <c r="AI858">
        <v>32</v>
      </c>
      <c r="AJ858">
        <v>3</v>
      </c>
      <c r="AK858">
        <v>31</v>
      </c>
      <c r="AL858" t="s">
        <v>3510</v>
      </c>
      <c r="AM858" t="s">
        <v>3511</v>
      </c>
      <c r="AN858" t="s">
        <v>3512</v>
      </c>
      <c r="AO858" t="s">
        <v>74</v>
      </c>
      <c r="AP858" t="s">
        <v>4077</v>
      </c>
      <c r="AQ858" t="s">
        <v>74</v>
      </c>
      <c r="AR858" t="s">
        <v>4078</v>
      </c>
      <c r="AS858" t="s">
        <v>4079</v>
      </c>
      <c r="AT858" t="s">
        <v>16090</v>
      </c>
      <c r="AU858">
        <v>2017</v>
      </c>
      <c r="AV858">
        <v>8</v>
      </c>
      <c r="AW858" t="s">
        <v>74</v>
      </c>
      <c r="AX858" t="s">
        <v>74</v>
      </c>
      <c r="AY858" t="s">
        <v>74</v>
      </c>
      <c r="AZ858" t="s">
        <v>74</v>
      </c>
      <c r="BA858" t="s">
        <v>74</v>
      </c>
      <c r="BB858" t="s">
        <v>74</v>
      </c>
      <c r="BC858" t="s">
        <v>74</v>
      </c>
      <c r="BD858">
        <v>153</v>
      </c>
      <c r="BE858" t="s">
        <v>16109</v>
      </c>
      <c r="BF858" t="str">
        <f>HYPERLINK("http://dx.doi.org/10.3389/fmicb.2017.00153","http://dx.doi.org/10.3389/fmicb.2017.00153")</f>
        <v>http://dx.doi.org/10.3389/fmicb.2017.00153</v>
      </c>
      <c r="BG858" t="s">
        <v>74</v>
      </c>
      <c r="BH858" t="s">
        <v>74</v>
      </c>
      <c r="BI858">
        <v>9</v>
      </c>
      <c r="BJ858" t="s">
        <v>410</v>
      </c>
      <c r="BK858" t="s">
        <v>103</v>
      </c>
      <c r="BL858" t="s">
        <v>410</v>
      </c>
      <c r="BM858" t="s">
        <v>16110</v>
      </c>
      <c r="BN858">
        <v>28210255</v>
      </c>
      <c r="BO858" t="s">
        <v>2009</v>
      </c>
      <c r="BP858" t="s">
        <v>74</v>
      </c>
      <c r="BQ858" t="s">
        <v>74</v>
      </c>
      <c r="BR858" t="s">
        <v>106</v>
      </c>
      <c r="BS858" t="s">
        <v>16111</v>
      </c>
      <c r="BT858" t="str">
        <f>HYPERLINK("https%3A%2F%2Fwww.webofscience.com%2Fwos%2Fwoscc%2Ffull-record%2FWOS:000393138100001","View Full Record in Web of Science")</f>
        <v>View Full Record in Web of Science</v>
      </c>
    </row>
    <row r="859" spans="1:72" x14ac:dyDescent="0.15">
      <c r="A859" t="s">
        <v>72</v>
      </c>
      <c r="B859" t="s">
        <v>16112</v>
      </c>
      <c r="C859" t="s">
        <v>74</v>
      </c>
      <c r="D859" t="s">
        <v>74</v>
      </c>
      <c r="E859" t="s">
        <v>74</v>
      </c>
      <c r="F859" t="s">
        <v>16113</v>
      </c>
      <c r="G859" t="s">
        <v>74</v>
      </c>
      <c r="H859" t="s">
        <v>74</v>
      </c>
      <c r="I859" t="s">
        <v>16114</v>
      </c>
      <c r="J859" t="s">
        <v>791</v>
      </c>
      <c r="K859" t="s">
        <v>74</v>
      </c>
      <c r="L859" t="s">
        <v>74</v>
      </c>
      <c r="M859" t="s">
        <v>78</v>
      </c>
      <c r="N859" t="s">
        <v>79</v>
      </c>
      <c r="O859" t="s">
        <v>74</v>
      </c>
      <c r="P859" t="s">
        <v>74</v>
      </c>
      <c r="Q859" t="s">
        <v>74</v>
      </c>
      <c r="R859" t="s">
        <v>74</v>
      </c>
      <c r="S859" t="s">
        <v>74</v>
      </c>
      <c r="T859" t="s">
        <v>16115</v>
      </c>
      <c r="U859" t="s">
        <v>16116</v>
      </c>
      <c r="V859" t="s">
        <v>16117</v>
      </c>
      <c r="W859" t="s">
        <v>16118</v>
      </c>
      <c r="X859" t="s">
        <v>16119</v>
      </c>
      <c r="Y859" t="s">
        <v>16120</v>
      </c>
      <c r="Z859" t="s">
        <v>16121</v>
      </c>
      <c r="AA859" t="s">
        <v>16122</v>
      </c>
      <c r="AB859" t="s">
        <v>16123</v>
      </c>
      <c r="AC859" t="s">
        <v>16124</v>
      </c>
      <c r="AD859" t="s">
        <v>16125</v>
      </c>
      <c r="AE859" t="s">
        <v>16126</v>
      </c>
      <c r="AF859" t="s">
        <v>74</v>
      </c>
      <c r="AG859">
        <v>155</v>
      </c>
      <c r="AH859">
        <v>13</v>
      </c>
      <c r="AI859">
        <v>14</v>
      </c>
      <c r="AJ859">
        <v>0</v>
      </c>
      <c r="AK859">
        <v>17</v>
      </c>
      <c r="AL859" t="s">
        <v>803</v>
      </c>
      <c r="AM859" t="s">
        <v>430</v>
      </c>
      <c r="AN859" t="s">
        <v>804</v>
      </c>
      <c r="AO859" t="s">
        <v>805</v>
      </c>
      <c r="AP859" t="s">
        <v>806</v>
      </c>
      <c r="AQ859" t="s">
        <v>74</v>
      </c>
      <c r="AR859" t="s">
        <v>807</v>
      </c>
      <c r="AS859" t="s">
        <v>808</v>
      </c>
      <c r="AT859" t="s">
        <v>16127</v>
      </c>
      <c r="AU859">
        <v>2017</v>
      </c>
      <c r="AV859">
        <v>29</v>
      </c>
      <c r="AW859">
        <v>1</v>
      </c>
      <c r="AX859" t="s">
        <v>74</v>
      </c>
      <c r="AY859" t="s">
        <v>74</v>
      </c>
      <c r="AZ859" t="s">
        <v>74</v>
      </c>
      <c r="BA859" t="s">
        <v>74</v>
      </c>
      <c r="BB859">
        <v>3</v>
      </c>
      <c r="BC859">
        <v>15</v>
      </c>
      <c r="BD859" t="s">
        <v>74</v>
      </c>
      <c r="BE859" t="s">
        <v>16128</v>
      </c>
      <c r="BF859" t="str">
        <f>HYPERLINK("http://dx.doi.org/10.1017/S0954102016000389","http://dx.doi.org/10.1017/S0954102016000389")</f>
        <v>http://dx.doi.org/10.1017/S0954102016000389</v>
      </c>
      <c r="BG859" t="s">
        <v>74</v>
      </c>
      <c r="BH859" t="s">
        <v>74</v>
      </c>
      <c r="BI859">
        <v>13</v>
      </c>
      <c r="BJ859" t="s">
        <v>810</v>
      </c>
      <c r="BK859" t="s">
        <v>103</v>
      </c>
      <c r="BL859" t="s">
        <v>811</v>
      </c>
      <c r="BM859" t="s">
        <v>16129</v>
      </c>
      <c r="BN859" t="s">
        <v>74</v>
      </c>
      <c r="BO859" t="s">
        <v>74</v>
      </c>
      <c r="BP859" t="s">
        <v>74</v>
      </c>
      <c r="BQ859" t="s">
        <v>74</v>
      </c>
      <c r="BR859" t="s">
        <v>106</v>
      </c>
      <c r="BS859" t="s">
        <v>16130</v>
      </c>
      <c r="BT859" t="str">
        <f>HYPERLINK("https%3A%2F%2Fwww.webofscience.com%2Fwos%2Fwoscc%2Ffull-record%2FWOS:000396346500002","View Full Record in Web of Science")</f>
        <v>View Full Record in Web of Science</v>
      </c>
    </row>
    <row r="860" spans="1:72" x14ac:dyDescent="0.15">
      <c r="A860" t="s">
        <v>72</v>
      </c>
      <c r="B860" t="s">
        <v>16131</v>
      </c>
      <c r="C860" t="s">
        <v>74</v>
      </c>
      <c r="D860" t="s">
        <v>74</v>
      </c>
      <c r="E860" t="s">
        <v>74</v>
      </c>
      <c r="F860" t="s">
        <v>16132</v>
      </c>
      <c r="G860" t="s">
        <v>74</v>
      </c>
      <c r="H860" t="s">
        <v>74</v>
      </c>
      <c r="I860" t="s">
        <v>16133</v>
      </c>
      <c r="J860" t="s">
        <v>5121</v>
      </c>
      <c r="K860" t="s">
        <v>74</v>
      </c>
      <c r="L860" t="s">
        <v>74</v>
      </c>
      <c r="M860" t="s">
        <v>78</v>
      </c>
      <c r="N860" t="s">
        <v>79</v>
      </c>
      <c r="O860" t="s">
        <v>74</v>
      </c>
      <c r="P860" t="s">
        <v>74</v>
      </c>
      <c r="Q860" t="s">
        <v>74</v>
      </c>
      <c r="R860" t="s">
        <v>74</v>
      </c>
      <c r="S860" t="s">
        <v>74</v>
      </c>
      <c r="T860" t="s">
        <v>16134</v>
      </c>
      <c r="U860" t="s">
        <v>16135</v>
      </c>
      <c r="V860" t="s">
        <v>16136</v>
      </c>
      <c r="W860" t="s">
        <v>16137</v>
      </c>
      <c r="X860" t="s">
        <v>16138</v>
      </c>
      <c r="Y860" t="s">
        <v>16139</v>
      </c>
      <c r="Z860" t="s">
        <v>16140</v>
      </c>
      <c r="AA860" t="s">
        <v>16141</v>
      </c>
      <c r="AB860" t="s">
        <v>16142</v>
      </c>
      <c r="AC860" t="s">
        <v>16143</v>
      </c>
      <c r="AD860" t="s">
        <v>16144</v>
      </c>
      <c r="AE860" t="s">
        <v>16145</v>
      </c>
      <c r="AF860" t="s">
        <v>74</v>
      </c>
      <c r="AG860">
        <v>61</v>
      </c>
      <c r="AH860">
        <v>51</v>
      </c>
      <c r="AI860">
        <v>56</v>
      </c>
      <c r="AJ860">
        <v>3</v>
      </c>
      <c r="AK860">
        <v>46</v>
      </c>
      <c r="AL860" t="s">
        <v>1141</v>
      </c>
      <c r="AM860" t="s">
        <v>318</v>
      </c>
      <c r="AN860" t="s">
        <v>1142</v>
      </c>
      <c r="AO860" t="s">
        <v>5134</v>
      </c>
      <c r="AP860" t="s">
        <v>5135</v>
      </c>
      <c r="AQ860" t="s">
        <v>74</v>
      </c>
      <c r="AR860" t="s">
        <v>5136</v>
      </c>
      <c r="AS860" t="s">
        <v>5137</v>
      </c>
      <c r="AT860" t="s">
        <v>16146</v>
      </c>
      <c r="AU860">
        <v>2017</v>
      </c>
      <c r="AV860">
        <v>384</v>
      </c>
      <c r="AW860" t="s">
        <v>74</v>
      </c>
      <c r="AX860" t="s">
        <v>74</v>
      </c>
      <c r="AY860" t="s">
        <v>74</v>
      </c>
      <c r="AZ860" t="s">
        <v>74</v>
      </c>
      <c r="BA860" t="s">
        <v>74</v>
      </c>
      <c r="BB860">
        <v>147</v>
      </c>
      <c r="BC860">
        <v>158</v>
      </c>
      <c r="BD860" t="s">
        <v>74</v>
      </c>
      <c r="BE860" t="s">
        <v>16147</v>
      </c>
      <c r="BF860" t="str">
        <f>HYPERLINK("http://dx.doi.org/10.1016/j.margeo.2016.06.001","http://dx.doi.org/10.1016/j.margeo.2016.06.001")</f>
        <v>http://dx.doi.org/10.1016/j.margeo.2016.06.001</v>
      </c>
      <c r="BG860" t="s">
        <v>74</v>
      </c>
      <c r="BH860" t="s">
        <v>74</v>
      </c>
      <c r="BI860">
        <v>12</v>
      </c>
      <c r="BJ860" t="s">
        <v>2433</v>
      </c>
      <c r="BK860" t="s">
        <v>103</v>
      </c>
      <c r="BL860" t="s">
        <v>2434</v>
      </c>
      <c r="BM860" t="s">
        <v>16148</v>
      </c>
      <c r="BN860" t="s">
        <v>74</v>
      </c>
      <c r="BO860" t="s">
        <v>74</v>
      </c>
      <c r="BP860" t="s">
        <v>74</v>
      </c>
      <c r="BQ860" t="s">
        <v>74</v>
      </c>
      <c r="BR860" t="s">
        <v>106</v>
      </c>
      <c r="BS860" t="s">
        <v>16149</v>
      </c>
      <c r="BT860" t="str">
        <f>HYPERLINK("https%3A%2F%2Fwww.webofscience.com%2Fwos%2Fwoscc%2Ffull-record%2FWOS:000405157900009","View Full Record in Web of Science")</f>
        <v>View Full Record in Web of Science</v>
      </c>
    </row>
    <row r="861" spans="1:72" x14ac:dyDescent="0.15">
      <c r="A861" t="s">
        <v>72</v>
      </c>
      <c r="B861" t="s">
        <v>16150</v>
      </c>
      <c r="C861" t="s">
        <v>74</v>
      </c>
      <c r="D861" t="s">
        <v>74</v>
      </c>
      <c r="E861" t="s">
        <v>74</v>
      </c>
      <c r="F861" t="s">
        <v>16151</v>
      </c>
      <c r="G861" t="s">
        <v>74</v>
      </c>
      <c r="H861" t="s">
        <v>74</v>
      </c>
      <c r="I861" t="s">
        <v>16152</v>
      </c>
      <c r="J861" t="s">
        <v>16153</v>
      </c>
      <c r="K861" t="s">
        <v>74</v>
      </c>
      <c r="L861" t="s">
        <v>74</v>
      </c>
      <c r="M861" t="s">
        <v>78</v>
      </c>
      <c r="N861" t="s">
        <v>79</v>
      </c>
      <c r="O861" t="s">
        <v>74</v>
      </c>
      <c r="P861" t="s">
        <v>74</v>
      </c>
      <c r="Q861" t="s">
        <v>74</v>
      </c>
      <c r="R861" t="s">
        <v>74</v>
      </c>
      <c r="S861" t="s">
        <v>74</v>
      </c>
      <c r="T861" t="s">
        <v>16154</v>
      </c>
      <c r="U861" t="s">
        <v>16155</v>
      </c>
      <c r="V861" t="s">
        <v>16156</v>
      </c>
      <c r="W861" t="s">
        <v>16157</v>
      </c>
      <c r="X861" t="s">
        <v>16158</v>
      </c>
      <c r="Y861" t="s">
        <v>16159</v>
      </c>
      <c r="Z861" t="s">
        <v>16160</v>
      </c>
      <c r="AA861" t="s">
        <v>16161</v>
      </c>
      <c r="AB861" t="s">
        <v>16162</v>
      </c>
      <c r="AC861" t="s">
        <v>16163</v>
      </c>
      <c r="AD861" t="s">
        <v>16163</v>
      </c>
      <c r="AE861" t="s">
        <v>16164</v>
      </c>
      <c r="AF861" t="s">
        <v>74</v>
      </c>
      <c r="AG861">
        <v>55</v>
      </c>
      <c r="AH861">
        <v>6</v>
      </c>
      <c r="AI861">
        <v>9</v>
      </c>
      <c r="AJ861">
        <v>2</v>
      </c>
      <c r="AK861">
        <v>14</v>
      </c>
      <c r="AL861" t="s">
        <v>374</v>
      </c>
      <c r="AM861" t="s">
        <v>93</v>
      </c>
      <c r="AN861" t="s">
        <v>375</v>
      </c>
      <c r="AO861" t="s">
        <v>16165</v>
      </c>
      <c r="AP861" t="s">
        <v>16166</v>
      </c>
      <c r="AQ861" t="s">
        <v>74</v>
      </c>
      <c r="AR861" t="s">
        <v>16167</v>
      </c>
      <c r="AS861" t="s">
        <v>16168</v>
      </c>
      <c r="AT861" t="s">
        <v>16169</v>
      </c>
      <c r="AU861">
        <v>2017</v>
      </c>
      <c r="AV861">
        <v>156</v>
      </c>
      <c r="AW861" t="s">
        <v>16170</v>
      </c>
      <c r="AX861" t="s">
        <v>74</v>
      </c>
      <c r="AY861" t="s">
        <v>74</v>
      </c>
      <c r="AZ861" t="s">
        <v>74</v>
      </c>
      <c r="BA861" t="s">
        <v>74</v>
      </c>
      <c r="BB861">
        <v>264</v>
      </c>
      <c r="BC861">
        <v>274</v>
      </c>
      <c r="BD861" t="s">
        <v>74</v>
      </c>
      <c r="BE861" t="s">
        <v>16171</v>
      </c>
      <c r="BF861" t="str">
        <f>HYPERLINK("http://dx.doi.org/10.1016/j.jcpa.2017.01.002","http://dx.doi.org/10.1016/j.jcpa.2017.01.002")</f>
        <v>http://dx.doi.org/10.1016/j.jcpa.2017.01.002</v>
      </c>
      <c r="BG861" t="s">
        <v>74</v>
      </c>
      <c r="BH861" t="s">
        <v>74</v>
      </c>
      <c r="BI861">
        <v>11</v>
      </c>
      <c r="BJ861" t="s">
        <v>16172</v>
      </c>
      <c r="BK861" t="s">
        <v>103</v>
      </c>
      <c r="BL861" t="s">
        <v>16172</v>
      </c>
      <c r="BM861" t="s">
        <v>16173</v>
      </c>
      <c r="BN861">
        <v>28185624</v>
      </c>
      <c r="BO861" t="s">
        <v>74</v>
      </c>
      <c r="BP861" t="s">
        <v>74</v>
      </c>
      <c r="BQ861" t="s">
        <v>74</v>
      </c>
      <c r="BR861" t="s">
        <v>106</v>
      </c>
      <c r="BS861" t="s">
        <v>16174</v>
      </c>
      <c r="BT861" t="str">
        <f>HYPERLINK("https%3A%2F%2Fwww.webofscience.com%2Fwos%2Fwoscc%2Ffull-record%2FWOS:000399266400016","View Full Record in Web of Science")</f>
        <v>View Full Record in Web of Science</v>
      </c>
    </row>
    <row r="862" spans="1:72" x14ac:dyDescent="0.15">
      <c r="A862" t="s">
        <v>72</v>
      </c>
      <c r="B862" t="s">
        <v>16175</v>
      </c>
      <c r="C862" t="s">
        <v>74</v>
      </c>
      <c r="D862" t="s">
        <v>74</v>
      </c>
      <c r="E862" t="s">
        <v>74</v>
      </c>
      <c r="F862" t="s">
        <v>16176</v>
      </c>
      <c r="G862" t="s">
        <v>74</v>
      </c>
      <c r="H862" t="s">
        <v>74</v>
      </c>
      <c r="I862" t="s">
        <v>16177</v>
      </c>
      <c r="J862" t="s">
        <v>9335</v>
      </c>
      <c r="K862" t="s">
        <v>74</v>
      </c>
      <c r="L862" t="s">
        <v>74</v>
      </c>
      <c r="M862" t="s">
        <v>78</v>
      </c>
      <c r="N862" t="s">
        <v>79</v>
      </c>
      <c r="O862" t="s">
        <v>74</v>
      </c>
      <c r="P862" t="s">
        <v>74</v>
      </c>
      <c r="Q862" t="s">
        <v>74</v>
      </c>
      <c r="R862" t="s">
        <v>74</v>
      </c>
      <c r="S862" t="s">
        <v>74</v>
      </c>
      <c r="T862" t="s">
        <v>16178</v>
      </c>
      <c r="U862" t="s">
        <v>16179</v>
      </c>
      <c r="V862" t="s">
        <v>16180</v>
      </c>
      <c r="W862" t="s">
        <v>16181</v>
      </c>
      <c r="X862" t="s">
        <v>16182</v>
      </c>
      <c r="Y862" t="s">
        <v>16183</v>
      </c>
      <c r="Z862" t="s">
        <v>16184</v>
      </c>
      <c r="AA862" t="s">
        <v>16185</v>
      </c>
      <c r="AB862" t="s">
        <v>16186</v>
      </c>
      <c r="AC862" t="s">
        <v>16187</v>
      </c>
      <c r="AD862" t="s">
        <v>16188</v>
      </c>
      <c r="AE862" t="s">
        <v>16189</v>
      </c>
      <c r="AF862" t="s">
        <v>74</v>
      </c>
      <c r="AG862">
        <v>41</v>
      </c>
      <c r="AH862">
        <v>15</v>
      </c>
      <c r="AI862">
        <v>15</v>
      </c>
      <c r="AJ862">
        <v>0</v>
      </c>
      <c r="AK862">
        <v>12</v>
      </c>
      <c r="AL862" t="s">
        <v>986</v>
      </c>
      <c r="AM862" t="s">
        <v>1191</v>
      </c>
      <c r="AN862" t="s">
        <v>1192</v>
      </c>
      <c r="AO862" t="s">
        <v>9348</v>
      </c>
      <c r="AP862" t="s">
        <v>9349</v>
      </c>
      <c r="AQ862" t="s">
        <v>74</v>
      </c>
      <c r="AR862" t="s">
        <v>9350</v>
      </c>
      <c r="AS862" t="s">
        <v>9351</v>
      </c>
      <c r="AT862" t="s">
        <v>16127</v>
      </c>
      <c r="AU862">
        <v>2017</v>
      </c>
      <c r="AV862">
        <v>29</v>
      </c>
      <c r="AW862">
        <v>1</v>
      </c>
      <c r="AX862" t="s">
        <v>74</v>
      </c>
      <c r="AY862" t="s">
        <v>74</v>
      </c>
      <c r="AZ862" t="s">
        <v>74</v>
      </c>
      <c r="BA862" t="s">
        <v>74</v>
      </c>
      <c r="BB862">
        <v>555</v>
      </c>
      <c r="BC862">
        <v>562</v>
      </c>
      <c r="BD862" t="s">
        <v>74</v>
      </c>
      <c r="BE862" t="s">
        <v>16190</v>
      </c>
      <c r="BF862" t="str">
        <f>HYPERLINK("http://dx.doi.org/10.1007/s10811-016-0946-9","http://dx.doi.org/10.1007/s10811-016-0946-9")</f>
        <v>http://dx.doi.org/10.1007/s10811-016-0946-9</v>
      </c>
      <c r="BG862" t="s">
        <v>74</v>
      </c>
      <c r="BH862" t="s">
        <v>74</v>
      </c>
      <c r="BI862">
        <v>8</v>
      </c>
      <c r="BJ862" t="s">
        <v>9353</v>
      </c>
      <c r="BK862" t="s">
        <v>103</v>
      </c>
      <c r="BL862" t="s">
        <v>9353</v>
      </c>
      <c r="BM862" t="s">
        <v>16191</v>
      </c>
      <c r="BN862" t="s">
        <v>74</v>
      </c>
      <c r="BO862" t="s">
        <v>74</v>
      </c>
      <c r="BP862" t="s">
        <v>74</v>
      </c>
      <c r="BQ862" t="s">
        <v>74</v>
      </c>
      <c r="BR862" t="s">
        <v>106</v>
      </c>
      <c r="BS862" t="s">
        <v>16192</v>
      </c>
      <c r="BT862" t="str">
        <f>HYPERLINK("https%3A%2F%2Fwww.webofscience.com%2Fwos%2Fwoscc%2Ffull-record%2FWOS:000396344800049","View Full Record in Web of Science")</f>
        <v>View Full Record in Web of Science</v>
      </c>
    </row>
    <row r="863" spans="1:72" x14ac:dyDescent="0.15">
      <c r="A863" t="s">
        <v>72</v>
      </c>
      <c r="B863" t="s">
        <v>16193</v>
      </c>
      <c r="C863" t="s">
        <v>74</v>
      </c>
      <c r="D863" t="s">
        <v>74</v>
      </c>
      <c r="E863" t="s">
        <v>74</v>
      </c>
      <c r="F863" t="s">
        <v>16194</v>
      </c>
      <c r="G863" t="s">
        <v>74</v>
      </c>
      <c r="H863" t="s">
        <v>74</v>
      </c>
      <c r="I863" t="s">
        <v>16195</v>
      </c>
      <c r="J863" t="s">
        <v>16196</v>
      </c>
      <c r="K863" t="s">
        <v>74</v>
      </c>
      <c r="L863" t="s">
        <v>74</v>
      </c>
      <c r="M863" t="s">
        <v>78</v>
      </c>
      <c r="N863" t="s">
        <v>79</v>
      </c>
      <c r="O863" t="s">
        <v>74</v>
      </c>
      <c r="P863" t="s">
        <v>74</v>
      </c>
      <c r="Q863" t="s">
        <v>74</v>
      </c>
      <c r="R863" t="s">
        <v>74</v>
      </c>
      <c r="S863" t="s">
        <v>74</v>
      </c>
      <c r="T863" t="s">
        <v>16197</v>
      </c>
      <c r="U863" t="s">
        <v>16198</v>
      </c>
      <c r="V863" t="s">
        <v>16199</v>
      </c>
      <c r="W863" t="s">
        <v>16200</v>
      </c>
      <c r="X863" t="s">
        <v>16201</v>
      </c>
      <c r="Y863" t="s">
        <v>16202</v>
      </c>
      <c r="Z863" t="s">
        <v>16203</v>
      </c>
      <c r="AA863" t="s">
        <v>74</v>
      </c>
      <c r="AB863" t="s">
        <v>74</v>
      </c>
      <c r="AC863" t="s">
        <v>74</v>
      </c>
      <c r="AD863" t="s">
        <v>74</v>
      </c>
      <c r="AE863" t="s">
        <v>74</v>
      </c>
      <c r="AF863" t="s">
        <v>74</v>
      </c>
      <c r="AG863">
        <v>112</v>
      </c>
      <c r="AH863">
        <v>1</v>
      </c>
      <c r="AI863">
        <v>1</v>
      </c>
      <c r="AJ863">
        <v>1</v>
      </c>
      <c r="AK863">
        <v>10</v>
      </c>
      <c r="AL863" t="s">
        <v>317</v>
      </c>
      <c r="AM863" t="s">
        <v>318</v>
      </c>
      <c r="AN863" t="s">
        <v>319</v>
      </c>
      <c r="AO863" t="s">
        <v>16204</v>
      </c>
      <c r="AP863" t="s">
        <v>16205</v>
      </c>
      <c r="AQ863" t="s">
        <v>74</v>
      </c>
      <c r="AR863" t="s">
        <v>16196</v>
      </c>
      <c r="AS863" t="s">
        <v>16206</v>
      </c>
      <c r="AT863" t="s">
        <v>16127</v>
      </c>
      <c r="AU863">
        <v>2017</v>
      </c>
      <c r="AV863">
        <v>26</v>
      </c>
      <c r="AW863">
        <v>1</v>
      </c>
      <c r="AX863" t="s">
        <v>74</v>
      </c>
      <c r="AY863" t="s">
        <v>74</v>
      </c>
      <c r="AZ863" t="s">
        <v>74</v>
      </c>
      <c r="BA863" t="s">
        <v>74</v>
      </c>
      <c r="BB863">
        <v>173</v>
      </c>
      <c r="BC863">
        <v>193</v>
      </c>
      <c r="BD863" t="s">
        <v>74</v>
      </c>
      <c r="BE863" t="s">
        <v>16207</v>
      </c>
      <c r="BF863" t="str">
        <f>HYPERLINK("http://dx.doi.org/10.1016/j.palwor.2016.03.002","http://dx.doi.org/10.1016/j.palwor.2016.03.002")</f>
        <v>http://dx.doi.org/10.1016/j.palwor.2016.03.002</v>
      </c>
      <c r="BG863" t="s">
        <v>74</v>
      </c>
      <c r="BH863" t="s">
        <v>74</v>
      </c>
      <c r="BI863">
        <v>21</v>
      </c>
      <c r="BJ863" t="s">
        <v>2461</v>
      </c>
      <c r="BK863" t="s">
        <v>103</v>
      </c>
      <c r="BL863" t="s">
        <v>2461</v>
      </c>
      <c r="BM863" t="s">
        <v>16208</v>
      </c>
      <c r="BN863" t="s">
        <v>74</v>
      </c>
      <c r="BO863" t="s">
        <v>74</v>
      </c>
      <c r="BP863" t="s">
        <v>74</v>
      </c>
      <c r="BQ863" t="s">
        <v>74</v>
      </c>
      <c r="BR863" t="s">
        <v>106</v>
      </c>
      <c r="BS863" t="s">
        <v>16209</v>
      </c>
      <c r="BT863" t="str">
        <f>HYPERLINK("https%3A%2F%2Fwww.webofscience.com%2Fwos%2Fwoscc%2Ffull-record%2FWOS:000397311600013","View Full Record in Web of Science")</f>
        <v>View Full Record in Web of Science</v>
      </c>
    </row>
    <row r="864" spans="1:72" x14ac:dyDescent="0.15">
      <c r="A864" t="s">
        <v>72</v>
      </c>
      <c r="B864" t="s">
        <v>16210</v>
      </c>
      <c r="C864" t="s">
        <v>74</v>
      </c>
      <c r="D864" t="s">
        <v>74</v>
      </c>
      <c r="E864" t="s">
        <v>74</v>
      </c>
      <c r="F864" t="s">
        <v>16211</v>
      </c>
      <c r="G864" t="s">
        <v>74</v>
      </c>
      <c r="H864" t="s">
        <v>74</v>
      </c>
      <c r="I864" t="s">
        <v>16212</v>
      </c>
      <c r="J864" t="s">
        <v>16213</v>
      </c>
      <c r="K864" t="s">
        <v>74</v>
      </c>
      <c r="L864" t="s">
        <v>74</v>
      </c>
      <c r="M864" t="s">
        <v>5769</v>
      </c>
      <c r="N864" t="s">
        <v>79</v>
      </c>
      <c r="O864" t="s">
        <v>74</v>
      </c>
      <c r="P864" t="s">
        <v>74</v>
      </c>
      <c r="Q864" t="s">
        <v>74</v>
      </c>
      <c r="R864" t="s">
        <v>74</v>
      </c>
      <c r="S864" t="s">
        <v>74</v>
      </c>
      <c r="T864" t="s">
        <v>16214</v>
      </c>
      <c r="U864" t="s">
        <v>74</v>
      </c>
      <c r="V864" t="s">
        <v>16215</v>
      </c>
      <c r="W864" t="s">
        <v>16216</v>
      </c>
      <c r="X864" t="s">
        <v>16217</v>
      </c>
      <c r="Y864" t="s">
        <v>16218</v>
      </c>
      <c r="Z864" t="s">
        <v>16219</v>
      </c>
      <c r="AA864" t="s">
        <v>74</v>
      </c>
      <c r="AB864" t="s">
        <v>16220</v>
      </c>
      <c r="AC864" t="s">
        <v>16221</v>
      </c>
      <c r="AD864" t="s">
        <v>16222</v>
      </c>
      <c r="AE864" t="s">
        <v>16223</v>
      </c>
      <c r="AF864" t="s">
        <v>74</v>
      </c>
      <c r="AG864">
        <v>19</v>
      </c>
      <c r="AH864">
        <v>6</v>
      </c>
      <c r="AI864">
        <v>7</v>
      </c>
      <c r="AJ864">
        <v>1</v>
      </c>
      <c r="AK864">
        <v>19</v>
      </c>
      <c r="AL864" t="s">
        <v>16224</v>
      </c>
      <c r="AM864" t="s">
        <v>5778</v>
      </c>
      <c r="AN864" t="s">
        <v>16225</v>
      </c>
      <c r="AO864" t="s">
        <v>16226</v>
      </c>
      <c r="AP864" t="s">
        <v>74</v>
      </c>
      <c r="AQ864" t="s">
        <v>74</v>
      </c>
      <c r="AR864" t="s">
        <v>16227</v>
      </c>
      <c r="AS864" t="s">
        <v>16228</v>
      </c>
      <c r="AT864" t="s">
        <v>16127</v>
      </c>
      <c r="AU864">
        <v>2017</v>
      </c>
      <c r="AV864">
        <v>66</v>
      </c>
      <c r="AW864">
        <v>3</v>
      </c>
      <c r="AX864" t="s">
        <v>74</v>
      </c>
      <c r="AY864" t="s">
        <v>74</v>
      </c>
      <c r="AZ864" t="s">
        <v>74</v>
      </c>
      <c r="BA864" t="s">
        <v>74</v>
      </c>
      <c r="BB864" t="s">
        <v>74</v>
      </c>
      <c r="BC864" t="s">
        <v>74</v>
      </c>
      <c r="BD864">
        <v>39201</v>
      </c>
      <c r="BE864" t="s">
        <v>16229</v>
      </c>
      <c r="BF864" t="str">
        <f>HYPERLINK("http://dx.doi.org/10.7498/aps.66.039201","http://dx.doi.org/10.7498/aps.66.039201")</f>
        <v>http://dx.doi.org/10.7498/aps.66.039201</v>
      </c>
      <c r="BG864" t="s">
        <v>74</v>
      </c>
      <c r="BH864" t="s">
        <v>74</v>
      </c>
      <c r="BI864">
        <v>9</v>
      </c>
      <c r="BJ864" t="s">
        <v>16230</v>
      </c>
      <c r="BK864" t="s">
        <v>103</v>
      </c>
      <c r="BL864" t="s">
        <v>16231</v>
      </c>
      <c r="BM864" t="s">
        <v>16232</v>
      </c>
      <c r="BN864" t="s">
        <v>74</v>
      </c>
      <c r="BO864" t="s">
        <v>384</v>
      </c>
      <c r="BP864" t="s">
        <v>74</v>
      </c>
      <c r="BQ864" t="s">
        <v>74</v>
      </c>
      <c r="BR864" t="s">
        <v>106</v>
      </c>
      <c r="BS864" t="s">
        <v>16233</v>
      </c>
      <c r="BT864" t="str">
        <f>HYPERLINK("https%3A%2F%2Fwww.webofscience.com%2Fwos%2Fwoscc%2Ffull-record%2FWOS:000397300600034","View Full Record in Web of Science")</f>
        <v>View Full Record in Web of Science</v>
      </c>
    </row>
    <row r="865" spans="1:72" x14ac:dyDescent="0.15">
      <c r="A865" t="s">
        <v>72</v>
      </c>
      <c r="B865" t="s">
        <v>16234</v>
      </c>
      <c r="C865" t="s">
        <v>74</v>
      </c>
      <c r="D865" t="s">
        <v>74</v>
      </c>
      <c r="E865" t="s">
        <v>74</v>
      </c>
      <c r="F865" t="s">
        <v>16235</v>
      </c>
      <c r="G865" t="s">
        <v>74</v>
      </c>
      <c r="H865" t="s">
        <v>74</v>
      </c>
      <c r="I865" t="s">
        <v>16236</v>
      </c>
      <c r="J865" t="s">
        <v>5526</v>
      </c>
      <c r="K865" t="s">
        <v>74</v>
      </c>
      <c r="L865" t="s">
        <v>74</v>
      </c>
      <c r="M865" t="s">
        <v>78</v>
      </c>
      <c r="N865" t="s">
        <v>79</v>
      </c>
      <c r="O865" t="s">
        <v>74</v>
      </c>
      <c r="P865" t="s">
        <v>74</v>
      </c>
      <c r="Q865" t="s">
        <v>74</v>
      </c>
      <c r="R865" t="s">
        <v>74</v>
      </c>
      <c r="S865" t="s">
        <v>74</v>
      </c>
      <c r="T865" t="s">
        <v>74</v>
      </c>
      <c r="U865" t="s">
        <v>16237</v>
      </c>
      <c r="V865" t="s">
        <v>16238</v>
      </c>
      <c r="W865" t="s">
        <v>16239</v>
      </c>
      <c r="X865" t="s">
        <v>16240</v>
      </c>
      <c r="Y865" t="s">
        <v>16241</v>
      </c>
      <c r="Z865" t="s">
        <v>16242</v>
      </c>
      <c r="AA865" t="s">
        <v>16243</v>
      </c>
      <c r="AB865" t="s">
        <v>16244</v>
      </c>
      <c r="AC865" t="s">
        <v>16245</v>
      </c>
      <c r="AD865" t="s">
        <v>16246</v>
      </c>
      <c r="AE865" t="s">
        <v>16247</v>
      </c>
      <c r="AF865" t="s">
        <v>74</v>
      </c>
      <c r="AG865">
        <v>37</v>
      </c>
      <c r="AH865">
        <v>13</v>
      </c>
      <c r="AI865">
        <v>13</v>
      </c>
      <c r="AJ865">
        <v>2</v>
      </c>
      <c r="AK865">
        <v>45</v>
      </c>
      <c r="AL865" t="s">
        <v>5572</v>
      </c>
      <c r="AM865" t="s">
        <v>5573</v>
      </c>
      <c r="AN865" t="s">
        <v>5574</v>
      </c>
      <c r="AO865" t="s">
        <v>5533</v>
      </c>
      <c r="AP865" t="s">
        <v>5534</v>
      </c>
      <c r="AQ865" t="s">
        <v>74</v>
      </c>
      <c r="AR865" t="s">
        <v>5535</v>
      </c>
      <c r="AS865" t="s">
        <v>5536</v>
      </c>
      <c r="AT865" t="s">
        <v>16127</v>
      </c>
      <c r="AU865">
        <v>2017</v>
      </c>
      <c r="AV865">
        <v>49</v>
      </c>
      <c r="AW865">
        <v>1</v>
      </c>
      <c r="AX865" t="s">
        <v>74</v>
      </c>
      <c r="AY865" t="s">
        <v>74</v>
      </c>
      <c r="AZ865" t="s">
        <v>74</v>
      </c>
      <c r="BA865" t="s">
        <v>74</v>
      </c>
      <c r="BB865">
        <v>1</v>
      </c>
      <c r="BC865">
        <v>12</v>
      </c>
      <c r="BD865" t="s">
        <v>74</v>
      </c>
      <c r="BE865" t="s">
        <v>16248</v>
      </c>
      <c r="BF865" t="str">
        <f>HYPERLINK("http://dx.doi.org/10.1657/AAAR0016-008","http://dx.doi.org/10.1657/AAAR0016-008")</f>
        <v>http://dx.doi.org/10.1657/AAAR0016-008</v>
      </c>
      <c r="BG865" t="s">
        <v>74</v>
      </c>
      <c r="BH865" t="s">
        <v>74</v>
      </c>
      <c r="BI865">
        <v>12</v>
      </c>
      <c r="BJ865" t="s">
        <v>5538</v>
      </c>
      <c r="BK865" t="s">
        <v>103</v>
      </c>
      <c r="BL865" t="s">
        <v>5539</v>
      </c>
      <c r="BM865" t="s">
        <v>16249</v>
      </c>
      <c r="BN865" t="s">
        <v>74</v>
      </c>
      <c r="BO865" t="s">
        <v>16250</v>
      </c>
      <c r="BP865" t="s">
        <v>74</v>
      </c>
      <c r="BQ865" t="s">
        <v>74</v>
      </c>
      <c r="BR865" t="s">
        <v>106</v>
      </c>
      <c r="BS865" t="s">
        <v>16251</v>
      </c>
      <c r="BT865" t="str">
        <f>HYPERLINK("https%3A%2F%2Fwww.webofscience.com%2Fwos%2Fwoscc%2Ffull-record%2FWOS:000394918000001","View Full Record in Web of Science")</f>
        <v>View Full Record in Web of Science</v>
      </c>
    </row>
    <row r="866" spans="1:72" x14ac:dyDescent="0.15">
      <c r="A866" t="s">
        <v>72</v>
      </c>
      <c r="B866" t="s">
        <v>16252</v>
      </c>
      <c r="C866" t="s">
        <v>74</v>
      </c>
      <c r="D866" t="s">
        <v>74</v>
      </c>
      <c r="E866" t="s">
        <v>74</v>
      </c>
      <c r="F866" t="s">
        <v>16253</v>
      </c>
      <c r="G866" t="s">
        <v>74</v>
      </c>
      <c r="H866" t="s">
        <v>74</v>
      </c>
      <c r="I866" t="s">
        <v>16254</v>
      </c>
      <c r="J866" t="s">
        <v>5526</v>
      </c>
      <c r="K866" t="s">
        <v>74</v>
      </c>
      <c r="L866" t="s">
        <v>74</v>
      </c>
      <c r="M866" t="s">
        <v>78</v>
      </c>
      <c r="N866" t="s">
        <v>79</v>
      </c>
      <c r="O866" t="s">
        <v>74</v>
      </c>
      <c r="P866" t="s">
        <v>74</v>
      </c>
      <c r="Q866" t="s">
        <v>74</v>
      </c>
      <c r="R866" t="s">
        <v>74</v>
      </c>
      <c r="S866" t="s">
        <v>74</v>
      </c>
      <c r="T866" t="s">
        <v>74</v>
      </c>
      <c r="U866" t="s">
        <v>16255</v>
      </c>
      <c r="V866" t="s">
        <v>16256</v>
      </c>
      <c r="W866" t="s">
        <v>16257</v>
      </c>
      <c r="X866" t="s">
        <v>16258</v>
      </c>
      <c r="Y866" t="s">
        <v>16259</v>
      </c>
      <c r="Z866" t="s">
        <v>16260</v>
      </c>
      <c r="AA866" t="s">
        <v>16261</v>
      </c>
      <c r="AB866" t="s">
        <v>74</v>
      </c>
      <c r="AC866" t="s">
        <v>16262</v>
      </c>
      <c r="AD866" t="s">
        <v>16263</v>
      </c>
      <c r="AE866" t="s">
        <v>16264</v>
      </c>
      <c r="AF866" t="s">
        <v>74</v>
      </c>
      <c r="AG866">
        <v>48</v>
      </c>
      <c r="AH866">
        <v>7</v>
      </c>
      <c r="AI866">
        <v>8</v>
      </c>
      <c r="AJ866">
        <v>0</v>
      </c>
      <c r="AK866">
        <v>48</v>
      </c>
      <c r="AL866" t="s">
        <v>5531</v>
      </c>
      <c r="AM866" t="s">
        <v>5030</v>
      </c>
      <c r="AN866" t="s">
        <v>5532</v>
      </c>
      <c r="AO866" t="s">
        <v>5533</v>
      </c>
      <c r="AP866" t="s">
        <v>5534</v>
      </c>
      <c r="AQ866" t="s">
        <v>74</v>
      </c>
      <c r="AR866" t="s">
        <v>5535</v>
      </c>
      <c r="AS866" t="s">
        <v>5536</v>
      </c>
      <c r="AT866" t="s">
        <v>16127</v>
      </c>
      <c r="AU866">
        <v>2017</v>
      </c>
      <c r="AV866">
        <v>49</v>
      </c>
      <c r="AW866">
        <v>1</v>
      </c>
      <c r="AX866" t="s">
        <v>74</v>
      </c>
      <c r="AY866" t="s">
        <v>74</v>
      </c>
      <c r="AZ866" t="s">
        <v>74</v>
      </c>
      <c r="BA866" t="s">
        <v>74</v>
      </c>
      <c r="BB866">
        <v>29</v>
      </c>
      <c r="BC866">
        <v>42</v>
      </c>
      <c r="BD866" t="s">
        <v>74</v>
      </c>
      <c r="BE866" t="s">
        <v>16265</v>
      </c>
      <c r="BF866" t="str">
        <f>HYPERLINK("http://dx.doi.org/10.1657/AAAR0016-014","http://dx.doi.org/10.1657/AAAR0016-014")</f>
        <v>http://dx.doi.org/10.1657/AAAR0016-014</v>
      </c>
      <c r="BG866" t="s">
        <v>74</v>
      </c>
      <c r="BH866" t="s">
        <v>74</v>
      </c>
      <c r="BI866">
        <v>14</v>
      </c>
      <c r="BJ866" t="s">
        <v>5538</v>
      </c>
      <c r="BK866" t="s">
        <v>103</v>
      </c>
      <c r="BL866" t="s">
        <v>5539</v>
      </c>
      <c r="BM866" t="s">
        <v>16249</v>
      </c>
      <c r="BN866" t="s">
        <v>74</v>
      </c>
      <c r="BO866" t="s">
        <v>2510</v>
      </c>
      <c r="BP866" t="s">
        <v>74</v>
      </c>
      <c r="BQ866" t="s">
        <v>74</v>
      </c>
      <c r="BR866" t="s">
        <v>106</v>
      </c>
      <c r="BS866" t="s">
        <v>16266</v>
      </c>
      <c r="BT866" t="str">
        <f>HYPERLINK("https%3A%2F%2Fwww.webofscience.com%2Fwos%2Fwoscc%2Ffull-record%2FWOS:000394918000003","View Full Record in Web of Science")</f>
        <v>View Full Record in Web of Science</v>
      </c>
    </row>
    <row r="867" spans="1:72" x14ac:dyDescent="0.15">
      <c r="A867" t="s">
        <v>72</v>
      </c>
      <c r="B867" t="s">
        <v>16267</v>
      </c>
      <c r="C867" t="s">
        <v>74</v>
      </c>
      <c r="D867" t="s">
        <v>74</v>
      </c>
      <c r="E867" t="s">
        <v>74</v>
      </c>
      <c r="F867" t="s">
        <v>16268</v>
      </c>
      <c r="G867" t="s">
        <v>74</v>
      </c>
      <c r="H867" t="s">
        <v>74</v>
      </c>
      <c r="I867" t="s">
        <v>16269</v>
      </c>
      <c r="J867" t="s">
        <v>5526</v>
      </c>
      <c r="K867" t="s">
        <v>74</v>
      </c>
      <c r="L867" t="s">
        <v>74</v>
      </c>
      <c r="M867" t="s">
        <v>78</v>
      </c>
      <c r="N867" t="s">
        <v>79</v>
      </c>
      <c r="O867" t="s">
        <v>74</v>
      </c>
      <c r="P867" t="s">
        <v>74</v>
      </c>
      <c r="Q867" t="s">
        <v>74</v>
      </c>
      <c r="R867" t="s">
        <v>74</v>
      </c>
      <c r="S867" t="s">
        <v>74</v>
      </c>
      <c r="T867" t="s">
        <v>74</v>
      </c>
      <c r="U867" t="s">
        <v>16270</v>
      </c>
      <c r="V867" t="s">
        <v>16271</v>
      </c>
      <c r="W867" t="s">
        <v>16272</v>
      </c>
      <c r="X867" t="s">
        <v>16273</v>
      </c>
      <c r="Y867" t="s">
        <v>16274</v>
      </c>
      <c r="Z867" t="s">
        <v>16275</v>
      </c>
      <c r="AA867" t="s">
        <v>74</v>
      </c>
      <c r="AB867" t="s">
        <v>74</v>
      </c>
      <c r="AC867" t="s">
        <v>16276</v>
      </c>
      <c r="AD867" t="s">
        <v>16277</v>
      </c>
      <c r="AE867" t="s">
        <v>16278</v>
      </c>
      <c r="AF867" t="s">
        <v>74</v>
      </c>
      <c r="AG867">
        <v>45</v>
      </c>
      <c r="AH867">
        <v>19</v>
      </c>
      <c r="AI867">
        <v>21</v>
      </c>
      <c r="AJ867">
        <v>1</v>
      </c>
      <c r="AK867">
        <v>18</v>
      </c>
      <c r="AL867" t="s">
        <v>5572</v>
      </c>
      <c r="AM867" t="s">
        <v>5573</v>
      </c>
      <c r="AN867" t="s">
        <v>5574</v>
      </c>
      <c r="AO867" t="s">
        <v>5533</v>
      </c>
      <c r="AP867" t="s">
        <v>5534</v>
      </c>
      <c r="AQ867" t="s">
        <v>74</v>
      </c>
      <c r="AR867" t="s">
        <v>5535</v>
      </c>
      <c r="AS867" t="s">
        <v>5536</v>
      </c>
      <c r="AT867" t="s">
        <v>16127</v>
      </c>
      <c r="AU867">
        <v>2017</v>
      </c>
      <c r="AV867">
        <v>49</v>
      </c>
      <c r="AW867">
        <v>1</v>
      </c>
      <c r="AX867" t="s">
        <v>74</v>
      </c>
      <c r="AY867" t="s">
        <v>74</v>
      </c>
      <c r="AZ867" t="s">
        <v>74</v>
      </c>
      <c r="BA867" t="s">
        <v>74</v>
      </c>
      <c r="BB867">
        <v>43</v>
      </c>
      <c r="BC867">
        <v>51</v>
      </c>
      <c r="BD867" t="s">
        <v>74</v>
      </c>
      <c r="BE867" t="s">
        <v>16279</v>
      </c>
      <c r="BF867" t="str">
        <f>HYPERLINK("http://dx.doi.org/10.1657/AAAR0016-042","http://dx.doi.org/10.1657/AAAR0016-042")</f>
        <v>http://dx.doi.org/10.1657/AAAR0016-042</v>
      </c>
      <c r="BG867" t="s">
        <v>74</v>
      </c>
      <c r="BH867" t="s">
        <v>74</v>
      </c>
      <c r="BI867">
        <v>9</v>
      </c>
      <c r="BJ867" t="s">
        <v>5538</v>
      </c>
      <c r="BK867" t="s">
        <v>5266</v>
      </c>
      <c r="BL867" t="s">
        <v>5539</v>
      </c>
      <c r="BM867" t="s">
        <v>16249</v>
      </c>
      <c r="BN867" t="s">
        <v>74</v>
      </c>
      <c r="BO867" t="s">
        <v>5576</v>
      </c>
      <c r="BP867" t="s">
        <v>74</v>
      </c>
      <c r="BQ867" t="s">
        <v>74</v>
      </c>
      <c r="BR867" t="s">
        <v>106</v>
      </c>
      <c r="BS867" t="s">
        <v>16280</v>
      </c>
      <c r="BT867" t="str">
        <f>HYPERLINK("https%3A%2F%2Fwww.webofscience.com%2Fwos%2Fwoscc%2Ffull-record%2FWOS:000394918000004","View Full Record in Web of Science")</f>
        <v>View Full Record in Web of Science</v>
      </c>
    </row>
    <row r="868" spans="1:72" x14ac:dyDescent="0.15">
      <c r="A868" t="s">
        <v>72</v>
      </c>
      <c r="B868" t="s">
        <v>16281</v>
      </c>
      <c r="C868" t="s">
        <v>74</v>
      </c>
      <c r="D868" t="s">
        <v>74</v>
      </c>
      <c r="E868" t="s">
        <v>74</v>
      </c>
      <c r="F868" t="s">
        <v>16282</v>
      </c>
      <c r="G868" t="s">
        <v>74</v>
      </c>
      <c r="H868" t="s">
        <v>74</v>
      </c>
      <c r="I868" t="s">
        <v>16283</v>
      </c>
      <c r="J868" t="s">
        <v>5526</v>
      </c>
      <c r="K868" t="s">
        <v>74</v>
      </c>
      <c r="L868" t="s">
        <v>74</v>
      </c>
      <c r="M868" t="s">
        <v>78</v>
      </c>
      <c r="N868" t="s">
        <v>79</v>
      </c>
      <c r="O868" t="s">
        <v>74</v>
      </c>
      <c r="P868" t="s">
        <v>74</v>
      </c>
      <c r="Q868" t="s">
        <v>74</v>
      </c>
      <c r="R868" t="s">
        <v>74</v>
      </c>
      <c r="S868" t="s">
        <v>74</v>
      </c>
      <c r="T868" t="s">
        <v>74</v>
      </c>
      <c r="U868" t="s">
        <v>16284</v>
      </c>
      <c r="V868" t="s">
        <v>16285</v>
      </c>
      <c r="W868" t="s">
        <v>16286</v>
      </c>
      <c r="X868" t="s">
        <v>13537</v>
      </c>
      <c r="Y868" t="s">
        <v>16287</v>
      </c>
      <c r="Z868" t="s">
        <v>16288</v>
      </c>
      <c r="AA868" t="s">
        <v>16289</v>
      </c>
      <c r="AB868" t="s">
        <v>16290</v>
      </c>
      <c r="AC868" t="s">
        <v>16291</v>
      </c>
      <c r="AD868" t="s">
        <v>16292</v>
      </c>
      <c r="AE868" t="s">
        <v>16293</v>
      </c>
      <c r="AF868" t="s">
        <v>74</v>
      </c>
      <c r="AG868">
        <v>44</v>
      </c>
      <c r="AH868">
        <v>4</v>
      </c>
      <c r="AI868">
        <v>7</v>
      </c>
      <c r="AJ868">
        <v>0</v>
      </c>
      <c r="AK868">
        <v>6</v>
      </c>
      <c r="AL868" t="s">
        <v>5572</v>
      </c>
      <c r="AM868" t="s">
        <v>5573</v>
      </c>
      <c r="AN868" t="s">
        <v>5574</v>
      </c>
      <c r="AO868" t="s">
        <v>5533</v>
      </c>
      <c r="AP868" t="s">
        <v>5534</v>
      </c>
      <c r="AQ868" t="s">
        <v>74</v>
      </c>
      <c r="AR868" t="s">
        <v>5535</v>
      </c>
      <c r="AS868" t="s">
        <v>5536</v>
      </c>
      <c r="AT868" t="s">
        <v>16127</v>
      </c>
      <c r="AU868">
        <v>2017</v>
      </c>
      <c r="AV868">
        <v>49</v>
      </c>
      <c r="AW868">
        <v>1</v>
      </c>
      <c r="AX868" t="s">
        <v>74</v>
      </c>
      <c r="AY868" t="s">
        <v>74</v>
      </c>
      <c r="AZ868" t="s">
        <v>74</v>
      </c>
      <c r="BA868" t="s">
        <v>74</v>
      </c>
      <c r="BB868">
        <v>53</v>
      </c>
      <c r="BC868">
        <v>60</v>
      </c>
      <c r="BD868" t="s">
        <v>74</v>
      </c>
      <c r="BE868" t="s">
        <v>16294</v>
      </c>
      <c r="BF868" t="str">
        <f>HYPERLINK("http://dx.doi.org/10.1657/AAAR0015-061","http://dx.doi.org/10.1657/AAAR0015-061")</f>
        <v>http://dx.doi.org/10.1657/AAAR0015-061</v>
      </c>
      <c r="BG868" t="s">
        <v>74</v>
      </c>
      <c r="BH868" t="s">
        <v>74</v>
      </c>
      <c r="BI868">
        <v>8</v>
      </c>
      <c r="BJ868" t="s">
        <v>5538</v>
      </c>
      <c r="BK868" t="s">
        <v>103</v>
      </c>
      <c r="BL868" t="s">
        <v>5539</v>
      </c>
      <c r="BM868" t="s">
        <v>16249</v>
      </c>
      <c r="BN868" t="s">
        <v>74</v>
      </c>
      <c r="BO868" t="s">
        <v>412</v>
      </c>
      <c r="BP868" t="s">
        <v>74</v>
      </c>
      <c r="BQ868" t="s">
        <v>74</v>
      </c>
      <c r="BR868" t="s">
        <v>106</v>
      </c>
      <c r="BS868" t="s">
        <v>16295</v>
      </c>
      <c r="BT868" t="str">
        <f>HYPERLINK("https%3A%2F%2Fwww.webofscience.com%2Fwos%2Fwoscc%2Ffull-record%2FWOS:000394918000005","View Full Record in Web of Science")</f>
        <v>View Full Record in Web of Science</v>
      </c>
    </row>
    <row r="869" spans="1:72" x14ac:dyDescent="0.15">
      <c r="A869" t="s">
        <v>72</v>
      </c>
      <c r="B869" t="s">
        <v>16296</v>
      </c>
      <c r="C869" t="s">
        <v>74</v>
      </c>
      <c r="D869" t="s">
        <v>74</v>
      </c>
      <c r="E869" t="s">
        <v>74</v>
      </c>
      <c r="F869" t="s">
        <v>16297</v>
      </c>
      <c r="G869" t="s">
        <v>74</v>
      </c>
      <c r="H869" t="s">
        <v>74</v>
      </c>
      <c r="I869" t="s">
        <v>16298</v>
      </c>
      <c r="J869" t="s">
        <v>5526</v>
      </c>
      <c r="K869" t="s">
        <v>74</v>
      </c>
      <c r="L869" t="s">
        <v>74</v>
      </c>
      <c r="M869" t="s">
        <v>78</v>
      </c>
      <c r="N869" t="s">
        <v>79</v>
      </c>
      <c r="O869" t="s">
        <v>74</v>
      </c>
      <c r="P869" t="s">
        <v>74</v>
      </c>
      <c r="Q869" t="s">
        <v>74</v>
      </c>
      <c r="R869" t="s">
        <v>74</v>
      </c>
      <c r="S869" t="s">
        <v>74</v>
      </c>
      <c r="T869" t="s">
        <v>74</v>
      </c>
      <c r="U869" t="s">
        <v>16299</v>
      </c>
      <c r="V869" t="s">
        <v>16300</v>
      </c>
      <c r="W869" t="s">
        <v>16301</v>
      </c>
      <c r="X869" t="s">
        <v>16302</v>
      </c>
      <c r="Y869" t="s">
        <v>16303</v>
      </c>
      <c r="Z869" t="s">
        <v>16304</v>
      </c>
      <c r="AA869" t="s">
        <v>74</v>
      </c>
      <c r="AB869" t="s">
        <v>74</v>
      </c>
      <c r="AC869" t="s">
        <v>16305</v>
      </c>
      <c r="AD869" t="s">
        <v>16305</v>
      </c>
      <c r="AE869" t="s">
        <v>16306</v>
      </c>
      <c r="AF869" t="s">
        <v>74</v>
      </c>
      <c r="AG869">
        <v>75</v>
      </c>
      <c r="AH869">
        <v>1</v>
      </c>
      <c r="AI869">
        <v>1</v>
      </c>
      <c r="AJ869">
        <v>0</v>
      </c>
      <c r="AK869">
        <v>15</v>
      </c>
      <c r="AL869" t="s">
        <v>5531</v>
      </c>
      <c r="AM869" t="s">
        <v>5030</v>
      </c>
      <c r="AN869" t="s">
        <v>5532</v>
      </c>
      <c r="AO869" t="s">
        <v>5533</v>
      </c>
      <c r="AP869" t="s">
        <v>5534</v>
      </c>
      <c r="AQ869" t="s">
        <v>74</v>
      </c>
      <c r="AR869" t="s">
        <v>5535</v>
      </c>
      <c r="AS869" t="s">
        <v>5536</v>
      </c>
      <c r="AT869" t="s">
        <v>16127</v>
      </c>
      <c r="AU869">
        <v>2017</v>
      </c>
      <c r="AV869">
        <v>49</v>
      </c>
      <c r="AW869">
        <v>1</v>
      </c>
      <c r="AX869" t="s">
        <v>74</v>
      </c>
      <c r="AY869" t="s">
        <v>74</v>
      </c>
      <c r="AZ869" t="s">
        <v>74</v>
      </c>
      <c r="BA869" t="s">
        <v>74</v>
      </c>
      <c r="BB869">
        <v>61</v>
      </c>
      <c r="BC869">
        <v>79</v>
      </c>
      <c r="BD869" t="s">
        <v>74</v>
      </c>
      <c r="BE869" t="s">
        <v>16307</v>
      </c>
      <c r="BF869" t="str">
        <f>HYPERLINK("http://dx.doi.org/10.1657/AAAR0016-046","http://dx.doi.org/10.1657/AAAR0016-046")</f>
        <v>http://dx.doi.org/10.1657/AAAR0016-046</v>
      </c>
      <c r="BG869" t="s">
        <v>74</v>
      </c>
      <c r="BH869" t="s">
        <v>74</v>
      </c>
      <c r="BI869">
        <v>19</v>
      </c>
      <c r="BJ869" t="s">
        <v>5538</v>
      </c>
      <c r="BK869" t="s">
        <v>103</v>
      </c>
      <c r="BL869" t="s">
        <v>5539</v>
      </c>
      <c r="BM869" t="s">
        <v>16249</v>
      </c>
      <c r="BN869" t="s">
        <v>74</v>
      </c>
      <c r="BO869" t="s">
        <v>5576</v>
      </c>
      <c r="BP869" t="s">
        <v>74</v>
      </c>
      <c r="BQ869" t="s">
        <v>74</v>
      </c>
      <c r="BR869" t="s">
        <v>106</v>
      </c>
      <c r="BS869" t="s">
        <v>16308</v>
      </c>
      <c r="BT869" t="str">
        <f>HYPERLINK("https%3A%2F%2Fwww.webofscience.com%2Fwos%2Fwoscc%2Ffull-record%2FWOS:000394918000006","View Full Record in Web of Science")</f>
        <v>View Full Record in Web of Science</v>
      </c>
    </row>
    <row r="870" spans="1:72" x14ac:dyDescent="0.15">
      <c r="A870" t="s">
        <v>72</v>
      </c>
      <c r="B870" t="s">
        <v>16309</v>
      </c>
      <c r="C870" t="s">
        <v>74</v>
      </c>
      <c r="D870" t="s">
        <v>74</v>
      </c>
      <c r="E870" t="s">
        <v>74</v>
      </c>
      <c r="F870" t="s">
        <v>16310</v>
      </c>
      <c r="G870" t="s">
        <v>74</v>
      </c>
      <c r="H870" t="s">
        <v>74</v>
      </c>
      <c r="I870" t="s">
        <v>16311</v>
      </c>
      <c r="J870" t="s">
        <v>5526</v>
      </c>
      <c r="K870" t="s">
        <v>74</v>
      </c>
      <c r="L870" t="s">
        <v>74</v>
      </c>
      <c r="M870" t="s">
        <v>78</v>
      </c>
      <c r="N870" t="s">
        <v>79</v>
      </c>
      <c r="O870" t="s">
        <v>74</v>
      </c>
      <c r="P870" t="s">
        <v>74</v>
      </c>
      <c r="Q870" t="s">
        <v>74</v>
      </c>
      <c r="R870" t="s">
        <v>74</v>
      </c>
      <c r="S870" t="s">
        <v>74</v>
      </c>
      <c r="T870" t="s">
        <v>74</v>
      </c>
      <c r="U870" t="s">
        <v>16312</v>
      </c>
      <c r="V870" t="s">
        <v>16313</v>
      </c>
      <c r="W870" t="s">
        <v>16314</v>
      </c>
      <c r="X870" t="s">
        <v>16315</v>
      </c>
      <c r="Y870" t="s">
        <v>16316</v>
      </c>
      <c r="Z870" t="s">
        <v>16317</v>
      </c>
      <c r="AA870" t="s">
        <v>74</v>
      </c>
      <c r="AB870" t="s">
        <v>74</v>
      </c>
      <c r="AC870" t="s">
        <v>16318</v>
      </c>
      <c r="AD870" t="s">
        <v>16319</v>
      </c>
      <c r="AE870" t="s">
        <v>16320</v>
      </c>
      <c r="AF870" t="s">
        <v>74</v>
      </c>
      <c r="AG870">
        <v>67</v>
      </c>
      <c r="AH870">
        <v>6</v>
      </c>
      <c r="AI870">
        <v>7</v>
      </c>
      <c r="AJ870">
        <v>0</v>
      </c>
      <c r="AK870">
        <v>12</v>
      </c>
      <c r="AL870" t="s">
        <v>5531</v>
      </c>
      <c r="AM870" t="s">
        <v>5030</v>
      </c>
      <c r="AN870" t="s">
        <v>5532</v>
      </c>
      <c r="AO870" t="s">
        <v>5533</v>
      </c>
      <c r="AP870" t="s">
        <v>5534</v>
      </c>
      <c r="AQ870" t="s">
        <v>74</v>
      </c>
      <c r="AR870" t="s">
        <v>5535</v>
      </c>
      <c r="AS870" t="s">
        <v>5536</v>
      </c>
      <c r="AT870" t="s">
        <v>16127</v>
      </c>
      <c r="AU870">
        <v>2017</v>
      </c>
      <c r="AV870">
        <v>49</v>
      </c>
      <c r="AW870">
        <v>1</v>
      </c>
      <c r="AX870" t="s">
        <v>74</v>
      </c>
      <c r="AY870" t="s">
        <v>74</v>
      </c>
      <c r="AZ870" t="s">
        <v>74</v>
      </c>
      <c r="BA870" t="s">
        <v>74</v>
      </c>
      <c r="BB870">
        <v>101</v>
      </c>
      <c r="BC870">
        <v>113</v>
      </c>
      <c r="BD870" t="s">
        <v>74</v>
      </c>
      <c r="BE870" t="s">
        <v>16321</v>
      </c>
      <c r="BF870" t="str">
        <f>HYPERLINK("http://dx.doi.org/10.1657/AAAR0016-033","http://dx.doi.org/10.1657/AAAR0016-033")</f>
        <v>http://dx.doi.org/10.1657/AAAR0016-033</v>
      </c>
      <c r="BG870" t="s">
        <v>74</v>
      </c>
      <c r="BH870" t="s">
        <v>74</v>
      </c>
      <c r="BI870">
        <v>13</v>
      </c>
      <c r="BJ870" t="s">
        <v>5538</v>
      </c>
      <c r="BK870" t="s">
        <v>103</v>
      </c>
      <c r="BL870" t="s">
        <v>5539</v>
      </c>
      <c r="BM870" t="s">
        <v>16249</v>
      </c>
      <c r="BN870" t="s">
        <v>74</v>
      </c>
      <c r="BO870" t="s">
        <v>5576</v>
      </c>
      <c r="BP870" t="s">
        <v>74</v>
      </c>
      <c r="BQ870" t="s">
        <v>74</v>
      </c>
      <c r="BR870" t="s">
        <v>106</v>
      </c>
      <c r="BS870" t="s">
        <v>16322</v>
      </c>
      <c r="BT870" t="str">
        <f>HYPERLINK("https%3A%2F%2Fwww.webofscience.com%2Fwos%2Fwoscc%2Ffull-record%2FWOS:000394918000008","View Full Record in Web of Science")</f>
        <v>View Full Record in Web of Science</v>
      </c>
    </row>
    <row r="871" spans="1:72" x14ac:dyDescent="0.15">
      <c r="A871" t="s">
        <v>72</v>
      </c>
      <c r="B871" t="s">
        <v>16323</v>
      </c>
      <c r="C871" t="s">
        <v>74</v>
      </c>
      <c r="D871" t="s">
        <v>74</v>
      </c>
      <c r="E871" t="s">
        <v>74</v>
      </c>
      <c r="F871" t="s">
        <v>16324</v>
      </c>
      <c r="G871" t="s">
        <v>74</v>
      </c>
      <c r="H871" t="s">
        <v>74</v>
      </c>
      <c r="I871" t="s">
        <v>16325</v>
      </c>
      <c r="J871" t="s">
        <v>5526</v>
      </c>
      <c r="K871" t="s">
        <v>74</v>
      </c>
      <c r="L871" t="s">
        <v>74</v>
      </c>
      <c r="M871" t="s">
        <v>78</v>
      </c>
      <c r="N871" t="s">
        <v>79</v>
      </c>
      <c r="O871" t="s">
        <v>74</v>
      </c>
      <c r="P871" t="s">
        <v>74</v>
      </c>
      <c r="Q871" t="s">
        <v>74</v>
      </c>
      <c r="R871" t="s">
        <v>74</v>
      </c>
      <c r="S871" t="s">
        <v>74</v>
      </c>
      <c r="T871" t="s">
        <v>74</v>
      </c>
      <c r="U871" t="s">
        <v>16326</v>
      </c>
      <c r="V871" t="s">
        <v>16327</v>
      </c>
      <c r="W871" t="s">
        <v>16328</v>
      </c>
      <c r="X871" t="s">
        <v>16329</v>
      </c>
      <c r="Y871" t="s">
        <v>16330</v>
      </c>
      <c r="Z871" t="s">
        <v>16331</v>
      </c>
      <c r="AA871" t="s">
        <v>16332</v>
      </c>
      <c r="AB871" t="s">
        <v>16333</v>
      </c>
      <c r="AC871" t="s">
        <v>16334</v>
      </c>
      <c r="AD871" t="s">
        <v>16335</v>
      </c>
      <c r="AE871" t="s">
        <v>16336</v>
      </c>
      <c r="AF871" t="s">
        <v>74</v>
      </c>
      <c r="AG871">
        <v>45</v>
      </c>
      <c r="AH871">
        <v>15</v>
      </c>
      <c r="AI871">
        <v>23</v>
      </c>
      <c r="AJ871">
        <v>0</v>
      </c>
      <c r="AK871">
        <v>12</v>
      </c>
      <c r="AL871" t="s">
        <v>5531</v>
      </c>
      <c r="AM871" t="s">
        <v>5030</v>
      </c>
      <c r="AN871" t="s">
        <v>5532</v>
      </c>
      <c r="AO871" t="s">
        <v>5533</v>
      </c>
      <c r="AP871" t="s">
        <v>5534</v>
      </c>
      <c r="AQ871" t="s">
        <v>74</v>
      </c>
      <c r="AR871" t="s">
        <v>5535</v>
      </c>
      <c r="AS871" t="s">
        <v>5536</v>
      </c>
      <c r="AT871" t="s">
        <v>16127</v>
      </c>
      <c r="AU871">
        <v>2017</v>
      </c>
      <c r="AV871">
        <v>49</v>
      </c>
      <c r="AW871">
        <v>1</v>
      </c>
      <c r="AX871" t="s">
        <v>74</v>
      </c>
      <c r="AY871" t="s">
        <v>74</v>
      </c>
      <c r="AZ871" t="s">
        <v>74</v>
      </c>
      <c r="BA871" t="s">
        <v>74</v>
      </c>
      <c r="BB871">
        <v>115</v>
      </c>
      <c r="BC871">
        <v>132</v>
      </c>
      <c r="BD871" t="s">
        <v>74</v>
      </c>
      <c r="BE871" t="s">
        <v>16337</v>
      </c>
      <c r="BF871" t="str">
        <f>HYPERLINK("http://dx.doi.org/10.1657/AAAR0016-045","http://dx.doi.org/10.1657/AAAR0016-045")</f>
        <v>http://dx.doi.org/10.1657/AAAR0016-045</v>
      </c>
      <c r="BG871" t="s">
        <v>74</v>
      </c>
      <c r="BH871" t="s">
        <v>74</v>
      </c>
      <c r="BI871">
        <v>18</v>
      </c>
      <c r="BJ871" t="s">
        <v>5538</v>
      </c>
      <c r="BK871" t="s">
        <v>103</v>
      </c>
      <c r="BL871" t="s">
        <v>5539</v>
      </c>
      <c r="BM871" t="s">
        <v>16249</v>
      </c>
      <c r="BN871" t="s">
        <v>74</v>
      </c>
      <c r="BO871" t="s">
        <v>5713</v>
      </c>
      <c r="BP871" t="s">
        <v>74</v>
      </c>
      <c r="BQ871" t="s">
        <v>74</v>
      </c>
      <c r="BR871" t="s">
        <v>106</v>
      </c>
      <c r="BS871" t="s">
        <v>16338</v>
      </c>
      <c r="BT871" t="str">
        <f>HYPERLINK("https%3A%2F%2Fwww.webofscience.com%2Fwos%2Fwoscc%2Ffull-record%2FWOS:000394918000009","View Full Record in Web of Science")</f>
        <v>View Full Record in Web of Science</v>
      </c>
    </row>
    <row r="872" spans="1:72" x14ac:dyDescent="0.15">
      <c r="A872" t="s">
        <v>72</v>
      </c>
      <c r="B872" t="s">
        <v>16339</v>
      </c>
      <c r="C872" t="s">
        <v>74</v>
      </c>
      <c r="D872" t="s">
        <v>74</v>
      </c>
      <c r="E872" t="s">
        <v>74</v>
      </c>
      <c r="F872" t="s">
        <v>16340</v>
      </c>
      <c r="G872" t="s">
        <v>74</v>
      </c>
      <c r="H872" t="s">
        <v>74</v>
      </c>
      <c r="I872" t="s">
        <v>16341</v>
      </c>
      <c r="J872" t="s">
        <v>5526</v>
      </c>
      <c r="K872" t="s">
        <v>74</v>
      </c>
      <c r="L872" t="s">
        <v>74</v>
      </c>
      <c r="M872" t="s">
        <v>78</v>
      </c>
      <c r="N872" t="s">
        <v>79</v>
      </c>
      <c r="O872" t="s">
        <v>74</v>
      </c>
      <c r="P872" t="s">
        <v>74</v>
      </c>
      <c r="Q872" t="s">
        <v>74</v>
      </c>
      <c r="R872" t="s">
        <v>74</v>
      </c>
      <c r="S872" t="s">
        <v>74</v>
      </c>
      <c r="T872" t="s">
        <v>74</v>
      </c>
      <c r="U872" t="s">
        <v>16342</v>
      </c>
      <c r="V872" t="s">
        <v>16343</v>
      </c>
      <c r="W872" t="s">
        <v>16344</v>
      </c>
      <c r="X872" t="s">
        <v>16345</v>
      </c>
      <c r="Y872" t="s">
        <v>16346</v>
      </c>
      <c r="Z872" t="s">
        <v>16347</v>
      </c>
      <c r="AA872" t="s">
        <v>74</v>
      </c>
      <c r="AB872" t="s">
        <v>74</v>
      </c>
      <c r="AC872" t="s">
        <v>16345</v>
      </c>
      <c r="AD872" t="s">
        <v>16345</v>
      </c>
      <c r="AE872" t="s">
        <v>16348</v>
      </c>
      <c r="AF872" t="s">
        <v>74</v>
      </c>
      <c r="AG872">
        <v>58</v>
      </c>
      <c r="AH872">
        <v>2</v>
      </c>
      <c r="AI872">
        <v>2</v>
      </c>
      <c r="AJ872">
        <v>1</v>
      </c>
      <c r="AK872">
        <v>22</v>
      </c>
      <c r="AL872" t="s">
        <v>5572</v>
      </c>
      <c r="AM872" t="s">
        <v>5573</v>
      </c>
      <c r="AN872" t="s">
        <v>5574</v>
      </c>
      <c r="AO872" t="s">
        <v>5533</v>
      </c>
      <c r="AP872" t="s">
        <v>5534</v>
      </c>
      <c r="AQ872" t="s">
        <v>74</v>
      </c>
      <c r="AR872" t="s">
        <v>5535</v>
      </c>
      <c r="AS872" t="s">
        <v>5536</v>
      </c>
      <c r="AT872" t="s">
        <v>16127</v>
      </c>
      <c r="AU872">
        <v>2017</v>
      </c>
      <c r="AV872">
        <v>49</v>
      </c>
      <c r="AW872">
        <v>1</v>
      </c>
      <c r="AX872" t="s">
        <v>74</v>
      </c>
      <c r="AY872" t="s">
        <v>74</v>
      </c>
      <c r="AZ872" t="s">
        <v>74</v>
      </c>
      <c r="BA872" t="s">
        <v>74</v>
      </c>
      <c r="BB872">
        <v>133</v>
      </c>
      <c r="BC872">
        <v>146</v>
      </c>
      <c r="BD872" t="s">
        <v>74</v>
      </c>
      <c r="BE872" t="s">
        <v>16349</v>
      </c>
      <c r="BF872" t="str">
        <f>HYPERLINK("http://dx.doi.org/10.1657/AAAR0015-076","http://dx.doi.org/10.1657/AAAR0015-076")</f>
        <v>http://dx.doi.org/10.1657/AAAR0015-076</v>
      </c>
      <c r="BG872" t="s">
        <v>74</v>
      </c>
      <c r="BH872" t="s">
        <v>74</v>
      </c>
      <c r="BI872">
        <v>14</v>
      </c>
      <c r="BJ872" t="s">
        <v>5538</v>
      </c>
      <c r="BK872" t="s">
        <v>103</v>
      </c>
      <c r="BL872" t="s">
        <v>5539</v>
      </c>
      <c r="BM872" t="s">
        <v>16249</v>
      </c>
      <c r="BN872" t="s">
        <v>74</v>
      </c>
      <c r="BO872" t="s">
        <v>2510</v>
      </c>
      <c r="BP872" t="s">
        <v>74</v>
      </c>
      <c r="BQ872" t="s">
        <v>74</v>
      </c>
      <c r="BR872" t="s">
        <v>106</v>
      </c>
      <c r="BS872" t="s">
        <v>16350</v>
      </c>
      <c r="BT872" t="str">
        <f>HYPERLINK("https%3A%2F%2Fwww.webofscience.com%2Fwos%2Fwoscc%2Ffull-record%2FWOS:000394918000010","View Full Record in Web of Science")</f>
        <v>View Full Record in Web of Science</v>
      </c>
    </row>
    <row r="873" spans="1:72" x14ac:dyDescent="0.15">
      <c r="A873" t="s">
        <v>72</v>
      </c>
      <c r="B873" t="s">
        <v>16351</v>
      </c>
      <c r="C873" t="s">
        <v>74</v>
      </c>
      <c r="D873" t="s">
        <v>74</v>
      </c>
      <c r="E873" t="s">
        <v>74</v>
      </c>
      <c r="F873" t="s">
        <v>16352</v>
      </c>
      <c r="G873" t="s">
        <v>74</v>
      </c>
      <c r="H873" t="s">
        <v>74</v>
      </c>
      <c r="I873" t="s">
        <v>16353</v>
      </c>
      <c r="J873" t="s">
        <v>5526</v>
      </c>
      <c r="K873" t="s">
        <v>74</v>
      </c>
      <c r="L873" t="s">
        <v>74</v>
      </c>
      <c r="M873" t="s">
        <v>78</v>
      </c>
      <c r="N873" t="s">
        <v>79</v>
      </c>
      <c r="O873" t="s">
        <v>74</v>
      </c>
      <c r="P873" t="s">
        <v>74</v>
      </c>
      <c r="Q873" t="s">
        <v>74</v>
      </c>
      <c r="R873" t="s">
        <v>74</v>
      </c>
      <c r="S873" t="s">
        <v>74</v>
      </c>
      <c r="T873" t="s">
        <v>74</v>
      </c>
      <c r="U873" t="s">
        <v>16354</v>
      </c>
      <c r="V873" t="s">
        <v>16355</v>
      </c>
      <c r="W873" t="s">
        <v>16356</v>
      </c>
      <c r="X873" t="s">
        <v>16357</v>
      </c>
      <c r="Y873" t="s">
        <v>16358</v>
      </c>
      <c r="Z873" t="s">
        <v>16359</v>
      </c>
      <c r="AA873" t="s">
        <v>16360</v>
      </c>
      <c r="AB873" t="s">
        <v>16361</v>
      </c>
      <c r="AC873" t="s">
        <v>16362</v>
      </c>
      <c r="AD873" t="s">
        <v>16363</v>
      </c>
      <c r="AE873" t="s">
        <v>16364</v>
      </c>
      <c r="AF873" t="s">
        <v>74</v>
      </c>
      <c r="AG873">
        <v>82</v>
      </c>
      <c r="AH873">
        <v>37</v>
      </c>
      <c r="AI873">
        <v>40</v>
      </c>
      <c r="AJ873">
        <v>2</v>
      </c>
      <c r="AK873">
        <v>27</v>
      </c>
      <c r="AL873" t="s">
        <v>5531</v>
      </c>
      <c r="AM873" t="s">
        <v>5030</v>
      </c>
      <c r="AN873" t="s">
        <v>5532</v>
      </c>
      <c r="AO873" t="s">
        <v>5533</v>
      </c>
      <c r="AP873" t="s">
        <v>5534</v>
      </c>
      <c r="AQ873" t="s">
        <v>74</v>
      </c>
      <c r="AR873" t="s">
        <v>5535</v>
      </c>
      <c r="AS873" t="s">
        <v>5536</v>
      </c>
      <c r="AT873" t="s">
        <v>16127</v>
      </c>
      <c r="AU873">
        <v>2017</v>
      </c>
      <c r="AV873">
        <v>49</v>
      </c>
      <c r="AW873">
        <v>1</v>
      </c>
      <c r="AX873" t="s">
        <v>74</v>
      </c>
      <c r="AY873" t="s">
        <v>74</v>
      </c>
      <c r="AZ873" t="s">
        <v>74</v>
      </c>
      <c r="BA873" t="s">
        <v>74</v>
      </c>
      <c r="BB873">
        <v>147</v>
      </c>
      <c r="BC873">
        <v>171</v>
      </c>
      <c r="BD873" t="s">
        <v>74</v>
      </c>
      <c r="BE873" t="s">
        <v>16365</v>
      </c>
      <c r="BF873" t="str">
        <f>HYPERLINK("http://dx.doi.org/10.1657/AAAR0016-021","http://dx.doi.org/10.1657/AAAR0016-021")</f>
        <v>http://dx.doi.org/10.1657/AAAR0016-021</v>
      </c>
      <c r="BG873" t="s">
        <v>74</v>
      </c>
      <c r="BH873" t="s">
        <v>74</v>
      </c>
      <c r="BI873">
        <v>25</v>
      </c>
      <c r="BJ873" t="s">
        <v>5538</v>
      </c>
      <c r="BK873" t="s">
        <v>103</v>
      </c>
      <c r="BL873" t="s">
        <v>5539</v>
      </c>
      <c r="BM873" t="s">
        <v>16249</v>
      </c>
      <c r="BN873" t="s">
        <v>74</v>
      </c>
      <c r="BO873" t="s">
        <v>2510</v>
      </c>
      <c r="BP873" t="s">
        <v>74</v>
      </c>
      <c r="BQ873" t="s">
        <v>74</v>
      </c>
      <c r="BR873" t="s">
        <v>106</v>
      </c>
      <c r="BS873" t="s">
        <v>16366</v>
      </c>
      <c r="BT873" t="str">
        <f>HYPERLINK("https%3A%2F%2Fwww.webofscience.com%2Fwos%2Fwoscc%2Ffull-record%2FWOS:000394918000011","View Full Record in Web of Science")</f>
        <v>View Full Record in Web of Science</v>
      </c>
    </row>
    <row r="874" spans="1:72" x14ac:dyDescent="0.15">
      <c r="A874" t="s">
        <v>72</v>
      </c>
      <c r="B874" t="s">
        <v>16367</v>
      </c>
      <c r="C874" t="s">
        <v>74</v>
      </c>
      <c r="D874" t="s">
        <v>74</v>
      </c>
      <c r="E874" t="s">
        <v>74</v>
      </c>
      <c r="F874" t="s">
        <v>16368</v>
      </c>
      <c r="G874" t="s">
        <v>74</v>
      </c>
      <c r="H874" t="s">
        <v>74</v>
      </c>
      <c r="I874" t="s">
        <v>16369</v>
      </c>
      <c r="J874" t="s">
        <v>5526</v>
      </c>
      <c r="K874" t="s">
        <v>74</v>
      </c>
      <c r="L874" t="s">
        <v>74</v>
      </c>
      <c r="M874" t="s">
        <v>78</v>
      </c>
      <c r="N874" t="s">
        <v>79</v>
      </c>
      <c r="O874" t="s">
        <v>74</v>
      </c>
      <c r="P874" t="s">
        <v>74</v>
      </c>
      <c r="Q874" t="s">
        <v>74</v>
      </c>
      <c r="R874" t="s">
        <v>74</v>
      </c>
      <c r="S874" t="s">
        <v>74</v>
      </c>
      <c r="T874" t="s">
        <v>74</v>
      </c>
      <c r="U874" t="s">
        <v>16370</v>
      </c>
      <c r="V874" t="s">
        <v>16371</v>
      </c>
      <c r="W874" t="s">
        <v>16372</v>
      </c>
      <c r="X874" t="s">
        <v>16373</v>
      </c>
      <c r="Y874" t="s">
        <v>16374</v>
      </c>
      <c r="Z874" t="s">
        <v>16375</v>
      </c>
      <c r="AA874" t="s">
        <v>74</v>
      </c>
      <c r="AB874" t="s">
        <v>74</v>
      </c>
      <c r="AC874" t="s">
        <v>16376</v>
      </c>
      <c r="AD874" t="s">
        <v>16377</v>
      </c>
      <c r="AE874" t="s">
        <v>16378</v>
      </c>
      <c r="AF874" t="s">
        <v>74</v>
      </c>
      <c r="AG874">
        <v>33</v>
      </c>
      <c r="AH874">
        <v>8</v>
      </c>
      <c r="AI874">
        <v>10</v>
      </c>
      <c r="AJ874">
        <v>0</v>
      </c>
      <c r="AK874">
        <v>16</v>
      </c>
      <c r="AL874" t="s">
        <v>5531</v>
      </c>
      <c r="AM874" t="s">
        <v>5030</v>
      </c>
      <c r="AN874" t="s">
        <v>5532</v>
      </c>
      <c r="AO874" t="s">
        <v>5533</v>
      </c>
      <c r="AP874" t="s">
        <v>5534</v>
      </c>
      <c r="AQ874" t="s">
        <v>74</v>
      </c>
      <c r="AR874" t="s">
        <v>5535</v>
      </c>
      <c r="AS874" t="s">
        <v>5536</v>
      </c>
      <c r="AT874" t="s">
        <v>16127</v>
      </c>
      <c r="AU874">
        <v>2017</v>
      </c>
      <c r="AV874">
        <v>49</v>
      </c>
      <c r="AW874">
        <v>1</v>
      </c>
      <c r="AX874" t="s">
        <v>74</v>
      </c>
      <c r="AY874" t="s">
        <v>74</v>
      </c>
      <c r="AZ874" t="s">
        <v>74</v>
      </c>
      <c r="BA874" t="s">
        <v>74</v>
      </c>
      <c r="BB874">
        <v>173</v>
      </c>
      <c r="BC874">
        <v>185</v>
      </c>
      <c r="BD874" t="s">
        <v>74</v>
      </c>
      <c r="BE874" t="s">
        <v>16379</v>
      </c>
      <c r="BF874" t="str">
        <f>HYPERLINK("http://dx.doi.org/10.1657/AAAR0016-039","http://dx.doi.org/10.1657/AAAR0016-039")</f>
        <v>http://dx.doi.org/10.1657/AAAR0016-039</v>
      </c>
      <c r="BG874" t="s">
        <v>74</v>
      </c>
      <c r="BH874" t="s">
        <v>74</v>
      </c>
      <c r="BI874">
        <v>13</v>
      </c>
      <c r="BJ874" t="s">
        <v>5538</v>
      </c>
      <c r="BK874" t="s">
        <v>103</v>
      </c>
      <c r="BL874" t="s">
        <v>5539</v>
      </c>
      <c r="BM874" t="s">
        <v>16249</v>
      </c>
      <c r="BN874" t="s">
        <v>74</v>
      </c>
      <c r="BO874" t="s">
        <v>2510</v>
      </c>
      <c r="BP874" t="s">
        <v>74</v>
      </c>
      <c r="BQ874" t="s">
        <v>74</v>
      </c>
      <c r="BR874" t="s">
        <v>106</v>
      </c>
      <c r="BS874" t="s">
        <v>16380</v>
      </c>
      <c r="BT874" t="str">
        <f>HYPERLINK("https%3A%2F%2Fwww.webofscience.com%2Fwos%2Fwoscc%2Ffull-record%2FWOS:000394918000012","View Full Record in Web of Science")</f>
        <v>View Full Record in Web of Science</v>
      </c>
    </row>
    <row r="875" spans="1:72" x14ac:dyDescent="0.15">
      <c r="A875" t="s">
        <v>72</v>
      </c>
      <c r="B875" t="s">
        <v>16381</v>
      </c>
      <c r="C875" t="s">
        <v>74</v>
      </c>
      <c r="D875" t="s">
        <v>74</v>
      </c>
      <c r="E875" t="s">
        <v>74</v>
      </c>
      <c r="F875" t="s">
        <v>16382</v>
      </c>
      <c r="G875" t="s">
        <v>74</v>
      </c>
      <c r="H875" t="s">
        <v>74</v>
      </c>
      <c r="I875" t="s">
        <v>16383</v>
      </c>
      <c r="J875" t="s">
        <v>951</v>
      </c>
      <c r="K875" t="s">
        <v>74</v>
      </c>
      <c r="L875" t="s">
        <v>74</v>
      </c>
      <c r="M875" t="s">
        <v>78</v>
      </c>
      <c r="N875" t="s">
        <v>79</v>
      </c>
      <c r="O875" t="s">
        <v>74</v>
      </c>
      <c r="P875" t="s">
        <v>74</v>
      </c>
      <c r="Q875" t="s">
        <v>74</v>
      </c>
      <c r="R875" t="s">
        <v>74</v>
      </c>
      <c r="S875" t="s">
        <v>74</v>
      </c>
      <c r="T875" t="s">
        <v>74</v>
      </c>
      <c r="U875" t="s">
        <v>16384</v>
      </c>
      <c r="V875" t="s">
        <v>16385</v>
      </c>
      <c r="W875" t="s">
        <v>16386</v>
      </c>
      <c r="X875" t="s">
        <v>16387</v>
      </c>
      <c r="Y875" t="s">
        <v>16388</v>
      </c>
      <c r="Z875" t="s">
        <v>16389</v>
      </c>
      <c r="AA875" t="s">
        <v>74</v>
      </c>
      <c r="AB875" t="s">
        <v>74</v>
      </c>
      <c r="AC875" t="s">
        <v>16390</v>
      </c>
      <c r="AD875" t="s">
        <v>14556</v>
      </c>
      <c r="AE875" t="s">
        <v>16391</v>
      </c>
      <c r="AF875" t="s">
        <v>74</v>
      </c>
      <c r="AG875">
        <v>59</v>
      </c>
      <c r="AH875">
        <v>35</v>
      </c>
      <c r="AI875">
        <v>37</v>
      </c>
      <c r="AJ875">
        <v>1</v>
      </c>
      <c r="AK875">
        <v>47</v>
      </c>
      <c r="AL875" t="s">
        <v>681</v>
      </c>
      <c r="AM875" t="s">
        <v>682</v>
      </c>
      <c r="AN875" t="s">
        <v>683</v>
      </c>
      <c r="AO875" t="s">
        <v>963</v>
      </c>
      <c r="AP875" t="s">
        <v>964</v>
      </c>
      <c r="AQ875" t="s">
        <v>74</v>
      </c>
      <c r="AR875" t="s">
        <v>965</v>
      </c>
      <c r="AS875" t="s">
        <v>966</v>
      </c>
      <c r="AT875" t="s">
        <v>16127</v>
      </c>
      <c r="AU875">
        <v>2017</v>
      </c>
      <c r="AV875">
        <v>19</v>
      </c>
      <c r="AW875">
        <v>2</v>
      </c>
      <c r="AX875" t="s">
        <v>74</v>
      </c>
      <c r="AY875" t="s">
        <v>74</v>
      </c>
      <c r="AZ875" t="s">
        <v>74</v>
      </c>
      <c r="BA875" t="s">
        <v>74</v>
      </c>
      <c r="BB875">
        <v>628</v>
      </c>
      <c r="BC875">
        <v>644</v>
      </c>
      <c r="BD875" t="s">
        <v>74</v>
      </c>
      <c r="BE875" t="s">
        <v>16392</v>
      </c>
      <c r="BF875" t="str">
        <f>HYPERLINK("http://dx.doi.org/10.1111/1462-2920.13578","http://dx.doi.org/10.1111/1462-2920.13578")</f>
        <v>http://dx.doi.org/10.1111/1462-2920.13578</v>
      </c>
      <c r="BG875" t="s">
        <v>74</v>
      </c>
      <c r="BH875" t="s">
        <v>74</v>
      </c>
      <c r="BI875">
        <v>17</v>
      </c>
      <c r="BJ875" t="s">
        <v>410</v>
      </c>
      <c r="BK875" t="s">
        <v>103</v>
      </c>
      <c r="BL875" t="s">
        <v>410</v>
      </c>
      <c r="BM875" t="s">
        <v>16393</v>
      </c>
      <c r="BN875">
        <v>27750393</v>
      </c>
      <c r="BO875" t="s">
        <v>74</v>
      </c>
      <c r="BP875" t="s">
        <v>74</v>
      </c>
      <c r="BQ875" t="s">
        <v>74</v>
      </c>
      <c r="BR875" t="s">
        <v>106</v>
      </c>
      <c r="BS875" t="s">
        <v>16394</v>
      </c>
      <c r="BT875" t="str">
        <f>HYPERLINK("https%3A%2F%2Fwww.webofscience.com%2Fwos%2Fwoscc%2Ffull-record%2FWOS:000394973000022","View Full Record in Web of Science")</f>
        <v>View Full Record in Web of Science</v>
      </c>
    </row>
    <row r="876" spans="1:72" x14ac:dyDescent="0.15">
      <c r="A876" t="s">
        <v>72</v>
      </c>
      <c r="B876" t="s">
        <v>16395</v>
      </c>
      <c r="C876" t="s">
        <v>74</v>
      </c>
      <c r="D876" t="s">
        <v>74</v>
      </c>
      <c r="E876" t="s">
        <v>74</v>
      </c>
      <c r="F876" t="s">
        <v>16396</v>
      </c>
      <c r="G876" t="s">
        <v>74</v>
      </c>
      <c r="H876" t="s">
        <v>74</v>
      </c>
      <c r="I876" t="s">
        <v>16397</v>
      </c>
      <c r="J876" t="s">
        <v>444</v>
      </c>
      <c r="K876" t="s">
        <v>74</v>
      </c>
      <c r="L876" t="s">
        <v>74</v>
      </c>
      <c r="M876" t="s">
        <v>78</v>
      </c>
      <c r="N876" t="s">
        <v>79</v>
      </c>
      <c r="O876" t="s">
        <v>74</v>
      </c>
      <c r="P876" t="s">
        <v>74</v>
      </c>
      <c r="Q876" t="s">
        <v>74</v>
      </c>
      <c r="R876" t="s">
        <v>74</v>
      </c>
      <c r="S876" t="s">
        <v>74</v>
      </c>
      <c r="T876" t="s">
        <v>74</v>
      </c>
      <c r="U876" t="s">
        <v>16398</v>
      </c>
      <c r="V876" t="s">
        <v>16399</v>
      </c>
      <c r="W876" t="s">
        <v>16400</v>
      </c>
      <c r="X876" t="s">
        <v>16401</v>
      </c>
      <c r="Y876" t="s">
        <v>16402</v>
      </c>
      <c r="Z876" t="s">
        <v>16403</v>
      </c>
      <c r="AA876" t="s">
        <v>74</v>
      </c>
      <c r="AB876" t="s">
        <v>74</v>
      </c>
      <c r="AC876" t="s">
        <v>16404</v>
      </c>
      <c r="AD876" t="s">
        <v>16405</v>
      </c>
      <c r="AE876" t="s">
        <v>16406</v>
      </c>
      <c r="AF876" t="s">
        <v>74</v>
      </c>
      <c r="AG876">
        <v>66</v>
      </c>
      <c r="AH876">
        <v>9</v>
      </c>
      <c r="AI876">
        <v>11</v>
      </c>
      <c r="AJ876">
        <v>0</v>
      </c>
      <c r="AK876">
        <v>11</v>
      </c>
      <c r="AL876" t="s">
        <v>222</v>
      </c>
      <c r="AM876" t="s">
        <v>223</v>
      </c>
      <c r="AN876" t="s">
        <v>224</v>
      </c>
      <c r="AO876" t="s">
        <v>74</v>
      </c>
      <c r="AP876" t="s">
        <v>452</v>
      </c>
      <c r="AQ876" t="s">
        <v>74</v>
      </c>
      <c r="AR876" t="s">
        <v>453</v>
      </c>
      <c r="AS876" t="s">
        <v>454</v>
      </c>
      <c r="AT876" t="s">
        <v>16127</v>
      </c>
      <c r="AU876">
        <v>2017</v>
      </c>
      <c r="AV876">
        <v>18</v>
      </c>
      <c r="AW876">
        <v>2</v>
      </c>
      <c r="AX876" t="s">
        <v>74</v>
      </c>
      <c r="AY876" t="s">
        <v>74</v>
      </c>
      <c r="AZ876" t="s">
        <v>74</v>
      </c>
      <c r="BA876" t="s">
        <v>74</v>
      </c>
      <c r="BB876">
        <v>544</v>
      </c>
      <c r="BC876">
        <v>557</v>
      </c>
      <c r="BD876" t="s">
        <v>74</v>
      </c>
      <c r="BE876" t="s">
        <v>16407</v>
      </c>
      <c r="BF876" t="str">
        <f>HYPERLINK("http://dx.doi.org/10.1002/2016GC006729","http://dx.doi.org/10.1002/2016GC006729")</f>
        <v>http://dx.doi.org/10.1002/2016GC006729</v>
      </c>
      <c r="BG876" t="s">
        <v>74</v>
      </c>
      <c r="BH876" t="s">
        <v>74</v>
      </c>
      <c r="BI876">
        <v>14</v>
      </c>
      <c r="BJ876" t="s">
        <v>176</v>
      </c>
      <c r="BK876" t="s">
        <v>103</v>
      </c>
      <c r="BL876" t="s">
        <v>176</v>
      </c>
      <c r="BM876" t="s">
        <v>16408</v>
      </c>
      <c r="BN876" t="s">
        <v>74</v>
      </c>
      <c r="BO876" t="s">
        <v>412</v>
      </c>
      <c r="BP876" t="s">
        <v>74</v>
      </c>
      <c r="BQ876" t="s">
        <v>74</v>
      </c>
      <c r="BR876" t="s">
        <v>106</v>
      </c>
      <c r="BS876" t="s">
        <v>16409</v>
      </c>
      <c r="BT876" t="str">
        <f>HYPERLINK("https%3A%2F%2Fwww.webofscience.com%2Fwos%2Fwoscc%2Ffull-record%2FWOS:000396757200006","View Full Record in Web of Science")</f>
        <v>View Full Record in Web of Science</v>
      </c>
    </row>
    <row r="877" spans="1:72" x14ac:dyDescent="0.15">
      <c r="A877" t="s">
        <v>72</v>
      </c>
      <c r="B877" t="s">
        <v>16410</v>
      </c>
      <c r="C877" t="s">
        <v>74</v>
      </c>
      <c r="D877" t="s">
        <v>74</v>
      </c>
      <c r="E877" t="s">
        <v>74</v>
      </c>
      <c r="F877" t="s">
        <v>16411</v>
      </c>
      <c r="G877" t="s">
        <v>74</v>
      </c>
      <c r="H877" t="s">
        <v>74</v>
      </c>
      <c r="I877" t="s">
        <v>16412</v>
      </c>
      <c r="J877" t="s">
        <v>16413</v>
      </c>
      <c r="K877" t="s">
        <v>74</v>
      </c>
      <c r="L877" t="s">
        <v>74</v>
      </c>
      <c r="M877" t="s">
        <v>78</v>
      </c>
      <c r="N877" t="s">
        <v>1475</v>
      </c>
      <c r="O877" t="s">
        <v>74</v>
      </c>
      <c r="P877" t="s">
        <v>74</v>
      </c>
      <c r="Q877" t="s">
        <v>74</v>
      </c>
      <c r="R877" t="s">
        <v>74</v>
      </c>
      <c r="S877" t="s">
        <v>74</v>
      </c>
      <c r="T877" t="s">
        <v>74</v>
      </c>
      <c r="U877" t="s">
        <v>74</v>
      </c>
      <c r="V877" t="s">
        <v>74</v>
      </c>
      <c r="W877" t="s">
        <v>16414</v>
      </c>
      <c r="X877" t="s">
        <v>16415</v>
      </c>
      <c r="Y877" t="s">
        <v>16416</v>
      </c>
      <c r="Z877" t="s">
        <v>74</v>
      </c>
      <c r="AA877" t="s">
        <v>16417</v>
      </c>
      <c r="AB877" t="s">
        <v>74</v>
      </c>
      <c r="AC877" t="s">
        <v>74</v>
      </c>
      <c r="AD877" t="s">
        <v>74</v>
      </c>
      <c r="AE877" t="s">
        <v>74</v>
      </c>
      <c r="AF877" t="s">
        <v>74</v>
      </c>
      <c r="AG877">
        <v>1</v>
      </c>
      <c r="AH877">
        <v>0</v>
      </c>
      <c r="AI877">
        <v>0</v>
      </c>
      <c r="AJ877">
        <v>0</v>
      </c>
      <c r="AK877">
        <v>3</v>
      </c>
      <c r="AL877" t="s">
        <v>16418</v>
      </c>
      <c r="AM877" t="s">
        <v>1984</v>
      </c>
      <c r="AN877" t="s">
        <v>16419</v>
      </c>
      <c r="AO877" t="s">
        <v>16420</v>
      </c>
      <c r="AP877" t="s">
        <v>16421</v>
      </c>
      <c r="AQ877" t="s">
        <v>74</v>
      </c>
      <c r="AR877" t="s">
        <v>16422</v>
      </c>
      <c r="AS877" t="s">
        <v>16423</v>
      </c>
      <c r="AT877" t="s">
        <v>16127</v>
      </c>
      <c r="AU877">
        <v>2017</v>
      </c>
      <c r="AV877">
        <v>17</v>
      </c>
      <c r="AW877">
        <v>1</v>
      </c>
      <c r="AX877" t="s">
        <v>74</v>
      </c>
      <c r="AY877" t="s">
        <v>74</v>
      </c>
      <c r="AZ877" t="s">
        <v>74</v>
      </c>
      <c r="BA877" t="s">
        <v>74</v>
      </c>
      <c r="BB877">
        <v>121</v>
      </c>
      <c r="BC877">
        <v>124</v>
      </c>
      <c r="BD877" t="s">
        <v>74</v>
      </c>
      <c r="BE877" t="s">
        <v>74</v>
      </c>
      <c r="BF877" t="s">
        <v>74</v>
      </c>
      <c r="BG877" t="s">
        <v>74</v>
      </c>
      <c r="BH877" t="s">
        <v>74</v>
      </c>
      <c r="BI877">
        <v>4</v>
      </c>
      <c r="BJ877" t="s">
        <v>16424</v>
      </c>
      <c r="BK877" t="s">
        <v>3321</v>
      </c>
      <c r="BL877" t="s">
        <v>16425</v>
      </c>
      <c r="BM877" t="s">
        <v>16426</v>
      </c>
      <c r="BN877" t="s">
        <v>74</v>
      </c>
      <c r="BO877" t="s">
        <v>74</v>
      </c>
      <c r="BP877" t="s">
        <v>74</v>
      </c>
      <c r="BQ877" t="s">
        <v>74</v>
      </c>
      <c r="BR877" t="s">
        <v>106</v>
      </c>
      <c r="BS877" t="s">
        <v>16427</v>
      </c>
      <c r="BT877" t="str">
        <f>HYPERLINK("https%3A%2F%2Fwww.webofscience.com%2Fwos%2Fwoscc%2Ffull-record%2FWOS:000395548700008","View Full Record in Web of Science")</f>
        <v>View Full Record in Web of Science</v>
      </c>
    </row>
    <row r="878" spans="1:72" x14ac:dyDescent="0.15">
      <c r="A878" t="s">
        <v>72</v>
      </c>
      <c r="B878" t="s">
        <v>16428</v>
      </c>
      <c r="C878" t="s">
        <v>74</v>
      </c>
      <c r="D878" t="s">
        <v>74</v>
      </c>
      <c r="E878" t="s">
        <v>74</v>
      </c>
      <c r="F878" t="s">
        <v>16429</v>
      </c>
      <c r="G878" t="s">
        <v>74</v>
      </c>
      <c r="H878" t="s">
        <v>74</v>
      </c>
      <c r="I878" t="s">
        <v>16430</v>
      </c>
      <c r="J878" t="s">
        <v>1246</v>
      </c>
      <c r="K878" t="s">
        <v>74</v>
      </c>
      <c r="L878" t="s">
        <v>74</v>
      </c>
      <c r="M878" t="s">
        <v>78</v>
      </c>
      <c r="N878" t="s">
        <v>79</v>
      </c>
      <c r="O878" t="s">
        <v>74</v>
      </c>
      <c r="P878" t="s">
        <v>74</v>
      </c>
      <c r="Q878" t="s">
        <v>74</v>
      </c>
      <c r="R878" t="s">
        <v>74</v>
      </c>
      <c r="S878" t="s">
        <v>74</v>
      </c>
      <c r="T878" t="s">
        <v>74</v>
      </c>
      <c r="U878" t="s">
        <v>16431</v>
      </c>
      <c r="V878" t="s">
        <v>16432</v>
      </c>
      <c r="W878" t="s">
        <v>16433</v>
      </c>
      <c r="X878" t="s">
        <v>16434</v>
      </c>
      <c r="Y878" t="s">
        <v>16435</v>
      </c>
      <c r="Z878" t="s">
        <v>16436</v>
      </c>
      <c r="AA878" t="s">
        <v>16437</v>
      </c>
      <c r="AB878" t="s">
        <v>16438</v>
      </c>
      <c r="AC878" t="s">
        <v>16439</v>
      </c>
      <c r="AD878" t="s">
        <v>16440</v>
      </c>
      <c r="AE878" t="s">
        <v>16441</v>
      </c>
      <c r="AF878" t="s">
        <v>74</v>
      </c>
      <c r="AG878">
        <v>41</v>
      </c>
      <c r="AH878">
        <v>10</v>
      </c>
      <c r="AI878">
        <v>13</v>
      </c>
      <c r="AJ878">
        <v>2</v>
      </c>
      <c r="AK878">
        <v>17</v>
      </c>
      <c r="AL878" t="s">
        <v>1115</v>
      </c>
      <c r="AM878" t="s">
        <v>1116</v>
      </c>
      <c r="AN878" t="s">
        <v>1117</v>
      </c>
      <c r="AO878" t="s">
        <v>1256</v>
      </c>
      <c r="AP878" t="s">
        <v>1257</v>
      </c>
      <c r="AQ878" t="s">
        <v>74</v>
      </c>
      <c r="AR878" t="s">
        <v>1258</v>
      </c>
      <c r="AS878" t="s">
        <v>1259</v>
      </c>
      <c r="AT878" t="s">
        <v>16127</v>
      </c>
      <c r="AU878">
        <v>2017</v>
      </c>
      <c r="AV878">
        <v>56</v>
      </c>
      <c r="AW878">
        <v>2</v>
      </c>
      <c r="AX878" t="s">
        <v>74</v>
      </c>
      <c r="AY878" t="s">
        <v>74</v>
      </c>
      <c r="AZ878" t="s">
        <v>74</v>
      </c>
      <c r="BA878" t="s">
        <v>74</v>
      </c>
      <c r="BB878">
        <v>433</v>
      </c>
      <c r="BC878">
        <v>453</v>
      </c>
      <c r="BD878" t="s">
        <v>74</v>
      </c>
      <c r="BE878" t="s">
        <v>16442</v>
      </c>
      <c r="BF878" t="str">
        <f>HYPERLINK("http://dx.doi.org/10.1175/JAMC-D-16-0060.1","http://dx.doi.org/10.1175/JAMC-D-16-0060.1")</f>
        <v>http://dx.doi.org/10.1175/JAMC-D-16-0060.1</v>
      </c>
      <c r="BG878" t="s">
        <v>74</v>
      </c>
      <c r="BH878" t="s">
        <v>74</v>
      </c>
      <c r="BI878">
        <v>21</v>
      </c>
      <c r="BJ878" t="s">
        <v>1261</v>
      </c>
      <c r="BK878" t="s">
        <v>103</v>
      </c>
      <c r="BL878" t="s">
        <v>1261</v>
      </c>
      <c r="BM878" t="s">
        <v>16443</v>
      </c>
      <c r="BN878" t="s">
        <v>74</v>
      </c>
      <c r="BO878" t="s">
        <v>74</v>
      </c>
      <c r="BP878" t="s">
        <v>74</v>
      </c>
      <c r="BQ878" t="s">
        <v>74</v>
      </c>
      <c r="BR878" t="s">
        <v>106</v>
      </c>
      <c r="BS878" t="s">
        <v>16444</v>
      </c>
      <c r="BT878" t="str">
        <f>HYPERLINK("https%3A%2F%2Fwww.webofscience.com%2Fwos%2Fwoscc%2Ffull-record%2FWOS:000394500500011","View Full Record in Web of Science")</f>
        <v>View Full Record in Web of Science</v>
      </c>
    </row>
    <row r="879" spans="1:72" x14ac:dyDescent="0.15">
      <c r="A879" t="s">
        <v>72</v>
      </c>
      <c r="B879" t="s">
        <v>16445</v>
      </c>
      <c r="C879" t="s">
        <v>74</v>
      </c>
      <c r="D879" t="s">
        <v>74</v>
      </c>
      <c r="E879" t="s">
        <v>74</v>
      </c>
      <c r="F879" t="s">
        <v>16446</v>
      </c>
      <c r="G879" t="s">
        <v>74</v>
      </c>
      <c r="H879" t="s">
        <v>74</v>
      </c>
      <c r="I879" t="s">
        <v>16447</v>
      </c>
      <c r="J879" t="s">
        <v>1521</v>
      </c>
      <c r="K879" t="s">
        <v>74</v>
      </c>
      <c r="L879" t="s">
        <v>74</v>
      </c>
      <c r="M879" t="s">
        <v>78</v>
      </c>
      <c r="N879" t="s">
        <v>79</v>
      </c>
      <c r="O879" t="s">
        <v>74</v>
      </c>
      <c r="P879" t="s">
        <v>74</v>
      </c>
      <c r="Q879" t="s">
        <v>74</v>
      </c>
      <c r="R879" t="s">
        <v>74</v>
      </c>
      <c r="S879" t="s">
        <v>74</v>
      </c>
      <c r="T879" t="s">
        <v>74</v>
      </c>
      <c r="U879" t="s">
        <v>16448</v>
      </c>
      <c r="V879" t="s">
        <v>16449</v>
      </c>
      <c r="W879" t="s">
        <v>16450</v>
      </c>
      <c r="X879" t="s">
        <v>16451</v>
      </c>
      <c r="Y879" t="s">
        <v>16452</v>
      </c>
      <c r="Z879" t="s">
        <v>16453</v>
      </c>
      <c r="AA879" t="s">
        <v>16454</v>
      </c>
      <c r="AB879" t="s">
        <v>16455</v>
      </c>
      <c r="AC879" t="s">
        <v>16456</v>
      </c>
      <c r="AD879" t="s">
        <v>16456</v>
      </c>
      <c r="AE879" t="s">
        <v>16457</v>
      </c>
      <c r="AF879" t="s">
        <v>74</v>
      </c>
      <c r="AG879">
        <v>52</v>
      </c>
      <c r="AH879">
        <v>33</v>
      </c>
      <c r="AI879">
        <v>35</v>
      </c>
      <c r="AJ879">
        <v>2</v>
      </c>
      <c r="AK879">
        <v>21</v>
      </c>
      <c r="AL879" t="s">
        <v>1115</v>
      </c>
      <c r="AM879" t="s">
        <v>1116</v>
      </c>
      <c r="AN879" t="s">
        <v>1569</v>
      </c>
      <c r="AO879" t="s">
        <v>1532</v>
      </c>
      <c r="AP879" t="s">
        <v>1533</v>
      </c>
      <c r="AQ879" t="s">
        <v>74</v>
      </c>
      <c r="AR879" t="s">
        <v>1534</v>
      </c>
      <c r="AS879" t="s">
        <v>1535</v>
      </c>
      <c r="AT879" t="s">
        <v>16127</v>
      </c>
      <c r="AU879">
        <v>2017</v>
      </c>
      <c r="AV879">
        <v>30</v>
      </c>
      <c r="AW879">
        <v>4</v>
      </c>
      <c r="AX879" t="s">
        <v>74</v>
      </c>
      <c r="AY879" t="s">
        <v>74</v>
      </c>
      <c r="AZ879" t="s">
        <v>74</v>
      </c>
      <c r="BA879" t="s">
        <v>74</v>
      </c>
      <c r="BB879">
        <v>1493</v>
      </c>
      <c r="BC879">
        <v>1504</v>
      </c>
      <c r="BD879" t="s">
        <v>74</v>
      </c>
      <c r="BE879" t="s">
        <v>16458</v>
      </c>
      <c r="BF879" t="str">
        <f>HYPERLINK("http://dx.doi.org/10.1175/JCLI-D-16-0581.1","http://dx.doi.org/10.1175/JCLI-D-16-0581.1")</f>
        <v>http://dx.doi.org/10.1175/JCLI-D-16-0581.1</v>
      </c>
      <c r="BG879" t="s">
        <v>74</v>
      </c>
      <c r="BH879" t="s">
        <v>74</v>
      </c>
      <c r="BI879">
        <v>12</v>
      </c>
      <c r="BJ879" t="s">
        <v>1261</v>
      </c>
      <c r="BK879" t="s">
        <v>103</v>
      </c>
      <c r="BL879" t="s">
        <v>1261</v>
      </c>
      <c r="BM879" t="s">
        <v>16459</v>
      </c>
      <c r="BN879" t="s">
        <v>74</v>
      </c>
      <c r="BO879" t="s">
        <v>74</v>
      </c>
      <c r="BP879" t="s">
        <v>74</v>
      </c>
      <c r="BQ879" t="s">
        <v>74</v>
      </c>
      <c r="BR879" t="s">
        <v>106</v>
      </c>
      <c r="BS879" t="s">
        <v>16460</v>
      </c>
      <c r="BT879" t="str">
        <f>HYPERLINK("https%3A%2F%2Fwww.webofscience.com%2Fwos%2Fwoscc%2Ffull-record%2FWOS:000395522400019","View Full Record in Web of Science")</f>
        <v>View Full Record in Web of Science</v>
      </c>
    </row>
    <row r="880" spans="1:72" x14ac:dyDescent="0.15">
      <c r="A880" t="s">
        <v>72</v>
      </c>
      <c r="B880" t="s">
        <v>16461</v>
      </c>
      <c r="C880" t="s">
        <v>74</v>
      </c>
      <c r="D880" t="s">
        <v>74</v>
      </c>
      <c r="E880" t="s">
        <v>74</v>
      </c>
      <c r="F880" t="s">
        <v>16462</v>
      </c>
      <c r="G880" t="s">
        <v>74</v>
      </c>
      <c r="H880" t="s">
        <v>74</v>
      </c>
      <c r="I880" t="s">
        <v>16463</v>
      </c>
      <c r="J880" t="s">
        <v>1971</v>
      </c>
      <c r="K880" t="s">
        <v>74</v>
      </c>
      <c r="L880" t="s">
        <v>74</v>
      </c>
      <c r="M880" t="s">
        <v>78</v>
      </c>
      <c r="N880" t="s">
        <v>79</v>
      </c>
      <c r="O880" t="s">
        <v>74</v>
      </c>
      <c r="P880" t="s">
        <v>74</v>
      </c>
      <c r="Q880" t="s">
        <v>74</v>
      </c>
      <c r="R880" t="s">
        <v>74</v>
      </c>
      <c r="S880" t="s">
        <v>74</v>
      </c>
      <c r="T880" t="s">
        <v>16464</v>
      </c>
      <c r="U880" t="s">
        <v>16465</v>
      </c>
      <c r="V880" t="s">
        <v>16466</v>
      </c>
      <c r="W880" t="s">
        <v>16467</v>
      </c>
      <c r="X880" t="s">
        <v>16468</v>
      </c>
      <c r="Y880" t="s">
        <v>16469</v>
      </c>
      <c r="Z880" t="s">
        <v>16470</v>
      </c>
      <c r="AA880" t="s">
        <v>74</v>
      </c>
      <c r="AB880" t="s">
        <v>74</v>
      </c>
      <c r="AC880" t="s">
        <v>16471</v>
      </c>
      <c r="AD880" t="s">
        <v>16472</v>
      </c>
      <c r="AE880" t="s">
        <v>16473</v>
      </c>
      <c r="AF880" t="s">
        <v>74</v>
      </c>
      <c r="AG880">
        <v>26</v>
      </c>
      <c r="AH880">
        <v>1</v>
      </c>
      <c r="AI880">
        <v>2</v>
      </c>
      <c r="AJ880">
        <v>0</v>
      </c>
      <c r="AK880">
        <v>4</v>
      </c>
      <c r="AL880" t="s">
        <v>803</v>
      </c>
      <c r="AM880" t="s">
        <v>1984</v>
      </c>
      <c r="AN880" t="s">
        <v>1985</v>
      </c>
      <c r="AO880" t="s">
        <v>1986</v>
      </c>
      <c r="AP880" t="s">
        <v>1987</v>
      </c>
      <c r="AQ880" t="s">
        <v>74</v>
      </c>
      <c r="AR880" t="s">
        <v>1988</v>
      </c>
      <c r="AS880" t="s">
        <v>1989</v>
      </c>
      <c r="AT880" t="s">
        <v>16127</v>
      </c>
      <c r="AU880">
        <v>2017</v>
      </c>
      <c r="AV880">
        <v>63</v>
      </c>
      <c r="AW880">
        <v>237</v>
      </c>
      <c r="AX880" t="s">
        <v>74</v>
      </c>
      <c r="AY880" t="s">
        <v>74</v>
      </c>
      <c r="AZ880" t="s">
        <v>74</v>
      </c>
      <c r="BA880" t="s">
        <v>74</v>
      </c>
      <c r="BB880">
        <v>17</v>
      </c>
      <c r="BC880">
        <v>21</v>
      </c>
      <c r="BD880" t="s">
        <v>74</v>
      </c>
      <c r="BE880" t="s">
        <v>16474</v>
      </c>
      <c r="BF880" t="str">
        <f>HYPERLINK("http://dx.doi.org/10.1017/jog.2016.105","http://dx.doi.org/10.1017/jog.2016.105")</f>
        <v>http://dx.doi.org/10.1017/jog.2016.105</v>
      </c>
      <c r="BG880" t="s">
        <v>74</v>
      </c>
      <c r="BH880" t="s">
        <v>74</v>
      </c>
      <c r="BI880">
        <v>5</v>
      </c>
      <c r="BJ880" t="s">
        <v>1338</v>
      </c>
      <c r="BK880" t="s">
        <v>103</v>
      </c>
      <c r="BL880" t="s">
        <v>1339</v>
      </c>
      <c r="BM880" t="s">
        <v>16475</v>
      </c>
      <c r="BN880" t="s">
        <v>74</v>
      </c>
      <c r="BO880" t="s">
        <v>131</v>
      </c>
      <c r="BP880" t="s">
        <v>74</v>
      </c>
      <c r="BQ880" t="s">
        <v>74</v>
      </c>
      <c r="BR880" t="s">
        <v>106</v>
      </c>
      <c r="BS880" t="s">
        <v>16476</v>
      </c>
      <c r="BT880" t="str">
        <f>HYPERLINK("https%3A%2F%2Fwww.webofscience.com%2Fwos%2Fwoscc%2Ffull-record%2FWOS:000394435300002","View Full Record in Web of Science")</f>
        <v>View Full Record in Web of Science</v>
      </c>
    </row>
    <row r="881" spans="1:72" x14ac:dyDescent="0.15">
      <c r="A881" t="s">
        <v>72</v>
      </c>
      <c r="B881" t="s">
        <v>16477</v>
      </c>
      <c r="C881" t="s">
        <v>74</v>
      </c>
      <c r="D881" t="s">
        <v>74</v>
      </c>
      <c r="E881" t="s">
        <v>74</v>
      </c>
      <c r="F881" t="s">
        <v>16478</v>
      </c>
      <c r="G881" t="s">
        <v>74</v>
      </c>
      <c r="H881" t="s">
        <v>74</v>
      </c>
      <c r="I881" t="s">
        <v>16479</v>
      </c>
      <c r="J881" t="s">
        <v>16480</v>
      </c>
      <c r="K881" t="s">
        <v>74</v>
      </c>
      <c r="L881" t="s">
        <v>74</v>
      </c>
      <c r="M881" t="s">
        <v>78</v>
      </c>
      <c r="N881" t="s">
        <v>79</v>
      </c>
      <c r="O881" t="s">
        <v>74</v>
      </c>
      <c r="P881" t="s">
        <v>74</v>
      </c>
      <c r="Q881" t="s">
        <v>74</v>
      </c>
      <c r="R881" t="s">
        <v>74</v>
      </c>
      <c r="S881" t="s">
        <v>74</v>
      </c>
      <c r="T881" t="s">
        <v>16481</v>
      </c>
      <c r="U881" t="s">
        <v>16482</v>
      </c>
      <c r="V881" t="s">
        <v>16483</v>
      </c>
      <c r="W881" t="s">
        <v>16484</v>
      </c>
      <c r="X881" t="s">
        <v>16485</v>
      </c>
      <c r="Y881" t="s">
        <v>16486</v>
      </c>
      <c r="Z881" t="s">
        <v>16487</v>
      </c>
      <c r="AA881" t="s">
        <v>16488</v>
      </c>
      <c r="AB881" t="s">
        <v>16489</v>
      </c>
      <c r="AC881" t="s">
        <v>74</v>
      </c>
      <c r="AD881" t="s">
        <v>74</v>
      </c>
      <c r="AE881" t="s">
        <v>74</v>
      </c>
      <c r="AF881" t="s">
        <v>74</v>
      </c>
      <c r="AG881">
        <v>62</v>
      </c>
      <c r="AH881">
        <v>7</v>
      </c>
      <c r="AI881">
        <v>7</v>
      </c>
      <c r="AJ881">
        <v>0</v>
      </c>
      <c r="AK881">
        <v>6</v>
      </c>
      <c r="AL881" t="s">
        <v>374</v>
      </c>
      <c r="AM881" t="s">
        <v>93</v>
      </c>
      <c r="AN881" t="s">
        <v>375</v>
      </c>
      <c r="AO881" t="s">
        <v>16490</v>
      </c>
      <c r="AP881" t="s">
        <v>74</v>
      </c>
      <c r="AQ881" t="s">
        <v>74</v>
      </c>
      <c r="AR881" t="s">
        <v>16491</v>
      </c>
      <c r="AS881" t="s">
        <v>16492</v>
      </c>
      <c r="AT881" t="s">
        <v>16127</v>
      </c>
      <c r="AU881">
        <v>2017</v>
      </c>
      <c r="AV881">
        <v>128</v>
      </c>
      <c r="AW881">
        <v>1</v>
      </c>
      <c r="AX881" t="s">
        <v>74</v>
      </c>
      <c r="AY881" t="s">
        <v>74</v>
      </c>
      <c r="AZ881" t="s">
        <v>100</v>
      </c>
      <c r="BA881" t="s">
        <v>74</v>
      </c>
      <c r="BB881">
        <v>54</v>
      </c>
      <c r="BC881">
        <v>66</v>
      </c>
      <c r="BD881" t="s">
        <v>74</v>
      </c>
      <c r="BE881" t="s">
        <v>16493</v>
      </c>
      <c r="BF881" t="str">
        <f>HYPERLINK("http://dx.doi.org/10.1016/j.pgeola.2015.11.004","http://dx.doi.org/10.1016/j.pgeola.2015.11.004")</f>
        <v>http://dx.doi.org/10.1016/j.pgeola.2015.11.004</v>
      </c>
      <c r="BG881" t="s">
        <v>74</v>
      </c>
      <c r="BH881" t="s">
        <v>74</v>
      </c>
      <c r="BI881">
        <v>13</v>
      </c>
      <c r="BJ881" t="s">
        <v>9675</v>
      </c>
      <c r="BK881" t="s">
        <v>103</v>
      </c>
      <c r="BL881" t="s">
        <v>9675</v>
      </c>
      <c r="BM881" t="s">
        <v>16494</v>
      </c>
      <c r="BN881" t="s">
        <v>74</v>
      </c>
      <c r="BO881" t="s">
        <v>74</v>
      </c>
      <c r="BP881" t="s">
        <v>74</v>
      </c>
      <c r="BQ881" t="s">
        <v>74</v>
      </c>
      <c r="BR881" t="s">
        <v>106</v>
      </c>
      <c r="BS881" t="s">
        <v>16495</v>
      </c>
      <c r="BT881" t="str">
        <f>HYPERLINK("https%3A%2F%2Fwww.webofscience.com%2Fwos%2Fwoscc%2Ffull-record%2FWOS:000397551900006","View Full Record in Web of Science")</f>
        <v>View Full Record in Web of Science</v>
      </c>
    </row>
    <row r="882" spans="1:72" x14ac:dyDescent="0.15">
      <c r="A882" t="s">
        <v>72</v>
      </c>
      <c r="B882" t="s">
        <v>16496</v>
      </c>
      <c r="C882" t="s">
        <v>74</v>
      </c>
      <c r="D882" t="s">
        <v>74</v>
      </c>
      <c r="E882" t="s">
        <v>74</v>
      </c>
      <c r="F882" t="s">
        <v>16497</v>
      </c>
      <c r="G882" t="s">
        <v>74</v>
      </c>
      <c r="H882" t="s">
        <v>74</v>
      </c>
      <c r="I882" t="s">
        <v>16498</v>
      </c>
      <c r="J882" t="s">
        <v>16499</v>
      </c>
      <c r="K882" t="s">
        <v>74</v>
      </c>
      <c r="L882" t="s">
        <v>74</v>
      </c>
      <c r="M882" t="s">
        <v>78</v>
      </c>
      <c r="N882" t="s">
        <v>79</v>
      </c>
      <c r="O882" t="s">
        <v>74</v>
      </c>
      <c r="P882" t="s">
        <v>74</v>
      </c>
      <c r="Q882" t="s">
        <v>74</v>
      </c>
      <c r="R882" t="s">
        <v>74</v>
      </c>
      <c r="S882" t="s">
        <v>74</v>
      </c>
      <c r="T882" t="s">
        <v>74</v>
      </c>
      <c r="U882" t="s">
        <v>16500</v>
      </c>
      <c r="V882" t="s">
        <v>16501</v>
      </c>
      <c r="W882" t="s">
        <v>16502</v>
      </c>
      <c r="X882" t="s">
        <v>1525</v>
      </c>
      <c r="Y882" t="s">
        <v>16503</v>
      </c>
      <c r="Z882" t="s">
        <v>16504</v>
      </c>
      <c r="AA882" t="s">
        <v>74</v>
      </c>
      <c r="AB882" t="s">
        <v>16505</v>
      </c>
      <c r="AC882" t="s">
        <v>16506</v>
      </c>
      <c r="AD882" t="s">
        <v>16507</v>
      </c>
      <c r="AE882" t="s">
        <v>16508</v>
      </c>
      <c r="AF882" t="s">
        <v>74</v>
      </c>
      <c r="AG882">
        <v>56</v>
      </c>
      <c r="AH882">
        <v>12</v>
      </c>
      <c r="AI882">
        <v>14</v>
      </c>
      <c r="AJ882">
        <v>0</v>
      </c>
      <c r="AK882">
        <v>14</v>
      </c>
      <c r="AL882" t="s">
        <v>222</v>
      </c>
      <c r="AM882" t="s">
        <v>223</v>
      </c>
      <c r="AN882" t="s">
        <v>224</v>
      </c>
      <c r="AO882" t="s">
        <v>16509</v>
      </c>
      <c r="AP882" t="s">
        <v>16510</v>
      </c>
      <c r="AQ882" t="s">
        <v>74</v>
      </c>
      <c r="AR882" t="s">
        <v>16499</v>
      </c>
      <c r="AS882" t="s">
        <v>16511</v>
      </c>
      <c r="AT882" t="s">
        <v>16127</v>
      </c>
      <c r="AU882">
        <v>2017</v>
      </c>
      <c r="AV882">
        <v>36</v>
      </c>
      <c r="AW882">
        <v>2</v>
      </c>
      <c r="AX882" t="s">
        <v>74</v>
      </c>
      <c r="AY882" t="s">
        <v>74</v>
      </c>
      <c r="AZ882" t="s">
        <v>74</v>
      </c>
      <c r="BA882" t="s">
        <v>74</v>
      </c>
      <c r="BB882">
        <v>229</v>
      </c>
      <c r="BC882">
        <v>240</v>
      </c>
      <c r="BD882" t="s">
        <v>74</v>
      </c>
      <c r="BE882" t="s">
        <v>16512</v>
      </c>
      <c r="BF882" t="str">
        <f>HYPERLINK("http://dx.doi.org/10.1002/2016TC004333","http://dx.doi.org/10.1002/2016TC004333")</f>
        <v>http://dx.doi.org/10.1002/2016TC004333</v>
      </c>
      <c r="BG882" t="s">
        <v>74</v>
      </c>
      <c r="BH882" t="s">
        <v>74</v>
      </c>
      <c r="BI882">
        <v>12</v>
      </c>
      <c r="BJ882" t="s">
        <v>176</v>
      </c>
      <c r="BK882" t="s">
        <v>103</v>
      </c>
      <c r="BL882" t="s">
        <v>176</v>
      </c>
      <c r="BM882" t="s">
        <v>16513</v>
      </c>
      <c r="BN882" t="s">
        <v>74</v>
      </c>
      <c r="BO882" t="s">
        <v>231</v>
      </c>
      <c r="BP882" t="s">
        <v>74</v>
      </c>
      <c r="BQ882" t="s">
        <v>74</v>
      </c>
      <c r="BR882" t="s">
        <v>106</v>
      </c>
      <c r="BS882" t="s">
        <v>16514</v>
      </c>
      <c r="BT882" t="str">
        <f>HYPERLINK("https%3A%2F%2Fwww.webofscience.com%2Fwos%2Fwoscc%2Ffull-record%2FWOS:000396822600004","View Full Record in Web of Science")</f>
        <v>View Full Record in Web of Science</v>
      </c>
    </row>
    <row r="883" spans="1:72" x14ac:dyDescent="0.15">
      <c r="A883" t="s">
        <v>72</v>
      </c>
      <c r="B883" t="s">
        <v>16515</v>
      </c>
      <c r="C883" t="s">
        <v>74</v>
      </c>
      <c r="D883" t="s">
        <v>74</v>
      </c>
      <c r="E883" t="s">
        <v>74</v>
      </c>
      <c r="F883" t="s">
        <v>16516</v>
      </c>
      <c r="G883" t="s">
        <v>74</v>
      </c>
      <c r="H883" t="s">
        <v>74</v>
      </c>
      <c r="I883" t="s">
        <v>16517</v>
      </c>
      <c r="J883" t="s">
        <v>3168</v>
      </c>
      <c r="K883" t="s">
        <v>74</v>
      </c>
      <c r="L883" t="s">
        <v>74</v>
      </c>
      <c r="M883" t="s">
        <v>78</v>
      </c>
      <c r="N883" t="s">
        <v>79</v>
      </c>
      <c r="O883" t="s">
        <v>74</v>
      </c>
      <c r="P883" t="s">
        <v>74</v>
      </c>
      <c r="Q883" t="s">
        <v>74</v>
      </c>
      <c r="R883" t="s">
        <v>74</v>
      </c>
      <c r="S883" t="s">
        <v>74</v>
      </c>
      <c r="T883" t="s">
        <v>74</v>
      </c>
      <c r="U883" t="s">
        <v>16518</v>
      </c>
      <c r="V883" t="s">
        <v>16519</v>
      </c>
      <c r="W883" t="s">
        <v>16520</v>
      </c>
      <c r="X883" t="s">
        <v>16521</v>
      </c>
      <c r="Y883" t="s">
        <v>16522</v>
      </c>
      <c r="Z883" t="s">
        <v>16523</v>
      </c>
      <c r="AA883" t="s">
        <v>16524</v>
      </c>
      <c r="AB883" t="s">
        <v>16525</v>
      </c>
      <c r="AC883" t="s">
        <v>16526</v>
      </c>
      <c r="AD883" t="s">
        <v>16527</v>
      </c>
      <c r="AE883" t="s">
        <v>16528</v>
      </c>
      <c r="AF883" t="s">
        <v>74</v>
      </c>
      <c r="AG883">
        <v>61</v>
      </c>
      <c r="AH883">
        <v>18</v>
      </c>
      <c r="AI883">
        <v>21</v>
      </c>
      <c r="AJ883">
        <v>1</v>
      </c>
      <c r="AK883">
        <v>12</v>
      </c>
      <c r="AL883" t="s">
        <v>1115</v>
      </c>
      <c r="AM883" t="s">
        <v>1116</v>
      </c>
      <c r="AN883" t="s">
        <v>1117</v>
      </c>
      <c r="AO883" t="s">
        <v>3180</v>
      </c>
      <c r="AP883" t="s">
        <v>3181</v>
      </c>
      <c r="AQ883" t="s">
        <v>74</v>
      </c>
      <c r="AR883" t="s">
        <v>3182</v>
      </c>
      <c r="AS883" t="s">
        <v>3183</v>
      </c>
      <c r="AT883" t="s">
        <v>16127</v>
      </c>
      <c r="AU883">
        <v>2017</v>
      </c>
      <c r="AV883">
        <v>32</v>
      </c>
      <c r="AW883">
        <v>1</v>
      </c>
      <c r="AX883" t="s">
        <v>74</v>
      </c>
      <c r="AY883" t="s">
        <v>74</v>
      </c>
      <c r="AZ883" t="s">
        <v>74</v>
      </c>
      <c r="BA883" t="s">
        <v>74</v>
      </c>
      <c r="BB883">
        <v>223</v>
      </c>
      <c r="BC883">
        <v>242</v>
      </c>
      <c r="BD883" t="s">
        <v>74</v>
      </c>
      <c r="BE883" t="s">
        <v>16529</v>
      </c>
      <c r="BF883" t="str">
        <f>HYPERLINK("http://dx.doi.org/10.1175/WAF-D-16-0084.1","http://dx.doi.org/10.1175/WAF-D-16-0084.1")</f>
        <v>http://dx.doi.org/10.1175/WAF-D-16-0084.1</v>
      </c>
      <c r="BG883" t="s">
        <v>74</v>
      </c>
      <c r="BH883" t="s">
        <v>74</v>
      </c>
      <c r="BI883">
        <v>20</v>
      </c>
      <c r="BJ883" t="s">
        <v>1261</v>
      </c>
      <c r="BK883" t="s">
        <v>103</v>
      </c>
      <c r="BL883" t="s">
        <v>1261</v>
      </c>
      <c r="BM883" t="s">
        <v>16530</v>
      </c>
      <c r="BN883" t="s">
        <v>74</v>
      </c>
      <c r="BO883" t="s">
        <v>384</v>
      </c>
      <c r="BP883" t="s">
        <v>74</v>
      </c>
      <c r="BQ883" t="s">
        <v>74</v>
      </c>
      <c r="BR883" t="s">
        <v>106</v>
      </c>
      <c r="BS883" t="s">
        <v>16531</v>
      </c>
      <c r="BT883" t="str">
        <f>HYPERLINK("https%3A%2F%2Fwww.webofscience.com%2Fwos%2Fwoscc%2Ffull-record%2FWOS:000395557500015","View Full Record in Web of Science")</f>
        <v>View Full Record in Web of Science</v>
      </c>
    </row>
    <row r="884" spans="1:72" x14ac:dyDescent="0.15">
      <c r="A884" t="s">
        <v>72</v>
      </c>
      <c r="B884" t="s">
        <v>16532</v>
      </c>
      <c r="C884" t="s">
        <v>74</v>
      </c>
      <c r="D884" t="s">
        <v>74</v>
      </c>
      <c r="E884" t="s">
        <v>74</v>
      </c>
      <c r="F884" t="s">
        <v>16533</v>
      </c>
      <c r="G884" t="s">
        <v>74</v>
      </c>
      <c r="H884" t="s">
        <v>74</v>
      </c>
      <c r="I884" t="s">
        <v>16534</v>
      </c>
      <c r="J884" t="s">
        <v>16535</v>
      </c>
      <c r="K884" t="s">
        <v>74</v>
      </c>
      <c r="L884" t="s">
        <v>74</v>
      </c>
      <c r="M884" t="s">
        <v>78</v>
      </c>
      <c r="N884" t="s">
        <v>79</v>
      </c>
      <c r="O884" t="s">
        <v>74</v>
      </c>
      <c r="P884" t="s">
        <v>74</v>
      </c>
      <c r="Q884" t="s">
        <v>74</v>
      </c>
      <c r="R884" t="s">
        <v>74</v>
      </c>
      <c r="S884" t="s">
        <v>74</v>
      </c>
      <c r="T884" t="s">
        <v>16536</v>
      </c>
      <c r="U884" t="s">
        <v>16537</v>
      </c>
      <c r="V884" t="s">
        <v>16538</v>
      </c>
      <c r="W884" t="s">
        <v>16539</v>
      </c>
      <c r="X884" t="s">
        <v>16540</v>
      </c>
      <c r="Y884" t="s">
        <v>16541</v>
      </c>
      <c r="Z884" t="s">
        <v>16542</v>
      </c>
      <c r="AA884" t="s">
        <v>16543</v>
      </c>
      <c r="AB884" t="s">
        <v>16544</v>
      </c>
      <c r="AC884" t="s">
        <v>16545</v>
      </c>
      <c r="AD884" t="s">
        <v>16546</v>
      </c>
      <c r="AE884" t="s">
        <v>16547</v>
      </c>
      <c r="AF884" t="s">
        <v>74</v>
      </c>
      <c r="AG884">
        <v>50</v>
      </c>
      <c r="AH884">
        <v>6</v>
      </c>
      <c r="AI884">
        <v>6</v>
      </c>
      <c r="AJ884">
        <v>2</v>
      </c>
      <c r="AK884">
        <v>7</v>
      </c>
      <c r="AL884" t="s">
        <v>16548</v>
      </c>
      <c r="AM884" t="s">
        <v>16549</v>
      </c>
      <c r="AN884" t="s">
        <v>16550</v>
      </c>
      <c r="AO884" t="s">
        <v>16551</v>
      </c>
      <c r="AP884" t="s">
        <v>74</v>
      </c>
      <c r="AQ884" t="s">
        <v>74</v>
      </c>
      <c r="AR884" t="s">
        <v>16535</v>
      </c>
      <c r="AS884" t="s">
        <v>555</v>
      </c>
      <c r="AT884" t="s">
        <v>16127</v>
      </c>
      <c r="AU884">
        <v>2017</v>
      </c>
      <c r="AV884">
        <v>120</v>
      </c>
      <c r="AW884" t="s">
        <v>74</v>
      </c>
      <c r="AX884" t="s">
        <v>74</v>
      </c>
      <c r="AY884" t="s">
        <v>74</v>
      </c>
      <c r="AZ884" t="s">
        <v>74</v>
      </c>
      <c r="BA884" t="s">
        <v>74</v>
      </c>
      <c r="BB884">
        <v>15</v>
      </c>
      <c r="BC884">
        <v>23</v>
      </c>
      <c r="BD884" t="s">
        <v>74</v>
      </c>
      <c r="BE884" t="s">
        <v>16552</v>
      </c>
      <c r="BF884" t="str">
        <f>HYPERLINK("http://dx.doi.org/10.1016/j.zool.2016.09.004","http://dx.doi.org/10.1016/j.zool.2016.09.004")</f>
        <v>http://dx.doi.org/10.1016/j.zool.2016.09.004</v>
      </c>
      <c r="BG884" t="s">
        <v>74</v>
      </c>
      <c r="BH884" t="s">
        <v>74</v>
      </c>
      <c r="BI884">
        <v>9</v>
      </c>
      <c r="BJ884" t="s">
        <v>555</v>
      </c>
      <c r="BK884" t="s">
        <v>103</v>
      </c>
      <c r="BL884" t="s">
        <v>555</v>
      </c>
      <c r="BM884" t="s">
        <v>16553</v>
      </c>
      <c r="BN884">
        <v>27866864</v>
      </c>
      <c r="BO884" t="s">
        <v>74</v>
      </c>
      <c r="BP884" t="s">
        <v>74</v>
      </c>
      <c r="BQ884" t="s">
        <v>74</v>
      </c>
      <c r="BR884" t="s">
        <v>106</v>
      </c>
      <c r="BS884" t="s">
        <v>16554</v>
      </c>
      <c r="BT884" t="str">
        <f>HYPERLINK("https%3A%2F%2Fwww.webofscience.com%2Fwos%2Fwoscc%2Ffull-record%2FWOS:000396964700002","View Full Record in Web of Science")</f>
        <v>View Full Record in Web of Science</v>
      </c>
    </row>
    <row r="885" spans="1:72" x14ac:dyDescent="0.15">
      <c r="A885" t="s">
        <v>72</v>
      </c>
      <c r="B885" t="s">
        <v>16555</v>
      </c>
      <c r="C885" t="s">
        <v>74</v>
      </c>
      <c r="D885" t="s">
        <v>74</v>
      </c>
      <c r="E885" t="s">
        <v>74</v>
      </c>
      <c r="F885" t="s">
        <v>16556</v>
      </c>
      <c r="G885" t="s">
        <v>74</v>
      </c>
      <c r="H885" t="s">
        <v>16557</v>
      </c>
      <c r="I885" t="s">
        <v>16558</v>
      </c>
      <c r="J885" t="s">
        <v>791</v>
      </c>
      <c r="K885" t="s">
        <v>74</v>
      </c>
      <c r="L885" t="s">
        <v>74</v>
      </c>
      <c r="M885" t="s">
        <v>78</v>
      </c>
      <c r="N885" t="s">
        <v>79</v>
      </c>
      <c r="O885" t="s">
        <v>74</v>
      </c>
      <c r="P885" t="s">
        <v>74</v>
      </c>
      <c r="Q885" t="s">
        <v>74</v>
      </c>
      <c r="R885" t="s">
        <v>74</v>
      </c>
      <c r="S885" t="s">
        <v>74</v>
      </c>
      <c r="T885" t="s">
        <v>16559</v>
      </c>
      <c r="U885" t="s">
        <v>16560</v>
      </c>
      <c r="V885" t="s">
        <v>16561</v>
      </c>
      <c r="W885" t="s">
        <v>16562</v>
      </c>
      <c r="X885" t="s">
        <v>16563</v>
      </c>
      <c r="Y885" t="s">
        <v>16564</v>
      </c>
      <c r="Z885" t="s">
        <v>16565</v>
      </c>
      <c r="AA885" t="s">
        <v>16566</v>
      </c>
      <c r="AB885" t="s">
        <v>16567</v>
      </c>
      <c r="AC885" t="s">
        <v>16568</v>
      </c>
      <c r="AD885" t="s">
        <v>7313</v>
      </c>
      <c r="AE885" t="s">
        <v>16569</v>
      </c>
      <c r="AF885" t="s">
        <v>74</v>
      </c>
      <c r="AG885">
        <v>41</v>
      </c>
      <c r="AH885">
        <v>24</v>
      </c>
      <c r="AI885">
        <v>29</v>
      </c>
      <c r="AJ885">
        <v>0</v>
      </c>
      <c r="AK885">
        <v>40</v>
      </c>
      <c r="AL885" t="s">
        <v>803</v>
      </c>
      <c r="AM885" t="s">
        <v>430</v>
      </c>
      <c r="AN885" t="s">
        <v>804</v>
      </c>
      <c r="AO885" t="s">
        <v>805</v>
      </c>
      <c r="AP885" t="s">
        <v>806</v>
      </c>
      <c r="AQ885" t="s">
        <v>74</v>
      </c>
      <c r="AR885" t="s">
        <v>807</v>
      </c>
      <c r="AS885" t="s">
        <v>808</v>
      </c>
      <c r="AT885" t="s">
        <v>16127</v>
      </c>
      <c r="AU885">
        <v>2017</v>
      </c>
      <c r="AV885">
        <v>29</v>
      </c>
      <c r="AW885">
        <v>1</v>
      </c>
      <c r="AX885" t="s">
        <v>74</v>
      </c>
      <c r="AY885" t="s">
        <v>74</v>
      </c>
      <c r="AZ885" t="s">
        <v>74</v>
      </c>
      <c r="BA885" t="s">
        <v>74</v>
      </c>
      <c r="BB885">
        <v>17</v>
      </c>
      <c r="BC885">
        <v>32</v>
      </c>
      <c r="BD885" t="s">
        <v>74</v>
      </c>
      <c r="BE885" t="s">
        <v>16570</v>
      </c>
      <c r="BF885" t="str">
        <f>HYPERLINK("http://dx.doi.org/10.1017/S0954102016000468","http://dx.doi.org/10.1017/S0954102016000468")</f>
        <v>http://dx.doi.org/10.1017/S0954102016000468</v>
      </c>
      <c r="BG885" t="s">
        <v>74</v>
      </c>
      <c r="BH885" t="s">
        <v>74</v>
      </c>
      <c r="BI885">
        <v>16</v>
      </c>
      <c r="BJ885" t="s">
        <v>810</v>
      </c>
      <c r="BK885" t="s">
        <v>103</v>
      </c>
      <c r="BL885" t="s">
        <v>811</v>
      </c>
      <c r="BM885" t="s">
        <v>16129</v>
      </c>
      <c r="BN885" t="s">
        <v>74</v>
      </c>
      <c r="BO885" t="s">
        <v>74</v>
      </c>
      <c r="BP885" t="s">
        <v>74</v>
      </c>
      <c r="BQ885" t="s">
        <v>74</v>
      </c>
      <c r="BR885" t="s">
        <v>106</v>
      </c>
      <c r="BS885" t="s">
        <v>16571</v>
      </c>
      <c r="BT885" t="str">
        <f>HYPERLINK("https%3A%2F%2Fwww.webofscience.com%2Fwos%2Fwoscc%2Ffull-record%2FWOS:000396346500003","View Full Record in Web of Science")</f>
        <v>View Full Record in Web of Science</v>
      </c>
    </row>
    <row r="886" spans="1:72" x14ac:dyDescent="0.15">
      <c r="A886" t="s">
        <v>72</v>
      </c>
      <c r="B886" t="s">
        <v>16572</v>
      </c>
      <c r="C886" t="s">
        <v>74</v>
      </c>
      <c r="D886" t="s">
        <v>74</v>
      </c>
      <c r="E886" t="s">
        <v>74</v>
      </c>
      <c r="F886" t="s">
        <v>16573</v>
      </c>
      <c r="G886" t="s">
        <v>74</v>
      </c>
      <c r="H886" t="s">
        <v>74</v>
      </c>
      <c r="I886" t="s">
        <v>16574</v>
      </c>
      <c r="J886" t="s">
        <v>791</v>
      </c>
      <c r="K886" t="s">
        <v>74</v>
      </c>
      <c r="L886" t="s">
        <v>74</v>
      </c>
      <c r="M886" t="s">
        <v>78</v>
      </c>
      <c r="N886" t="s">
        <v>79</v>
      </c>
      <c r="O886" t="s">
        <v>74</v>
      </c>
      <c r="P886" t="s">
        <v>74</v>
      </c>
      <c r="Q886" t="s">
        <v>74</v>
      </c>
      <c r="R886" t="s">
        <v>74</v>
      </c>
      <c r="S886" t="s">
        <v>74</v>
      </c>
      <c r="T886" t="s">
        <v>16575</v>
      </c>
      <c r="U886" t="s">
        <v>16576</v>
      </c>
      <c r="V886" t="s">
        <v>16577</v>
      </c>
      <c r="W886" t="s">
        <v>16578</v>
      </c>
      <c r="X886" t="s">
        <v>16579</v>
      </c>
      <c r="Y886" t="s">
        <v>16580</v>
      </c>
      <c r="Z886" t="s">
        <v>16581</v>
      </c>
      <c r="AA886" t="s">
        <v>74</v>
      </c>
      <c r="AB886" t="s">
        <v>16582</v>
      </c>
      <c r="AC886" t="s">
        <v>16583</v>
      </c>
      <c r="AD886" t="s">
        <v>16584</v>
      </c>
      <c r="AE886" t="s">
        <v>16585</v>
      </c>
      <c r="AF886" t="s">
        <v>74</v>
      </c>
      <c r="AG886">
        <v>34</v>
      </c>
      <c r="AH886">
        <v>5</v>
      </c>
      <c r="AI886">
        <v>6</v>
      </c>
      <c r="AJ886">
        <v>2</v>
      </c>
      <c r="AK886">
        <v>17</v>
      </c>
      <c r="AL886" t="s">
        <v>803</v>
      </c>
      <c r="AM886" t="s">
        <v>430</v>
      </c>
      <c r="AN886" t="s">
        <v>804</v>
      </c>
      <c r="AO886" t="s">
        <v>805</v>
      </c>
      <c r="AP886" t="s">
        <v>806</v>
      </c>
      <c r="AQ886" t="s">
        <v>74</v>
      </c>
      <c r="AR886" t="s">
        <v>807</v>
      </c>
      <c r="AS886" t="s">
        <v>808</v>
      </c>
      <c r="AT886" t="s">
        <v>16127</v>
      </c>
      <c r="AU886">
        <v>2017</v>
      </c>
      <c r="AV886">
        <v>29</v>
      </c>
      <c r="AW886">
        <v>1</v>
      </c>
      <c r="AX886" t="s">
        <v>74</v>
      </c>
      <c r="AY886" t="s">
        <v>74</v>
      </c>
      <c r="AZ886" t="s">
        <v>74</v>
      </c>
      <c r="BA886" t="s">
        <v>74</v>
      </c>
      <c r="BB886">
        <v>33</v>
      </c>
      <c r="BC886">
        <v>44</v>
      </c>
      <c r="BD886" t="s">
        <v>74</v>
      </c>
      <c r="BE886" t="s">
        <v>16586</v>
      </c>
      <c r="BF886" t="str">
        <f>HYPERLINK("http://dx.doi.org/10.1017/S0954102016000456","http://dx.doi.org/10.1017/S0954102016000456")</f>
        <v>http://dx.doi.org/10.1017/S0954102016000456</v>
      </c>
      <c r="BG886" t="s">
        <v>74</v>
      </c>
      <c r="BH886" t="s">
        <v>74</v>
      </c>
      <c r="BI886">
        <v>12</v>
      </c>
      <c r="BJ886" t="s">
        <v>810</v>
      </c>
      <c r="BK886" t="s">
        <v>103</v>
      </c>
      <c r="BL886" t="s">
        <v>811</v>
      </c>
      <c r="BM886" t="s">
        <v>16129</v>
      </c>
      <c r="BN886" t="s">
        <v>74</v>
      </c>
      <c r="BO886" t="s">
        <v>1538</v>
      </c>
      <c r="BP886" t="s">
        <v>74</v>
      </c>
      <c r="BQ886" t="s">
        <v>74</v>
      </c>
      <c r="BR886" t="s">
        <v>106</v>
      </c>
      <c r="BS886" t="s">
        <v>16587</v>
      </c>
      <c r="BT886" t="str">
        <f>HYPERLINK("https%3A%2F%2Fwww.webofscience.com%2Fwos%2Fwoscc%2Ffull-record%2FWOS:000396346500004","View Full Record in Web of Science")</f>
        <v>View Full Record in Web of Science</v>
      </c>
    </row>
    <row r="887" spans="1:72" x14ac:dyDescent="0.15">
      <c r="A887" t="s">
        <v>72</v>
      </c>
      <c r="B887" t="s">
        <v>16588</v>
      </c>
      <c r="C887" t="s">
        <v>74</v>
      </c>
      <c r="D887" t="s">
        <v>74</v>
      </c>
      <c r="E887" t="s">
        <v>74</v>
      </c>
      <c r="F887" t="s">
        <v>16589</v>
      </c>
      <c r="G887" t="s">
        <v>74</v>
      </c>
      <c r="H887" t="s">
        <v>74</v>
      </c>
      <c r="I887" t="s">
        <v>16590</v>
      </c>
      <c r="J887" t="s">
        <v>791</v>
      </c>
      <c r="K887" t="s">
        <v>74</v>
      </c>
      <c r="L887" t="s">
        <v>74</v>
      </c>
      <c r="M887" t="s">
        <v>78</v>
      </c>
      <c r="N887" t="s">
        <v>79</v>
      </c>
      <c r="O887" t="s">
        <v>74</v>
      </c>
      <c r="P887" t="s">
        <v>74</v>
      </c>
      <c r="Q887" t="s">
        <v>74</v>
      </c>
      <c r="R887" t="s">
        <v>74</v>
      </c>
      <c r="S887" t="s">
        <v>74</v>
      </c>
      <c r="T887" t="s">
        <v>74</v>
      </c>
      <c r="U887" t="s">
        <v>16591</v>
      </c>
      <c r="V887" t="s">
        <v>74</v>
      </c>
      <c r="W887" t="s">
        <v>16592</v>
      </c>
      <c r="X887" t="s">
        <v>13720</v>
      </c>
      <c r="Y887" t="s">
        <v>16593</v>
      </c>
      <c r="Z887" t="s">
        <v>13722</v>
      </c>
      <c r="AA887" t="s">
        <v>16594</v>
      </c>
      <c r="AB887" t="s">
        <v>16595</v>
      </c>
      <c r="AC887" t="s">
        <v>16596</v>
      </c>
      <c r="AD887" t="s">
        <v>16597</v>
      </c>
      <c r="AE887" t="s">
        <v>16598</v>
      </c>
      <c r="AF887" t="s">
        <v>74</v>
      </c>
      <c r="AG887">
        <v>8</v>
      </c>
      <c r="AH887">
        <v>8</v>
      </c>
      <c r="AI887">
        <v>8</v>
      </c>
      <c r="AJ887">
        <v>0</v>
      </c>
      <c r="AK887">
        <v>7</v>
      </c>
      <c r="AL887" t="s">
        <v>803</v>
      </c>
      <c r="AM887" t="s">
        <v>430</v>
      </c>
      <c r="AN887" t="s">
        <v>804</v>
      </c>
      <c r="AO887" t="s">
        <v>805</v>
      </c>
      <c r="AP887" t="s">
        <v>806</v>
      </c>
      <c r="AQ887" t="s">
        <v>74</v>
      </c>
      <c r="AR887" t="s">
        <v>807</v>
      </c>
      <c r="AS887" t="s">
        <v>808</v>
      </c>
      <c r="AT887" t="s">
        <v>16127</v>
      </c>
      <c r="AU887">
        <v>2017</v>
      </c>
      <c r="AV887">
        <v>29</v>
      </c>
      <c r="AW887">
        <v>1</v>
      </c>
      <c r="AX887" t="s">
        <v>74</v>
      </c>
      <c r="AY887" t="s">
        <v>74</v>
      </c>
      <c r="AZ887" t="s">
        <v>74</v>
      </c>
      <c r="BA887" t="s">
        <v>74</v>
      </c>
      <c r="BB887">
        <v>45</v>
      </c>
      <c r="BC887" t="s">
        <v>1485</v>
      </c>
      <c r="BD887" t="s">
        <v>74</v>
      </c>
      <c r="BE887" t="s">
        <v>16599</v>
      </c>
      <c r="BF887" t="str">
        <f>HYPERLINK("http://dx.doi.org/10.1017/S0954102016000432","http://dx.doi.org/10.1017/S0954102016000432")</f>
        <v>http://dx.doi.org/10.1017/S0954102016000432</v>
      </c>
      <c r="BG887" t="s">
        <v>74</v>
      </c>
      <c r="BH887" t="s">
        <v>74</v>
      </c>
      <c r="BI887">
        <v>2</v>
      </c>
      <c r="BJ887" t="s">
        <v>810</v>
      </c>
      <c r="BK887" t="s">
        <v>103</v>
      </c>
      <c r="BL887" t="s">
        <v>811</v>
      </c>
      <c r="BM887" t="s">
        <v>16129</v>
      </c>
      <c r="BN887" t="s">
        <v>74</v>
      </c>
      <c r="BO887" t="s">
        <v>74</v>
      </c>
      <c r="BP887" t="s">
        <v>74</v>
      </c>
      <c r="BQ887" t="s">
        <v>74</v>
      </c>
      <c r="BR887" t="s">
        <v>106</v>
      </c>
      <c r="BS887" t="s">
        <v>16600</v>
      </c>
      <c r="BT887" t="str">
        <f>HYPERLINK("https%3A%2F%2Fwww.webofscience.com%2Fwos%2Fwoscc%2Ffull-record%2FWOS:000396346500005","View Full Record in Web of Science")</f>
        <v>View Full Record in Web of Science</v>
      </c>
    </row>
    <row r="888" spans="1:72" x14ac:dyDescent="0.15">
      <c r="A888" t="s">
        <v>72</v>
      </c>
      <c r="B888" t="s">
        <v>16601</v>
      </c>
      <c r="C888" t="s">
        <v>74</v>
      </c>
      <c r="D888" t="s">
        <v>74</v>
      </c>
      <c r="E888" t="s">
        <v>74</v>
      </c>
      <c r="F888" t="s">
        <v>16602</v>
      </c>
      <c r="G888" t="s">
        <v>74</v>
      </c>
      <c r="H888" t="s">
        <v>74</v>
      </c>
      <c r="I888" t="s">
        <v>16603</v>
      </c>
      <c r="J888" t="s">
        <v>791</v>
      </c>
      <c r="K888" t="s">
        <v>74</v>
      </c>
      <c r="L888" t="s">
        <v>74</v>
      </c>
      <c r="M888" t="s">
        <v>78</v>
      </c>
      <c r="N888" t="s">
        <v>79</v>
      </c>
      <c r="O888" t="s">
        <v>74</v>
      </c>
      <c r="P888" t="s">
        <v>74</v>
      </c>
      <c r="Q888" t="s">
        <v>74</v>
      </c>
      <c r="R888" t="s">
        <v>74</v>
      </c>
      <c r="S888" t="s">
        <v>74</v>
      </c>
      <c r="T888" t="s">
        <v>16604</v>
      </c>
      <c r="U888" t="s">
        <v>16605</v>
      </c>
      <c r="V888" t="s">
        <v>16606</v>
      </c>
      <c r="W888" t="s">
        <v>16607</v>
      </c>
      <c r="X888" t="s">
        <v>16608</v>
      </c>
      <c r="Y888" t="s">
        <v>16609</v>
      </c>
      <c r="Z888" t="s">
        <v>16610</v>
      </c>
      <c r="AA888" t="s">
        <v>16611</v>
      </c>
      <c r="AB888" t="s">
        <v>16612</v>
      </c>
      <c r="AC888" t="s">
        <v>16613</v>
      </c>
      <c r="AD888" t="s">
        <v>16614</v>
      </c>
      <c r="AE888" t="s">
        <v>16615</v>
      </c>
      <c r="AF888" t="s">
        <v>74</v>
      </c>
      <c r="AG888">
        <v>39</v>
      </c>
      <c r="AH888">
        <v>15</v>
      </c>
      <c r="AI888">
        <v>19</v>
      </c>
      <c r="AJ888">
        <v>0</v>
      </c>
      <c r="AK888">
        <v>3</v>
      </c>
      <c r="AL888" t="s">
        <v>803</v>
      </c>
      <c r="AM888" t="s">
        <v>430</v>
      </c>
      <c r="AN888" t="s">
        <v>804</v>
      </c>
      <c r="AO888" t="s">
        <v>805</v>
      </c>
      <c r="AP888" t="s">
        <v>806</v>
      </c>
      <c r="AQ888" t="s">
        <v>74</v>
      </c>
      <c r="AR888" t="s">
        <v>807</v>
      </c>
      <c r="AS888" t="s">
        <v>808</v>
      </c>
      <c r="AT888" t="s">
        <v>16127</v>
      </c>
      <c r="AU888">
        <v>2017</v>
      </c>
      <c r="AV888">
        <v>29</v>
      </c>
      <c r="AW888">
        <v>1</v>
      </c>
      <c r="AX888" t="s">
        <v>74</v>
      </c>
      <c r="AY888" t="s">
        <v>74</v>
      </c>
      <c r="AZ888" t="s">
        <v>74</v>
      </c>
      <c r="BA888" t="s">
        <v>74</v>
      </c>
      <c r="BB888">
        <v>61</v>
      </c>
      <c r="BC888">
        <v>72</v>
      </c>
      <c r="BD888" t="s">
        <v>74</v>
      </c>
      <c r="BE888" t="s">
        <v>16616</v>
      </c>
      <c r="BF888" t="str">
        <f>HYPERLINK("http://dx.doi.org/10.1017/S0954102016000365","http://dx.doi.org/10.1017/S0954102016000365")</f>
        <v>http://dx.doi.org/10.1017/S0954102016000365</v>
      </c>
      <c r="BG888" t="s">
        <v>74</v>
      </c>
      <c r="BH888" t="s">
        <v>74</v>
      </c>
      <c r="BI888">
        <v>12</v>
      </c>
      <c r="BJ888" t="s">
        <v>810</v>
      </c>
      <c r="BK888" t="s">
        <v>103</v>
      </c>
      <c r="BL888" t="s">
        <v>811</v>
      </c>
      <c r="BM888" t="s">
        <v>16129</v>
      </c>
      <c r="BN888" t="s">
        <v>74</v>
      </c>
      <c r="BO888" t="s">
        <v>231</v>
      </c>
      <c r="BP888" t="s">
        <v>74</v>
      </c>
      <c r="BQ888" t="s">
        <v>74</v>
      </c>
      <c r="BR888" t="s">
        <v>106</v>
      </c>
      <c r="BS888" t="s">
        <v>16617</v>
      </c>
      <c r="BT888" t="str">
        <f>HYPERLINK("https%3A%2F%2Fwww.webofscience.com%2Fwos%2Fwoscc%2Ffull-record%2FWOS:000396346500007","View Full Record in Web of Science")</f>
        <v>View Full Record in Web of Science</v>
      </c>
    </row>
    <row r="889" spans="1:72" x14ac:dyDescent="0.15">
      <c r="A889" t="s">
        <v>72</v>
      </c>
      <c r="B889" t="s">
        <v>16618</v>
      </c>
      <c r="C889" t="s">
        <v>74</v>
      </c>
      <c r="D889" t="s">
        <v>74</v>
      </c>
      <c r="E889" t="s">
        <v>74</v>
      </c>
      <c r="F889" t="s">
        <v>16619</v>
      </c>
      <c r="G889" t="s">
        <v>74</v>
      </c>
      <c r="H889" t="s">
        <v>74</v>
      </c>
      <c r="I889" t="s">
        <v>16620</v>
      </c>
      <c r="J889" t="s">
        <v>791</v>
      </c>
      <c r="K889" t="s">
        <v>74</v>
      </c>
      <c r="L889" t="s">
        <v>74</v>
      </c>
      <c r="M889" t="s">
        <v>78</v>
      </c>
      <c r="N889" t="s">
        <v>79</v>
      </c>
      <c r="O889" t="s">
        <v>74</v>
      </c>
      <c r="P889" t="s">
        <v>74</v>
      </c>
      <c r="Q889" t="s">
        <v>74</v>
      </c>
      <c r="R889" t="s">
        <v>74</v>
      </c>
      <c r="S889" t="s">
        <v>74</v>
      </c>
      <c r="T889" t="s">
        <v>16621</v>
      </c>
      <c r="U889" t="s">
        <v>16622</v>
      </c>
      <c r="V889" t="s">
        <v>16623</v>
      </c>
      <c r="W889" t="s">
        <v>16624</v>
      </c>
      <c r="X889" t="s">
        <v>16625</v>
      </c>
      <c r="Y889" t="s">
        <v>16626</v>
      </c>
      <c r="Z889" t="s">
        <v>16627</v>
      </c>
      <c r="AA889" t="s">
        <v>16628</v>
      </c>
      <c r="AB889" t="s">
        <v>16629</v>
      </c>
      <c r="AC889" t="s">
        <v>16630</v>
      </c>
      <c r="AD889" t="s">
        <v>16631</v>
      </c>
      <c r="AE889" t="s">
        <v>16632</v>
      </c>
      <c r="AF889" t="s">
        <v>74</v>
      </c>
      <c r="AG889">
        <v>35</v>
      </c>
      <c r="AH889">
        <v>4</v>
      </c>
      <c r="AI889">
        <v>4</v>
      </c>
      <c r="AJ889">
        <v>0</v>
      </c>
      <c r="AK889">
        <v>8</v>
      </c>
      <c r="AL889" t="s">
        <v>803</v>
      </c>
      <c r="AM889" t="s">
        <v>430</v>
      </c>
      <c r="AN889" t="s">
        <v>804</v>
      </c>
      <c r="AO889" t="s">
        <v>805</v>
      </c>
      <c r="AP889" t="s">
        <v>806</v>
      </c>
      <c r="AQ889" t="s">
        <v>74</v>
      </c>
      <c r="AR889" t="s">
        <v>807</v>
      </c>
      <c r="AS889" t="s">
        <v>808</v>
      </c>
      <c r="AT889" t="s">
        <v>16127</v>
      </c>
      <c r="AU889">
        <v>2017</v>
      </c>
      <c r="AV889">
        <v>29</v>
      </c>
      <c r="AW889">
        <v>1</v>
      </c>
      <c r="AX889" t="s">
        <v>74</v>
      </c>
      <c r="AY889" t="s">
        <v>74</v>
      </c>
      <c r="AZ889" t="s">
        <v>74</v>
      </c>
      <c r="BA889" t="s">
        <v>74</v>
      </c>
      <c r="BB889">
        <v>73</v>
      </c>
      <c r="BC889">
        <v>81</v>
      </c>
      <c r="BD889" t="s">
        <v>74</v>
      </c>
      <c r="BE889" t="s">
        <v>16633</v>
      </c>
      <c r="BF889" t="str">
        <f>HYPERLINK("http://dx.doi.org/10.1017/S095410201600047X","http://dx.doi.org/10.1017/S095410201600047X")</f>
        <v>http://dx.doi.org/10.1017/S095410201600047X</v>
      </c>
      <c r="BG889" t="s">
        <v>74</v>
      </c>
      <c r="BH889" t="s">
        <v>74</v>
      </c>
      <c r="BI889">
        <v>9</v>
      </c>
      <c r="BJ889" t="s">
        <v>810</v>
      </c>
      <c r="BK889" t="s">
        <v>103</v>
      </c>
      <c r="BL889" t="s">
        <v>811</v>
      </c>
      <c r="BM889" t="s">
        <v>16129</v>
      </c>
      <c r="BN889" t="s">
        <v>74</v>
      </c>
      <c r="BO889" t="s">
        <v>74</v>
      </c>
      <c r="BP889" t="s">
        <v>74</v>
      </c>
      <c r="BQ889" t="s">
        <v>74</v>
      </c>
      <c r="BR889" t="s">
        <v>106</v>
      </c>
      <c r="BS889" t="s">
        <v>16634</v>
      </c>
      <c r="BT889" t="str">
        <f>HYPERLINK("https%3A%2F%2Fwww.webofscience.com%2Fwos%2Fwoscc%2Ffull-record%2FWOS:000396346500008","View Full Record in Web of Science")</f>
        <v>View Full Record in Web of Science</v>
      </c>
    </row>
    <row r="890" spans="1:72" x14ac:dyDescent="0.15">
      <c r="A890" t="s">
        <v>72</v>
      </c>
      <c r="B890" t="s">
        <v>16635</v>
      </c>
      <c r="C890" t="s">
        <v>74</v>
      </c>
      <c r="D890" t="s">
        <v>74</v>
      </c>
      <c r="E890" t="s">
        <v>74</v>
      </c>
      <c r="F890" t="s">
        <v>16636</v>
      </c>
      <c r="G890" t="s">
        <v>74</v>
      </c>
      <c r="H890" t="s">
        <v>74</v>
      </c>
      <c r="I890" t="s">
        <v>16637</v>
      </c>
      <c r="J890" t="s">
        <v>477</v>
      </c>
      <c r="K890" t="s">
        <v>74</v>
      </c>
      <c r="L890" t="s">
        <v>74</v>
      </c>
      <c r="M890" t="s">
        <v>78</v>
      </c>
      <c r="N890" t="s">
        <v>79</v>
      </c>
      <c r="O890" t="s">
        <v>74</v>
      </c>
      <c r="P890" t="s">
        <v>74</v>
      </c>
      <c r="Q890" t="s">
        <v>74</v>
      </c>
      <c r="R890" t="s">
        <v>74</v>
      </c>
      <c r="S890" t="s">
        <v>74</v>
      </c>
      <c r="T890" t="s">
        <v>74</v>
      </c>
      <c r="U890" t="s">
        <v>16638</v>
      </c>
      <c r="V890" t="s">
        <v>16639</v>
      </c>
      <c r="W890" t="s">
        <v>16640</v>
      </c>
      <c r="X890" t="s">
        <v>16641</v>
      </c>
      <c r="Y890" t="s">
        <v>16642</v>
      </c>
      <c r="Z890" t="s">
        <v>16643</v>
      </c>
      <c r="AA890" t="s">
        <v>16644</v>
      </c>
      <c r="AB890" t="s">
        <v>16645</v>
      </c>
      <c r="AC890" t="s">
        <v>16646</v>
      </c>
      <c r="AD890" t="s">
        <v>16647</v>
      </c>
      <c r="AE890" t="s">
        <v>16648</v>
      </c>
      <c r="AF890" t="s">
        <v>74</v>
      </c>
      <c r="AG890">
        <v>38</v>
      </c>
      <c r="AH890">
        <v>5</v>
      </c>
      <c r="AI890">
        <v>5</v>
      </c>
      <c r="AJ890">
        <v>0</v>
      </c>
      <c r="AK890">
        <v>3</v>
      </c>
      <c r="AL890" t="s">
        <v>222</v>
      </c>
      <c r="AM890" t="s">
        <v>223</v>
      </c>
      <c r="AN890" t="s">
        <v>224</v>
      </c>
      <c r="AO890" t="s">
        <v>489</v>
      </c>
      <c r="AP890" t="s">
        <v>490</v>
      </c>
      <c r="AQ890" t="s">
        <v>74</v>
      </c>
      <c r="AR890" t="s">
        <v>491</v>
      </c>
      <c r="AS890" t="s">
        <v>492</v>
      </c>
      <c r="AT890" t="s">
        <v>16127</v>
      </c>
      <c r="AU890">
        <v>2017</v>
      </c>
      <c r="AV890">
        <v>122</v>
      </c>
      <c r="AW890">
        <v>2</v>
      </c>
      <c r="AX890" t="s">
        <v>74</v>
      </c>
      <c r="AY890" t="s">
        <v>74</v>
      </c>
      <c r="AZ890" t="s">
        <v>74</v>
      </c>
      <c r="BA890" t="s">
        <v>74</v>
      </c>
      <c r="BB890">
        <v>1542</v>
      </c>
      <c r="BC890">
        <v>1554</v>
      </c>
      <c r="BD890" t="s">
        <v>16649</v>
      </c>
      <c r="BE890" t="s">
        <v>16650</v>
      </c>
      <c r="BF890" t="str">
        <f>HYPERLINK("http://dx.doi.org/10.1002/2016JA023285","http://dx.doi.org/10.1002/2016JA023285")</f>
        <v>http://dx.doi.org/10.1002/2016JA023285</v>
      </c>
      <c r="BG890" t="s">
        <v>74</v>
      </c>
      <c r="BH890" t="s">
        <v>74</v>
      </c>
      <c r="BI890">
        <v>13</v>
      </c>
      <c r="BJ890" t="s">
        <v>494</v>
      </c>
      <c r="BK890" t="s">
        <v>103</v>
      </c>
      <c r="BL890" t="s">
        <v>494</v>
      </c>
      <c r="BM890" t="s">
        <v>16651</v>
      </c>
      <c r="BN890" t="s">
        <v>74</v>
      </c>
      <c r="BO890" t="s">
        <v>412</v>
      </c>
      <c r="BP890" t="s">
        <v>74</v>
      </c>
      <c r="BQ890" t="s">
        <v>74</v>
      </c>
      <c r="BR890" t="s">
        <v>106</v>
      </c>
      <c r="BS890" t="s">
        <v>16652</v>
      </c>
      <c r="BT890" t="str">
        <f>HYPERLINK("https%3A%2F%2Fwww.webofscience.com%2Fwos%2Fwoscc%2Ffull-record%2FWOS:000397022900009","View Full Record in Web of Science")</f>
        <v>View Full Record in Web of Science</v>
      </c>
    </row>
    <row r="891" spans="1:72" x14ac:dyDescent="0.15">
      <c r="A891" t="s">
        <v>72</v>
      </c>
      <c r="B891" t="s">
        <v>16653</v>
      </c>
      <c r="C891" t="s">
        <v>74</v>
      </c>
      <c r="D891" t="s">
        <v>74</v>
      </c>
      <c r="E891" t="s">
        <v>74</v>
      </c>
      <c r="F891" t="s">
        <v>16654</v>
      </c>
      <c r="G891" t="s">
        <v>74</v>
      </c>
      <c r="H891" t="s">
        <v>74</v>
      </c>
      <c r="I891" t="s">
        <v>16655</v>
      </c>
      <c r="J891" t="s">
        <v>477</v>
      </c>
      <c r="K891" t="s">
        <v>74</v>
      </c>
      <c r="L891" t="s">
        <v>74</v>
      </c>
      <c r="M891" t="s">
        <v>78</v>
      </c>
      <c r="N891" t="s">
        <v>79</v>
      </c>
      <c r="O891" t="s">
        <v>74</v>
      </c>
      <c r="P891" t="s">
        <v>74</v>
      </c>
      <c r="Q891" t="s">
        <v>74</v>
      </c>
      <c r="R891" t="s">
        <v>74</v>
      </c>
      <c r="S891" t="s">
        <v>74</v>
      </c>
      <c r="T891" t="s">
        <v>74</v>
      </c>
      <c r="U891" t="s">
        <v>16656</v>
      </c>
      <c r="V891" t="s">
        <v>16657</v>
      </c>
      <c r="W891" t="s">
        <v>16658</v>
      </c>
      <c r="X891" t="s">
        <v>16659</v>
      </c>
      <c r="Y891" t="s">
        <v>16660</v>
      </c>
      <c r="Z891" t="s">
        <v>16661</v>
      </c>
      <c r="AA891" t="s">
        <v>16662</v>
      </c>
      <c r="AB891" t="s">
        <v>16663</v>
      </c>
      <c r="AC891" t="s">
        <v>16664</v>
      </c>
      <c r="AD891" t="s">
        <v>16665</v>
      </c>
      <c r="AE891" t="s">
        <v>16666</v>
      </c>
      <c r="AF891" t="s">
        <v>74</v>
      </c>
      <c r="AG891">
        <v>67</v>
      </c>
      <c r="AH891">
        <v>25</v>
      </c>
      <c r="AI891">
        <v>32</v>
      </c>
      <c r="AJ891">
        <v>0</v>
      </c>
      <c r="AK891">
        <v>10</v>
      </c>
      <c r="AL891" t="s">
        <v>222</v>
      </c>
      <c r="AM891" t="s">
        <v>223</v>
      </c>
      <c r="AN891" t="s">
        <v>224</v>
      </c>
      <c r="AO891" t="s">
        <v>489</v>
      </c>
      <c r="AP891" t="s">
        <v>490</v>
      </c>
      <c r="AQ891" t="s">
        <v>74</v>
      </c>
      <c r="AR891" t="s">
        <v>491</v>
      </c>
      <c r="AS891" t="s">
        <v>492</v>
      </c>
      <c r="AT891" t="s">
        <v>16127</v>
      </c>
      <c r="AU891">
        <v>2017</v>
      </c>
      <c r="AV891">
        <v>122</v>
      </c>
      <c r="AW891">
        <v>2</v>
      </c>
      <c r="AX891" t="s">
        <v>74</v>
      </c>
      <c r="AY891" t="s">
        <v>74</v>
      </c>
      <c r="AZ891" t="s">
        <v>74</v>
      </c>
      <c r="BA891" t="s">
        <v>74</v>
      </c>
      <c r="BB891">
        <v>2484</v>
      </c>
      <c r="BC891">
        <v>2504</v>
      </c>
      <c r="BD891" t="s">
        <v>74</v>
      </c>
      <c r="BE891" t="s">
        <v>16667</v>
      </c>
      <c r="BF891" t="str">
        <f>HYPERLINK("http://dx.doi.org/10.1002/2016JA023180","http://dx.doi.org/10.1002/2016JA023180")</f>
        <v>http://dx.doi.org/10.1002/2016JA023180</v>
      </c>
      <c r="BG891" t="s">
        <v>74</v>
      </c>
      <c r="BH891" t="s">
        <v>74</v>
      </c>
      <c r="BI891">
        <v>21</v>
      </c>
      <c r="BJ891" t="s">
        <v>494</v>
      </c>
      <c r="BK891" t="s">
        <v>103</v>
      </c>
      <c r="BL891" t="s">
        <v>494</v>
      </c>
      <c r="BM891" t="s">
        <v>16651</v>
      </c>
      <c r="BN891" t="s">
        <v>74</v>
      </c>
      <c r="BO891" t="s">
        <v>74</v>
      </c>
      <c r="BP891" t="s">
        <v>74</v>
      </c>
      <c r="BQ891" t="s">
        <v>74</v>
      </c>
      <c r="BR891" t="s">
        <v>106</v>
      </c>
      <c r="BS891" t="s">
        <v>16668</v>
      </c>
      <c r="BT891" t="str">
        <f>HYPERLINK("https%3A%2F%2Fwww.webofscience.com%2Fwos%2Fwoscc%2Ffull-record%2FWOS:000397022900072","View Full Record in Web of Science")</f>
        <v>View Full Record in Web of Science</v>
      </c>
    </row>
    <row r="892" spans="1:72" x14ac:dyDescent="0.15">
      <c r="A892" t="s">
        <v>72</v>
      </c>
      <c r="B892" t="s">
        <v>16669</v>
      </c>
      <c r="C892" t="s">
        <v>74</v>
      </c>
      <c r="D892" t="s">
        <v>74</v>
      </c>
      <c r="E892" t="s">
        <v>74</v>
      </c>
      <c r="F892" t="s">
        <v>16670</v>
      </c>
      <c r="G892" t="s">
        <v>74</v>
      </c>
      <c r="H892" t="s">
        <v>74</v>
      </c>
      <c r="I892" t="s">
        <v>16671</v>
      </c>
      <c r="J892" t="s">
        <v>477</v>
      </c>
      <c r="K892" t="s">
        <v>74</v>
      </c>
      <c r="L892" t="s">
        <v>74</v>
      </c>
      <c r="M892" t="s">
        <v>78</v>
      </c>
      <c r="N892" t="s">
        <v>79</v>
      </c>
      <c r="O892" t="s">
        <v>74</v>
      </c>
      <c r="P892" t="s">
        <v>74</v>
      </c>
      <c r="Q892" t="s">
        <v>74</v>
      </c>
      <c r="R892" t="s">
        <v>74</v>
      </c>
      <c r="S892" t="s">
        <v>74</v>
      </c>
      <c r="T892" t="s">
        <v>74</v>
      </c>
      <c r="U892" t="s">
        <v>16672</v>
      </c>
      <c r="V892" t="s">
        <v>16673</v>
      </c>
      <c r="W892" t="s">
        <v>16674</v>
      </c>
      <c r="X892" t="s">
        <v>16675</v>
      </c>
      <c r="Y892" t="s">
        <v>16676</v>
      </c>
      <c r="Z892" t="s">
        <v>16677</v>
      </c>
      <c r="AA892" t="s">
        <v>16678</v>
      </c>
      <c r="AB892" t="s">
        <v>16679</v>
      </c>
      <c r="AC892" t="s">
        <v>16680</v>
      </c>
      <c r="AD892" t="s">
        <v>16681</v>
      </c>
      <c r="AE892" t="s">
        <v>16682</v>
      </c>
      <c r="AF892" t="s">
        <v>74</v>
      </c>
      <c r="AG892">
        <v>30</v>
      </c>
      <c r="AH892">
        <v>183</v>
      </c>
      <c r="AI892">
        <v>186</v>
      </c>
      <c r="AJ892">
        <v>1</v>
      </c>
      <c r="AK892">
        <v>15</v>
      </c>
      <c r="AL892" t="s">
        <v>222</v>
      </c>
      <c r="AM892" t="s">
        <v>223</v>
      </c>
      <c r="AN892" t="s">
        <v>224</v>
      </c>
      <c r="AO892" t="s">
        <v>489</v>
      </c>
      <c r="AP892" t="s">
        <v>490</v>
      </c>
      <c r="AQ892" t="s">
        <v>74</v>
      </c>
      <c r="AR892" t="s">
        <v>491</v>
      </c>
      <c r="AS892" t="s">
        <v>492</v>
      </c>
      <c r="AT892" t="s">
        <v>16127</v>
      </c>
      <c r="AU892">
        <v>2017</v>
      </c>
      <c r="AV892">
        <v>122</v>
      </c>
      <c r="AW892">
        <v>2</v>
      </c>
      <c r="AX892" t="s">
        <v>74</v>
      </c>
      <c r="AY892" t="s">
        <v>74</v>
      </c>
      <c r="AZ892" t="s">
        <v>74</v>
      </c>
      <c r="BA892" t="s">
        <v>74</v>
      </c>
      <c r="BB892">
        <v>2655</v>
      </c>
      <c r="BC892">
        <v>2673</v>
      </c>
      <c r="BD892" t="s">
        <v>74</v>
      </c>
      <c r="BE892" t="s">
        <v>16683</v>
      </c>
      <c r="BF892" t="str">
        <f>HYPERLINK("http://dx.doi.org/10.1002/2016JA022571","http://dx.doi.org/10.1002/2016JA022571")</f>
        <v>http://dx.doi.org/10.1002/2016JA022571</v>
      </c>
      <c r="BG892" t="s">
        <v>74</v>
      </c>
      <c r="BH892" t="s">
        <v>74</v>
      </c>
      <c r="BI892">
        <v>19</v>
      </c>
      <c r="BJ892" t="s">
        <v>494</v>
      </c>
      <c r="BK892" t="s">
        <v>103</v>
      </c>
      <c r="BL892" t="s">
        <v>494</v>
      </c>
      <c r="BM892" t="s">
        <v>16651</v>
      </c>
      <c r="BN892" t="s">
        <v>74</v>
      </c>
      <c r="BO892" t="s">
        <v>2390</v>
      </c>
      <c r="BP892" t="s">
        <v>74</v>
      </c>
      <c r="BQ892" t="s">
        <v>74</v>
      </c>
      <c r="BR892" t="s">
        <v>106</v>
      </c>
      <c r="BS892" t="s">
        <v>16684</v>
      </c>
      <c r="BT892" t="str">
        <f>HYPERLINK("https%3A%2F%2Fwww.webofscience.com%2Fwos%2Fwoscc%2Ffull-record%2FWOS:000397022900083","View Full Record in Web of Science")</f>
        <v>View Full Record in Web of Science</v>
      </c>
    </row>
    <row r="893" spans="1:72" x14ac:dyDescent="0.15">
      <c r="A893" t="s">
        <v>72</v>
      </c>
      <c r="B893" t="s">
        <v>16685</v>
      </c>
      <c r="C893" t="s">
        <v>74</v>
      </c>
      <c r="D893" t="s">
        <v>74</v>
      </c>
      <c r="E893" t="s">
        <v>74</v>
      </c>
      <c r="F893" t="s">
        <v>16686</v>
      </c>
      <c r="G893" t="s">
        <v>74</v>
      </c>
      <c r="H893" t="s">
        <v>74</v>
      </c>
      <c r="I893" t="s">
        <v>16687</v>
      </c>
      <c r="J893" t="s">
        <v>16688</v>
      </c>
      <c r="K893" t="s">
        <v>74</v>
      </c>
      <c r="L893" t="s">
        <v>74</v>
      </c>
      <c r="M893" t="s">
        <v>78</v>
      </c>
      <c r="N893" t="s">
        <v>79</v>
      </c>
      <c r="O893" t="s">
        <v>74</v>
      </c>
      <c r="P893" t="s">
        <v>74</v>
      </c>
      <c r="Q893" t="s">
        <v>74</v>
      </c>
      <c r="R893" t="s">
        <v>74</v>
      </c>
      <c r="S893" t="s">
        <v>74</v>
      </c>
      <c r="T893" t="s">
        <v>74</v>
      </c>
      <c r="U893" t="s">
        <v>16689</v>
      </c>
      <c r="V893" t="s">
        <v>16690</v>
      </c>
      <c r="W893" t="s">
        <v>16691</v>
      </c>
      <c r="X893" t="s">
        <v>74</v>
      </c>
      <c r="Y893" t="s">
        <v>16692</v>
      </c>
      <c r="Z893" t="s">
        <v>16693</v>
      </c>
      <c r="AA893" t="s">
        <v>74</v>
      </c>
      <c r="AB893" t="s">
        <v>74</v>
      </c>
      <c r="AC893" t="s">
        <v>16694</v>
      </c>
      <c r="AD893" t="s">
        <v>16695</v>
      </c>
      <c r="AE893" t="s">
        <v>16696</v>
      </c>
      <c r="AF893" t="s">
        <v>74</v>
      </c>
      <c r="AG893">
        <v>52</v>
      </c>
      <c r="AH893">
        <v>5</v>
      </c>
      <c r="AI893">
        <v>11</v>
      </c>
      <c r="AJ893">
        <v>1</v>
      </c>
      <c r="AK893">
        <v>10</v>
      </c>
      <c r="AL893" t="s">
        <v>92</v>
      </c>
      <c r="AM893" t="s">
        <v>93</v>
      </c>
      <c r="AN893" t="s">
        <v>94</v>
      </c>
      <c r="AO893" t="s">
        <v>16697</v>
      </c>
      <c r="AP893" t="s">
        <v>16698</v>
      </c>
      <c r="AQ893" t="s">
        <v>74</v>
      </c>
      <c r="AR893" t="s">
        <v>16699</v>
      </c>
      <c r="AS893" t="s">
        <v>16700</v>
      </c>
      <c r="AT893" t="s">
        <v>16127</v>
      </c>
      <c r="AU893">
        <v>2017</v>
      </c>
      <c r="AV893">
        <v>83</v>
      </c>
      <c r="AW893" t="s">
        <v>74</v>
      </c>
      <c r="AX893">
        <v>1</v>
      </c>
      <c r="AY893" t="s">
        <v>74</v>
      </c>
      <c r="AZ893" t="s">
        <v>74</v>
      </c>
      <c r="BA893" t="s">
        <v>74</v>
      </c>
      <c r="BB893">
        <v>19</v>
      </c>
      <c r="BC893">
        <v>26</v>
      </c>
      <c r="BD893" t="s">
        <v>74</v>
      </c>
      <c r="BE893" t="s">
        <v>16701</v>
      </c>
      <c r="BF893" t="str">
        <f>HYPERLINK("http://dx.doi.org/10.1093/mollus/eyw032","http://dx.doi.org/10.1093/mollus/eyw032")</f>
        <v>http://dx.doi.org/10.1093/mollus/eyw032</v>
      </c>
      <c r="BG893" t="s">
        <v>74</v>
      </c>
      <c r="BH893" t="s">
        <v>74</v>
      </c>
      <c r="BI893">
        <v>8</v>
      </c>
      <c r="BJ893" t="s">
        <v>689</v>
      </c>
      <c r="BK893" t="s">
        <v>103</v>
      </c>
      <c r="BL893" t="s">
        <v>689</v>
      </c>
      <c r="BM893" t="s">
        <v>16702</v>
      </c>
      <c r="BN893" t="s">
        <v>74</v>
      </c>
      <c r="BO893" t="s">
        <v>412</v>
      </c>
      <c r="BP893" t="s">
        <v>74</v>
      </c>
      <c r="BQ893" t="s">
        <v>74</v>
      </c>
      <c r="BR893" t="s">
        <v>106</v>
      </c>
      <c r="BS893" t="s">
        <v>16703</v>
      </c>
      <c r="BT893" t="str">
        <f>HYPERLINK("https%3A%2F%2Fwww.webofscience.com%2Fwos%2Fwoscc%2Ffull-record%2FWOS:000397136100003","View Full Record in Web of Science")</f>
        <v>View Full Record in Web of Science</v>
      </c>
    </row>
    <row r="894" spans="1:72" x14ac:dyDescent="0.15">
      <c r="A894" t="s">
        <v>72</v>
      </c>
      <c r="B894" t="s">
        <v>16704</v>
      </c>
      <c r="C894" t="s">
        <v>74</v>
      </c>
      <c r="D894" t="s">
        <v>74</v>
      </c>
      <c r="E894" t="s">
        <v>74</v>
      </c>
      <c r="F894" t="s">
        <v>16705</v>
      </c>
      <c r="G894" t="s">
        <v>74</v>
      </c>
      <c r="H894" t="s">
        <v>74</v>
      </c>
      <c r="I894" t="s">
        <v>16706</v>
      </c>
      <c r="J894" t="s">
        <v>16707</v>
      </c>
      <c r="K894" t="s">
        <v>74</v>
      </c>
      <c r="L894" t="s">
        <v>74</v>
      </c>
      <c r="M894" t="s">
        <v>78</v>
      </c>
      <c r="N894" t="s">
        <v>16708</v>
      </c>
      <c r="O894" t="s">
        <v>74</v>
      </c>
      <c r="P894" t="s">
        <v>74</v>
      </c>
      <c r="Q894" t="s">
        <v>74</v>
      </c>
      <c r="R894" t="s">
        <v>74</v>
      </c>
      <c r="S894" t="s">
        <v>74</v>
      </c>
      <c r="T894" t="s">
        <v>74</v>
      </c>
      <c r="U894" t="s">
        <v>74</v>
      </c>
      <c r="V894" t="s">
        <v>74</v>
      </c>
      <c r="W894" t="s">
        <v>74</v>
      </c>
      <c r="X894" t="s">
        <v>74</v>
      </c>
      <c r="Y894" t="s">
        <v>74</v>
      </c>
      <c r="Z894" t="s">
        <v>74</v>
      </c>
      <c r="AA894" t="s">
        <v>74</v>
      </c>
      <c r="AB894" t="s">
        <v>74</v>
      </c>
      <c r="AC894" t="s">
        <v>74</v>
      </c>
      <c r="AD894" t="s">
        <v>74</v>
      </c>
      <c r="AE894" t="s">
        <v>74</v>
      </c>
      <c r="AF894" t="s">
        <v>74</v>
      </c>
      <c r="AG894">
        <v>1</v>
      </c>
      <c r="AH894">
        <v>0</v>
      </c>
      <c r="AI894">
        <v>0</v>
      </c>
      <c r="AJ894">
        <v>0</v>
      </c>
      <c r="AK894">
        <v>18</v>
      </c>
      <c r="AL894" t="s">
        <v>16709</v>
      </c>
      <c r="AM894" t="s">
        <v>16710</v>
      </c>
      <c r="AN894" t="s">
        <v>16711</v>
      </c>
      <c r="AO894" t="s">
        <v>16712</v>
      </c>
      <c r="AP894" t="s">
        <v>16713</v>
      </c>
      <c r="AQ894" t="s">
        <v>74</v>
      </c>
      <c r="AR894" t="s">
        <v>16714</v>
      </c>
      <c r="AS894" t="s">
        <v>16715</v>
      </c>
      <c r="AT894" t="s">
        <v>16127</v>
      </c>
      <c r="AU894">
        <v>2017</v>
      </c>
      <c r="AV894">
        <v>87</v>
      </c>
      <c r="AW894">
        <v>2</v>
      </c>
      <c r="AX894" t="s">
        <v>74</v>
      </c>
      <c r="AY894" t="s">
        <v>74</v>
      </c>
      <c r="AZ894" t="s">
        <v>74</v>
      </c>
      <c r="BA894" t="s">
        <v>74</v>
      </c>
      <c r="BB894">
        <v>167</v>
      </c>
      <c r="BC894">
        <v>167</v>
      </c>
      <c r="BD894" t="s">
        <v>74</v>
      </c>
      <c r="BE894" t="s">
        <v>16716</v>
      </c>
      <c r="BF894" t="str">
        <f>HYPERLINK("http://dx.doi.org/10.2110/jsr.2017.8","http://dx.doi.org/10.2110/jsr.2017.8")</f>
        <v>http://dx.doi.org/10.2110/jsr.2017.8</v>
      </c>
      <c r="BG894" t="s">
        <v>74</v>
      </c>
      <c r="BH894" t="s">
        <v>74</v>
      </c>
      <c r="BI894">
        <v>1</v>
      </c>
      <c r="BJ894" t="s">
        <v>438</v>
      </c>
      <c r="BK894" t="s">
        <v>103</v>
      </c>
      <c r="BL894" t="s">
        <v>438</v>
      </c>
      <c r="BM894" t="s">
        <v>16717</v>
      </c>
      <c r="BN894" t="s">
        <v>74</v>
      </c>
      <c r="BO894" t="s">
        <v>74</v>
      </c>
      <c r="BP894" t="s">
        <v>74</v>
      </c>
      <c r="BQ894" t="s">
        <v>74</v>
      </c>
      <c r="BR894" t="s">
        <v>106</v>
      </c>
      <c r="BS894" t="s">
        <v>16718</v>
      </c>
      <c r="BT894" t="str">
        <f>HYPERLINK("https%3A%2F%2Fwww.webofscience.com%2Fwos%2Fwoscc%2Ffull-record%2FWOS:000396819800005","View Full Record in Web of Science")</f>
        <v>View Full Record in Web of Science</v>
      </c>
    </row>
    <row r="895" spans="1:72" x14ac:dyDescent="0.15">
      <c r="A895" t="s">
        <v>72</v>
      </c>
      <c r="B895" t="s">
        <v>16719</v>
      </c>
      <c r="C895" t="s">
        <v>74</v>
      </c>
      <c r="D895" t="s">
        <v>74</v>
      </c>
      <c r="E895" t="s">
        <v>74</v>
      </c>
      <c r="F895" t="s">
        <v>16720</v>
      </c>
      <c r="G895" t="s">
        <v>74</v>
      </c>
      <c r="H895" t="s">
        <v>74</v>
      </c>
      <c r="I895" t="s">
        <v>16721</v>
      </c>
      <c r="J895" t="s">
        <v>16722</v>
      </c>
      <c r="K895" t="s">
        <v>74</v>
      </c>
      <c r="L895" t="s">
        <v>74</v>
      </c>
      <c r="M895" t="s">
        <v>78</v>
      </c>
      <c r="N895" t="s">
        <v>79</v>
      </c>
      <c r="O895" t="s">
        <v>74</v>
      </c>
      <c r="P895" t="s">
        <v>74</v>
      </c>
      <c r="Q895" t="s">
        <v>74</v>
      </c>
      <c r="R895" t="s">
        <v>74</v>
      </c>
      <c r="S895" t="s">
        <v>74</v>
      </c>
      <c r="T895" t="s">
        <v>16723</v>
      </c>
      <c r="U895" t="s">
        <v>16724</v>
      </c>
      <c r="V895" t="s">
        <v>16725</v>
      </c>
      <c r="W895" t="s">
        <v>16726</v>
      </c>
      <c r="X895" t="s">
        <v>16727</v>
      </c>
      <c r="Y895" t="s">
        <v>16728</v>
      </c>
      <c r="Z895" t="s">
        <v>16729</v>
      </c>
      <c r="AA895" t="s">
        <v>16730</v>
      </c>
      <c r="AB895" t="s">
        <v>74</v>
      </c>
      <c r="AC895" t="s">
        <v>16731</v>
      </c>
      <c r="AD895" t="s">
        <v>16732</v>
      </c>
      <c r="AE895" t="s">
        <v>16733</v>
      </c>
      <c r="AF895" t="s">
        <v>74</v>
      </c>
      <c r="AG895">
        <v>41</v>
      </c>
      <c r="AH895">
        <v>24</v>
      </c>
      <c r="AI895">
        <v>26</v>
      </c>
      <c r="AJ895">
        <v>5</v>
      </c>
      <c r="AK895">
        <v>46</v>
      </c>
      <c r="AL895" t="s">
        <v>374</v>
      </c>
      <c r="AM895" t="s">
        <v>93</v>
      </c>
      <c r="AN895" t="s">
        <v>375</v>
      </c>
      <c r="AO895" t="s">
        <v>16734</v>
      </c>
      <c r="AP895" t="s">
        <v>16735</v>
      </c>
      <c r="AQ895" t="s">
        <v>74</v>
      </c>
      <c r="AR895" t="s">
        <v>16736</v>
      </c>
      <c r="AS895" t="s">
        <v>16737</v>
      </c>
      <c r="AT895" t="s">
        <v>16127</v>
      </c>
      <c r="AU895">
        <v>2017</v>
      </c>
      <c r="AV895">
        <v>117</v>
      </c>
      <c r="AW895" t="s">
        <v>74</v>
      </c>
      <c r="AX895" t="s">
        <v>74</v>
      </c>
      <c r="AY895" t="s">
        <v>74</v>
      </c>
      <c r="AZ895" t="s">
        <v>74</v>
      </c>
      <c r="BA895" t="s">
        <v>74</v>
      </c>
      <c r="BB895">
        <v>47</v>
      </c>
      <c r="BC895">
        <v>53</v>
      </c>
      <c r="BD895" t="s">
        <v>74</v>
      </c>
      <c r="BE895" t="s">
        <v>16738</v>
      </c>
      <c r="BF895" t="str">
        <f>HYPERLINK("http://dx.doi.org/10.1016/j.plefa.2017.01.005","http://dx.doi.org/10.1016/j.plefa.2017.01.005")</f>
        <v>http://dx.doi.org/10.1016/j.plefa.2017.01.005</v>
      </c>
      <c r="BG895" t="s">
        <v>74</v>
      </c>
      <c r="BH895" t="s">
        <v>74</v>
      </c>
      <c r="BI895">
        <v>7</v>
      </c>
      <c r="BJ895" t="s">
        <v>16739</v>
      </c>
      <c r="BK895" t="s">
        <v>103</v>
      </c>
      <c r="BL895" t="s">
        <v>16739</v>
      </c>
      <c r="BM895" t="s">
        <v>16740</v>
      </c>
      <c r="BN895">
        <v>28237087</v>
      </c>
      <c r="BO895" t="s">
        <v>74</v>
      </c>
      <c r="BP895" t="s">
        <v>74</v>
      </c>
      <c r="BQ895" t="s">
        <v>74</v>
      </c>
      <c r="BR895" t="s">
        <v>106</v>
      </c>
      <c r="BS895" t="s">
        <v>16741</v>
      </c>
      <c r="BT895" t="str">
        <f>HYPERLINK("https%3A%2F%2Fwww.webofscience.com%2Fwos%2Fwoscc%2Ffull-record%2FWOS:000397076200006","View Full Record in Web of Science")</f>
        <v>View Full Record in Web of Science</v>
      </c>
    </row>
    <row r="896" spans="1:72" x14ac:dyDescent="0.15">
      <c r="A896" t="s">
        <v>72</v>
      </c>
      <c r="B896" t="s">
        <v>16742</v>
      </c>
      <c r="C896" t="s">
        <v>74</v>
      </c>
      <c r="D896" t="s">
        <v>74</v>
      </c>
      <c r="E896" t="s">
        <v>74</v>
      </c>
      <c r="F896" t="s">
        <v>16743</v>
      </c>
      <c r="G896" t="s">
        <v>74</v>
      </c>
      <c r="H896" t="s">
        <v>74</v>
      </c>
      <c r="I896" t="s">
        <v>16744</v>
      </c>
      <c r="J896" t="s">
        <v>16745</v>
      </c>
      <c r="K896" t="s">
        <v>74</v>
      </c>
      <c r="L896" t="s">
        <v>74</v>
      </c>
      <c r="M896" t="s">
        <v>78</v>
      </c>
      <c r="N896" t="s">
        <v>79</v>
      </c>
      <c r="O896" t="s">
        <v>74</v>
      </c>
      <c r="P896" t="s">
        <v>74</v>
      </c>
      <c r="Q896" t="s">
        <v>74</v>
      </c>
      <c r="R896" t="s">
        <v>74</v>
      </c>
      <c r="S896" t="s">
        <v>74</v>
      </c>
      <c r="T896" t="s">
        <v>16746</v>
      </c>
      <c r="U896" t="s">
        <v>16747</v>
      </c>
      <c r="V896" t="s">
        <v>16748</v>
      </c>
      <c r="W896" t="s">
        <v>16749</v>
      </c>
      <c r="X896" t="s">
        <v>16750</v>
      </c>
      <c r="Y896" t="s">
        <v>16751</v>
      </c>
      <c r="Z896" t="s">
        <v>16752</v>
      </c>
      <c r="AA896" t="s">
        <v>16753</v>
      </c>
      <c r="AB896" t="s">
        <v>16754</v>
      </c>
      <c r="AC896" t="s">
        <v>16755</v>
      </c>
      <c r="AD896" t="s">
        <v>16756</v>
      </c>
      <c r="AE896" t="s">
        <v>16757</v>
      </c>
      <c r="AF896" t="s">
        <v>74</v>
      </c>
      <c r="AG896">
        <v>17</v>
      </c>
      <c r="AH896">
        <v>8</v>
      </c>
      <c r="AI896">
        <v>9</v>
      </c>
      <c r="AJ896">
        <v>2</v>
      </c>
      <c r="AK896">
        <v>31</v>
      </c>
      <c r="AL896" t="s">
        <v>637</v>
      </c>
      <c r="AM896" t="s">
        <v>612</v>
      </c>
      <c r="AN896" t="s">
        <v>613</v>
      </c>
      <c r="AO896" t="s">
        <v>16758</v>
      </c>
      <c r="AP896" t="s">
        <v>74</v>
      </c>
      <c r="AQ896" t="s">
        <v>74</v>
      </c>
      <c r="AR896" t="s">
        <v>16759</v>
      </c>
      <c r="AS896" t="s">
        <v>16760</v>
      </c>
      <c r="AT896" t="s">
        <v>16127</v>
      </c>
      <c r="AU896">
        <v>2017</v>
      </c>
      <c r="AV896">
        <v>9</v>
      </c>
      <c r="AW896">
        <v>2</v>
      </c>
      <c r="AX896" t="s">
        <v>74</v>
      </c>
      <c r="AY896" t="s">
        <v>74</v>
      </c>
      <c r="AZ896" t="s">
        <v>74</v>
      </c>
      <c r="BA896" t="s">
        <v>74</v>
      </c>
      <c r="BB896" t="s">
        <v>74</v>
      </c>
      <c r="BC896" t="s">
        <v>74</v>
      </c>
      <c r="BD896">
        <v>94</v>
      </c>
      <c r="BE896" t="s">
        <v>16761</v>
      </c>
      <c r="BF896" t="str">
        <f>HYPERLINK("http://dx.doi.org/10.3390/w9020094","http://dx.doi.org/10.3390/w9020094")</f>
        <v>http://dx.doi.org/10.3390/w9020094</v>
      </c>
      <c r="BG896" t="s">
        <v>74</v>
      </c>
      <c r="BH896" t="s">
        <v>74</v>
      </c>
      <c r="BI896">
        <v>25</v>
      </c>
      <c r="BJ896" t="s">
        <v>16762</v>
      </c>
      <c r="BK896" t="s">
        <v>103</v>
      </c>
      <c r="BL896" t="s">
        <v>16763</v>
      </c>
      <c r="BM896" t="s">
        <v>16764</v>
      </c>
      <c r="BN896" t="s">
        <v>74</v>
      </c>
      <c r="BO896" t="s">
        <v>11568</v>
      </c>
      <c r="BP896" t="s">
        <v>74</v>
      </c>
      <c r="BQ896" t="s">
        <v>74</v>
      </c>
      <c r="BR896" t="s">
        <v>106</v>
      </c>
      <c r="BS896" t="s">
        <v>16765</v>
      </c>
      <c r="BT896" t="str">
        <f>HYPERLINK("https%3A%2F%2Fwww.webofscience.com%2Fwos%2Fwoscc%2Ffull-record%2FWOS:000395435800024","View Full Record in Web of Science")</f>
        <v>View Full Record in Web of Science</v>
      </c>
    </row>
    <row r="897" spans="1:72" x14ac:dyDescent="0.15">
      <c r="A897" t="s">
        <v>72</v>
      </c>
      <c r="B897" t="s">
        <v>16766</v>
      </c>
      <c r="C897" t="s">
        <v>74</v>
      </c>
      <c r="D897" t="s">
        <v>74</v>
      </c>
      <c r="E897" t="s">
        <v>74</v>
      </c>
      <c r="F897" t="s">
        <v>16767</v>
      </c>
      <c r="G897" t="s">
        <v>74</v>
      </c>
      <c r="H897" t="s">
        <v>74</v>
      </c>
      <c r="I897" t="s">
        <v>16768</v>
      </c>
      <c r="J897" t="s">
        <v>16769</v>
      </c>
      <c r="K897" t="s">
        <v>74</v>
      </c>
      <c r="L897" t="s">
        <v>74</v>
      </c>
      <c r="M897" t="s">
        <v>78</v>
      </c>
      <c r="N897" t="s">
        <v>79</v>
      </c>
      <c r="O897" t="s">
        <v>74</v>
      </c>
      <c r="P897" t="s">
        <v>74</v>
      </c>
      <c r="Q897" t="s">
        <v>74</v>
      </c>
      <c r="R897" t="s">
        <v>74</v>
      </c>
      <c r="S897" t="s">
        <v>74</v>
      </c>
      <c r="T897" t="s">
        <v>16770</v>
      </c>
      <c r="U897" t="s">
        <v>16771</v>
      </c>
      <c r="V897" t="s">
        <v>16772</v>
      </c>
      <c r="W897" t="s">
        <v>16773</v>
      </c>
      <c r="X897" t="s">
        <v>16774</v>
      </c>
      <c r="Y897" t="s">
        <v>16775</v>
      </c>
      <c r="Z897" t="s">
        <v>16776</v>
      </c>
      <c r="AA897" t="s">
        <v>16777</v>
      </c>
      <c r="AB897" t="s">
        <v>16778</v>
      </c>
      <c r="AC897" t="s">
        <v>16779</v>
      </c>
      <c r="AD897" t="s">
        <v>16780</v>
      </c>
      <c r="AE897" t="s">
        <v>16781</v>
      </c>
      <c r="AF897" t="s">
        <v>74</v>
      </c>
      <c r="AG897">
        <v>49</v>
      </c>
      <c r="AH897">
        <v>40</v>
      </c>
      <c r="AI897">
        <v>40</v>
      </c>
      <c r="AJ897">
        <v>0</v>
      </c>
      <c r="AK897">
        <v>37</v>
      </c>
      <c r="AL897" t="s">
        <v>16782</v>
      </c>
      <c r="AM897" t="s">
        <v>16783</v>
      </c>
      <c r="AN897" t="s">
        <v>16784</v>
      </c>
      <c r="AO897" t="s">
        <v>16785</v>
      </c>
      <c r="AP897" t="s">
        <v>16786</v>
      </c>
      <c r="AQ897" t="s">
        <v>74</v>
      </c>
      <c r="AR897" t="s">
        <v>16769</v>
      </c>
      <c r="AS897" t="s">
        <v>16787</v>
      </c>
      <c r="AT897" t="s">
        <v>16127</v>
      </c>
      <c r="AU897">
        <v>2017</v>
      </c>
      <c r="AV897">
        <v>17</v>
      </c>
      <c r="AW897">
        <v>2</v>
      </c>
      <c r="AX897" t="s">
        <v>74</v>
      </c>
      <c r="AY897" t="s">
        <v>74</v>
      </c>
      <c r="AZ897" t="s">
        <v>74</v>
      </c>
      <c r="BA897" t="s">
        <v>74</v>
      </c>
      <c r="BB897">
        <v>118</v>
      </c>
      <c r="BC897">
        <v>125</v>
      </c>
      <c r="BD897" t="s">
        <v>74</v>
      </c>
      <c r="BE897" t="s">
        <v>16788</v>
      </c>
      <c r="BF897" t="str">
        <f>HYPERLINK("http://dx.doi.org/10.1089/ast.2015.1450","http://dx.doi.org/10.1089/ast.2015.1450")</f>
        <v>http://dx.doi.org/10.1089/ast.2015.1450</v>
      </c>
      <c r="BG897" t="s">
        <v>74</v>
      </c>
      <c r="BH897" t="s">
        <v>74</v>
      </c>
      <c r="BI897">
        <v>8</v>
      </c>
      <c r="BJ897" t="s">
        <v>16789</v>
      </c>
      <c r="BK897" t="s">
        <v>103</v>
      </c>
      <c r="BL897" t="s">
        <v>16790</v>
      </c>
      <c r="BM897" t="s">
        <v>16791</v>
      </c>
      <c r="BN897">
        <v>28151689</v>
      </c>
      <c r="BO897" t="s">
        <v>74</v>
      </c>
      <c r="BP897" t="s">
        <v>74</v>
      </c>
      <c r="BQ897" t="s">
        <v>74</v>
      </c>
      <c r="BR897" t="s">
        <v>106</v>
      </c>
      <c r="BS897" t="s">
        <v>16792</v>
      </c>
      <c r="BT897" t="str">
        <f>HYPERLINK("https%3A%2F%2Fwww.webofscience.com%2Fwos%2Fwoscc%2Ffull-record%2FWOS:000394372800003","View Full Record in Web of Science")</f>
        <v>View Full Record in Web of Science</v>
      </c>
    </row>
    <row r="898" spans="1:72" x14ac:dyDescent="0.15">
      <c r="A898" t="s">
        <v>72</v>
      </c>
      <c r="B898" t="s">
        <v>16793</v>
      </c>
      <c r="C898" t="s">
        <v>74</v>
      </c>
      <c r="D898" t="s">
        <v>74</v>
      </c>
      <c r="E898" t="s">
        <v>74</v>
      </c>
      <c r="F898" t="s">
        <v>16794</v>
      </c>
      <c r="G898" t="s">
        <v>74</v>
      </c>
      <c r="H898" t="s">
        <v>74</v>
      </c>
      <c r="I898" t="s">
        <v>16795</v>
      </c>
      <c r="J898" t="s">
        <v>16769</v>
      </c>
      <c r="K898" t="s">
        <v>74</v>
      </c>
      <c r="L898" t="s">
        <v>74</v>
      </c>
      <c r="M898" t="s">
        <v>78</v>
      </c>
      <c r="N898" t="s">
        <v>79</v>
      </c>
      <c r="O898" t="s">
        <v>74</v>
      </c>
      <c r="P898" t="s">
        <v>74</v>
      </c>
      <c r="Q898" t="s">
        <v>74</v>
      </c>
      <c r="R898" t="s">
        <v>74</v>
      </c>
      <c r="S898" t="s">
        <v>74</v>
      </c>
      <c r="T898" t="s">
        <v>16796</v>
      </c>
      <c r="U898" t="s">
        <v>16797</v>
      </c>
      <c r="V898" t="s">
        <v>16798</v>
      </c>
      <c r="W898" t="s">
        <v>16799</v>
      </c>
      <c r="X898" t="s">
        <v>16800</v>
      </c>
      <c r="Y898" t="s">
        <v>16801</v>
      </c>
      <c r="Z898" t="s">
        <v>2818</v>
      </c>
      <c r="AA898" t="s">
        <v>16802</v>
      </c>
      <c r="AB898" t="s">
        <v>16803</v>
      </c>
      <c r="AC898" t="s">
        <v>16804</v>
      </c>
      <c r="AD898" t="s">
        <v>16805</v>
      </c>
      <c r="AE898" t="s">
        <v>16806</v>
      </c>
      <c r="AF898" t="s">
        <v>74</v>
      </c>
      <c r="AG898">
        <v>44</v>
      </c>
      <c r="AH898">
        <v>33</v>
      </c>
      <c r="AI898">
        <v>33</v>
      </c>
      <c r="AJ898">
        <v>0</v>
      </c>
      <c r="AK898">
        <v>26</v>
      </c>
      <c r="AL898" t="s">
        <v>16782</v>
      </c>
      <c r="AM898" t="s">
        <v>16783</v>
      </c>
      <c r="AN898" t="s">
        <v>16784</v>
      </c>
      <c r="AO898" t="s">
        <v>16785</v>
      </c>
      <c r="AP898" t="s">
        <v>16786</v>
      </c>
      <c r="AQ898" t="s">
        <v>74</v>
      </c>
      <c r="AR898" t="s">
        <v>16769</v>
      </c>
      <c r="AS898" t="s">
        <v>16787</v>
      </c>
      <c r="AT898" t="s">
        <v>16127</v>
      </c>
      <c r="AU898">
        <v>2017</v>
      </c>
      <c r="AV898">
        <v>17</v>
      </c>
      <c r="AW898">
        <v>2</v>
      </c>
      <c r="AX898" t="s">
        <v>74</v>
      </c>
      <c r="AY898" t="s">
        <v>74</v>
      </c>
      <c r="AZ898" t="s">
        <v>74</v>
      </c>
      <c r="BA898" t="s">
        <v>74</v>
      </c>
      <c r="BB898">
        <v>126</v>
      </c>
      <c r="BC898">
        <v>135</v>
      </c>
      <c r="BD898" t="s">
        <v>74</v>
      </c>
      <c r="BE898" t="s">
        <v>16807</v>
      </c>
      <c r="BF898" t="str">
        <f>HYPERLINK("http://dx.doi.org/10.1089/ast.2015.1456","http://dx.doi.org/10.1089/ast.2015.1456")</f>
        <v>http://dx.doi.org/10.1089/ast.2015.1456</v>
      </c>
      <c r="BG898" t="s">
        <v>74</v>
      </c>
      <c r="BH898" t="s">
        <v>74</v>
      </c>
      <c r="BI898">
        <v>10</v>
      </c>
      <c r="BJ898" t="s">
        <v>16789</v>
      </c>
      <c r="BK898" t="s">
        <v>103</v>
      </c>
      <c r="BL898" t="s">
        <v>16790</v>
      </c>
      <c r="BM898" t="s">
        <v>16791</v>
      </c>
      <c r="BN898">
        <v>28151696</v>
      </c>
      <c r="BO898" t="s">
        <v>231</v>
      </c>
      <c r="BP898" t="s">
        <v>74</v>
      </c>
      <c r="BQ898" t="s">
        <v>74</v>
      </c>
      <c r="BR898" t="s">
        <v>106</v>
      </c>
      <c r="BS898" t="s">
        <v>16808</v>
      </c>
      <c r="BT898" t="str">
        <f>HYPERLINK("https%3A%2F%2Fwww.webofscience.com%2Fwos%2Fwoscc%2Ffull-record%2FWOS:000394372800004","View Full Record in Web of Science")</f>
        <v>View Full Record in Web of Science</v>
      </c>
    </row>
    <row r="899" spans="1:72" x14ac:dyDescent="0.15">
      <c r="A899" t="s">
        <v>72</v>
      </c>
      <c r="B899" t="s">
        <v>16809</v>
      </c>
      <c r="C899" t="s">
        <v>74</v>
      </c>
      <c r="D899" t="s">
        <v>74</v>
      </c>
      <c r="E899" t="s">
        <v>74</v>
      </c>
      <c r="F899" t="s">
        <v>16810</v>
      </c>
      <c r="G899" t="s">
        <v>74</v>
      </c>
      <c r="H899" t="s">
        <v>74</v>
      </c>
      <c r="I899" t="s">
        <v>16811</v>
      </c>
      <c r="J899" t="s">
        <v>3827</v>
      </c>
      <c r="K899" t="s">
        <v>74</v>
      </c>
      <c r="L899" t="s">
        <v>74</v>
      </c>
      <c r="M899" t="s">
        <v>78</v>
      </c>
      <c r="N899" t="s">
        <v>79</v>
      </c>
      <c r="O899" t="s">
        <v>74</v>
      </c>
      <c r="P899" t="s">
        <v>74</v>
      </c>
      <c r="Q899" t="s">
        <v>74</v>
      </c>
      <c r="R899" t="s">
        <v>74</v>
      </c>
      <c r="S899" t="s">
        <v>74</v>
      </c>
      <c r="T899" t="s">
        <v>74</v>
      </c>
      <c r="U899" t="s">
        <v>16812</v>
      </c>
      <c r="V899" t="s">
        <v>16813</v>
      </c>
      <c r="W899" t="s">
        <v>16814</v>
      </c>
      <c r="X899" t="s">
        <v>16815</v>
      </c>
      <c r="Y899" t="s">
        <v>16816</v>
      </c>
      <c r="Z899" t="s">
        <v>16817</v>
      </c>
      <c r="AA899" t="s">
        <v>16818</v>
      </c>
      <c r="AB899" t="s">
        <v>16819</v>
      </c>
      <c r="AC899" t="s">
        <v>16820</v>
      </c>
      <c r="AD899" t="s">
        <v>16821</v>
      </c>
      <c r="AE899" t="s">
        <v>16822</v>
      </c>
      <c r="AF899" t="s">
        <v>74</v>
      </c>
      <c r="AG899">
        <v>79</v>
      </c>
      <c r="AH899">
        <v>22</v>
      </c>
      <c r="AI899">
        <v>22</v>
      </c>
      <c r="AJ899">
        <v>0</v>
      </c>
      <c r="AK899">
        <v>16</v>
      </c>
      <c r="AL899" t="s">
        <v>3534</v>
      </c>
      <c r="AM899" t="s">
        <v>3535</v>
      </c>
      <c r="AN899" t="s">
        <v>3536</v>
      </c>
      <c r="AO899" t="s">
        <v>3839</v>
      </c>
      <c r="AP899" t="s">
        <v>3840</v>
      </c>
      <c r="AQ899" t="s">
        <v>74</v>
      </c>
      <c r="AR899" t="s">
        <v>3827</v>
      </c>
      <c r="AS899" t="s">
        <v>3841</v>
      </c>
      <c r="AT899" t="s">
        <v>16146</v>
      </c>
      <c r="AU899">
        <v>2017</v>
      </c>
      <c r="AV899">
        <v>11</v>
      </c>
      <c r="AW899">
        <v>1</v>
      </c>
      <c r="AX899" t="s">
        <v>74</v>
      </c>
      <c r="AY899" t="s">
        <v>74</v>
      </c>
      <c r="AZ899" t="s">
        <v>74</v>
      </c>
      <c r="BA899" t="s">
        <v>74</v>
      </c>
      <c r="BB899">
        <v>343</v>
      </c>
      <c r="BC899">
        <v>362</v>
      </c>
      <c r="BD899" t="s">
        <v>74</v>
      </c>
      <c r="BE899" t="s">
        <v>16823</v>
      </c>
      <c r="BF899" t="str">
        <f>HYPERLINK("http://dx.doi.org/10.5194/tc-11-343-2017","http://dx.doi.org/10.5194/tc-11-343-2017")</f>
        <v>http://dx.doi.org/10.5194/tc-11-343-2017</v>
      </c>
      <c r="BG899" t="s">
        <v>74</v>
      </c>
      <c r="BH899" t="s">
        <v>74</v>
      </c>
      <c r="BI899">
        <v>20</v>
      </c>
      <c r="BJ899" t="s">
        <v>1338</v>
      </c>
      <c r="BK899" t="s">
        <v>103</v>
      </c>
      <c r="BL899" t="s">
        <v>1339</v>
      </c>
      <c r="BM899" t="s">
        <v>16824</v>
      </c>
      <c r="BN899" t="s">
        <v>74</v>
      </c>
      <c r="BO899" t="s">
        <v>3617</v>
      </c>
      <c r="BP899" t="s">
        <v>74</v>
      </c>
      <c r="BQ899" t="s">
        <v>74</v>
      </c>
      <c r="BR899" t="s">
        <v>106</v>
      </c>
      <c r="BS899" t="s">
        <v>16825</v>
      </c>
      <c r="BT899" t="str">
        <f>HYPERLINK("https%3A%2F%2Fwww.webofscience.com%2Fwos%2Fwoscc%2Ffull-record%2FWOS:000395087100002","View Full Record in Web of Science")</f>
        <v>View Full Record in Web of Science</v>
      </c>
    </row>
    <row r="900" spans="1:72" x14ac:dyDescent="0.15">
      <c r="A900" t="s">
        <v>72</v>
      </c>
      <c r="B900" t="s">
        <v>16826</v>
      </c>
      <c r="C900" t="s">
        <v>74</v>
      </c>
      <c r="D900" t="s">
        <v>74</v>
      </c>
      <c r="E900" t="s">
        <v>74</v>
      </c>
      <c r="F900" t="s">
        <v>16827</v>
      </c>
      <c r="G900" t="s">
        <v>74</v>
      </c>
      <c r="H900" t="s">
        <v>74</v>
      </c>
      <c r="I900" t="s">
        <v>16828</v>
      </c>
      <c r="J900" t="s">
        <v>643</v>
      </c>
      <c r="K900" t="s">
        <v>74</v>
      </c>
      <c r="L900" t="s">
        <v>74</v>
      </c>
      <c r="M900" t="s">
        <v>78</v>
      </c>
      <c r="N900" t="s">
        <v>79</v>
      </c>
      <c r="O900" t="s">
        <v>74</v>
      </c>
      <c r="P900" t="s">
        <v>74</v>
      </c>
      <c r="Q900" t="s">
        <v>74</v>
      </c>
      <c r="R900" t="s">
        <v>74</v>
      </c>
      <c r="S900" t="s">
        <v>74</v>
      </c>
      <c r="T900" t="s">
        <v>16829</v>
      </c>
      <c r="U900" t="s">
        <v>16830</v>
      </c>
      <c r="V900" t="s">
        <v>16831</v>
      </c>
      <c r="W900" t="s">
        <v>16832</v>
      </c>
      <c r="X900" t="s">
        <v>16833</v>
      </c>
      <c r="Y900" t="s">
        <v>16834</v>
      </c>
      <c r="Z900" t="s">
        <v>16835</v>
      </c>
      <c r="AA900" t="s">
        <v>16836</v>
      </c>
      <c r="AB900" t="s">
        <v>16837</v>
      </c>
      <c r="AC900" t="s">
        <v>16838</v>
      </c>
      <c r="AD900" t="s">
        <v>16839</v>
      </c>
      <c r="AE900" t="s">
        <v>16840</v>
      </c>
      <c r="AF900" t="s">
        <v>74</v>
      </c>
      <c r="AG900">
        <v>37</v>
      </c>
      <c r="AH900">
        <v>22</v>
      </c>
      <c r="AI900">
        <v>24</v>
      </c>
      <c r="AJ900">
        <v>0</v>
      </c>
      <c r="AK900">
        <v>7</v>
      </c>
      <c r="AL900" t="s">
        <v>656</v>
      </c>
      <c r="AM900" t="s">
        <v>93</v>
      </c>
      <c r="AN900" t="s">
        <v>657</v>
      </c>
      <c r="AO900" t="s">
        <v>658</v>
      </c>
      <c r="AP900" t="s">
        <v>659</v>
      </c>
      <c r="AQ900" t="s">
        <v>74</v>
      </c>
      <c r="AR900" t="s">
        <v>660</v>
      </c>
      <c r="AS900" t="s">
        <v>661</v>
      </c>
      <c r="AT900" t="s">
        <v>16127</v>
      </c>
      <c r="AU900">
        <v>2017</v>
      </c>
      <c r="AV900">
        <v>120</v>
      </c>
      <c r="AW900" t="s">
        <v>74</v>
      </c>
      <c r="AX900" t="s">
        <v>74</v>
      </c>
      <c r="AY900" t="s">
        <v>74</v>
      </c>
      <c r="AZ900" t="s">
        <v>74</v>
      </c>
      <c r="BA900" t="s">
        <v>74</v>
      </c>
      <c r="BB900">
        <v>48</v>
      </c>
      <c r="BC900">
        <v>60</v>
      </c>
      <c r="BD900" t="s">
        <v>74</v>
      </c>
      <c r="BE900" t="s">
        <v>16841</v>
      </c>
      <c r="BF900" t="str">
        <f>HYPERLINK("http://dx.doi.org/10.1016/j.dsr.2016.12.001","http://dx.doi.org/10.1016/j.dsr.2016.12.001")</f>
        <v>http://dx.doi.org/10.1016/j.dsr.2016.12.001</v>
      </c>
      <c r="BG900" t="s">
        <v>74</v>
      </c>
      <c r="BH900" t="s">
        <v>74</v>
      </c>
      <c r="BI900">
        <v>13</v>
      </c>
      <c r="BJ900" t="s">
        <v>127</v>
      </c>
      <c r="BK900" t="s">
        <v>103</v>
      </c>
      <c r="BL900" t="s">
        <v>127</v>
      </c>
      <c r="BM900" t="s">
        <v>16842</v>
      </c>
      <c r="BN900" t="s">
        <v>74</v>
      </c>
      <c r="BO900" t="s">
        <v>74</v>
      </c>
      <c r="BP900" t="s">
        <v>74</v>
      </c>
      <c r="BQ900" t="s">
        <v>74</v>
      </c>
      <c r="BR900" t="s">
        <v>106</v>
      </c>
      <c r="BS900" t="s">
        <v>16843</v>
      </c>
      <c r="BT900" t="str">
        <f>HYPERLINK("https%3A%2F%2Fwww.webofscience.com%2Fwos%2Fwoscc%2Ffull-record%2FWOS:000394404100005","View Full Record in Web of Science")</f>
        <v>View Full Record in Web of Science</v>
      </c>
    </row>
    <row r="901" spans="1:72" x14ac:dyDescent="0.15">
      <c r="A901" t="s">
        <v>72</v>
      </c>
      <c r="B901" t="s">
        <v>16844</v>
      </c>
      <c r="C901" t="s">
        <v>74</v>
      </c>
      <c r="D901" t="s">
        <v>74</v>
      </c>
      <c r="E901" t="s">
        <v>74</v>
      </c>
      <c r="F901" t="s">
        <v>16845</v>
      </c>
      <c r="G901" t="s">
        <v>74</v>
      </c>
      <c r="H901" t="s">
        <v>74</v>
      </c>
      <c r="I901" t="s">
        <v>16846</v>
      </c>
      <c r="J901" t="s">
        <v>643</v>
      </c>
      <c r="K901" t="s">
        <v>74</v>
      </c>
      <c r="L901" t="s">
        <v>74</v>
      </c>
      <c r="M901" t="s">
        <v>78</v>
      </c>
      <c r="N901" t="s">
        <v>79</v>
      </c>
      <c r="O901" t="s">
        <v>74</v>
      </c>
      <c r="P901" t="s">
        <v>74</v>
      </c>
      <c r="Q901" t="s">
        <v>74</v>
      </c>
      <c r="R901" t="s">
        <v>74</v>
      </c>
      <c r="S901" t="s">
        <v>74</v>
      </c>
      <c r="T901" t="s">
        <v>16847</v>
      </c>
      <c r="U901" t="s">
        <v>16848</v>
      </c>
      <c r="V901" t="s">
        <v>16849</v>
      </c>
      <c r="W901" t="s">
        <v>16850</v>
      </c>
      <c r="X901" t="s">
        <v>16851</v>
      </c>
      <c r="Y901" t="s">
        <v>16852</v>
      </c>
      <c r="Z901" t="s">
        <v>16853</v>
      </c>
      <c r="AA901" t="s">
        <v>16854</v>
      </c>
      <c r="AB901" t="s">
        <v>16855</v>
      </c>
      <c r="AC901" t="s">
        <v>16856</v>
      </c>
      <c r="AD901" t="s">
        <v>16857</v>
      </c>
      <c r="AE901" t="s">
        <v>16858</v>
      </c>
      <c r="AF901" t="s">
        <v>74</v>
      </c>
      <c r="AG901">
        <v>81</v>
      </c>
      <c r="AH901">
        <v>25</v>
      </c>
      <c r="AI901">
        <v>25</v>
      </c>
      <c r="AJ901">
        <v>3</v>
      </c>
      <c r="AK901">
        <v>19</v>
      </c>
      <c r="AL901" t="s">
        <v>656</v>
      </c>
      <c r="AM901" t="s">
        <v>93</v>
      </c>
      <c r="AN901" t="s">
        <v>657</v>
      </c>
      <c r="AO901" t="s">
        <v>658</v>
      </c>
      <c r="AP901" t="s">
        <v>659</v>
      </c>
      <c r="AQ901" t="s">
        <v>74</v>
      </c>
      <c r="AR901" t="s">
        <v>660</v>
      </c>
      <c r="AS901" t="s">
        <v>661</v>
      </c>
      <c r="AT901" t="s">
        <v>16127</v>
      </c>
      <c r="AU901">
        <v>2017</v>
      </c>
      <c r="AV901">
        <v>120</v>
      </c>
      <c r="AW901" t="s">
        <v>74</v>
      </c>
      <c r="AX901" t="s">
        <v>74</v>
      </c>
      <c r="AY901" t="s">
        <v>74</v>
      </c>
      <c r="AZ901" t="s">
        <v>74</v>
      </c>
      <c r="BA901" t="s">
        <v>74</v>
      </c>
      <c r="BB901">
        <v>112</v>
      </c>
      <c r="BC901">
        <v>121</v>
      </c>
      <c r="BD901" t="s">
        <v>74</v>
      </c>
      <c r="BE901" t="s">
        <v>16859</v>
      </c>
      <c r="BF901" t="str">
        <f>HYPERLINK("http://dx.doi.org/10.1016/j.dsr.2016.12.004","http://dx.doi.org/10.1016/j.dsr.2016.12.004")</f>
        <v>http://dx.doi.org/10.1016/j.dsr.2016.12.004</v>
      </c>
      <c r="BG901" t="s">
        <v>74</v>
      </c>
      <c r="BH901" t="s">
        <v>74</v>
      </c>
      <c r="BI901">
        <v>10</v>
      </c>
      <c r="BJ901" t="s">
        <v>127</v>
      </c>
      <c r="BK901" t="s">
        <v>103</v>
      </c>
      <c r="BL901" t="s">
        <v>127</v>
      </c>
      <c r="BM901" t="s">
        <v>16842</v>
      </c>
      <c r="BN901" t="s">
        <v>74</v>
      </c>
      <c r="BO901" t="s">
        <v>384</v>
      </c>
      <c r="BP901" t="s">
        <v>74</v>
      </c>
      <c r="BQ901" t="s">
        <v>74</v>
      </c>
      <c r="BR901" t="s">
        <v>106</v>
      </c>
      <c r="BS901" t="s">
        <v>16860</v>
      </c>
      <c r="BT901" t="str">
        <f>HYPERLINK("https%3A%2F%2Fwww.webofscience.com%2Fwos%2Fwoscc%2Ffull-record%2FWOS:000394404100010","View Full Record in Web of Science")</f>
        <v>View Full Record in Web of Science</v>
      </c>
    </row>
    <row r="902" spans="1:72" x14ac:dyDescent="0.15">
      <c r="A902" t="s">
        <v>72</v>
      </c>
      <c r="B902" t="s">
        <v>16861</v>
      </c>
      <c r="C902" t="s">
        <v>74</v>
      </c>
      <c r="D902" t="s">
        <v>74</v>
      </c>
      <c r="E902" t="s">
        <v>74</v>
      </c>
      <c r="F902" t="s">
        <v>16862</v>
      </c>
      <c r="G902" t="s">
        <v>74</v>
      </c>
      <c r="H902" t="s">
        <v>74</v>
      </c>
      <c r="I902" t="s">
        <v>16863</v>
      </c>
      <c r="J902" t="s">
        <v>16864</v>
      </c>
      <c r="K902" t="s">
        <v>74</v>
      </c>
      <c r="L902" t="s">
        <v>74</v>
      </c>
      <c r="M902" t="s">
        <v>78</v>
      </c>
      <c r="N902" t="s">
        <v>79</v>
      </c>
      <c r="O902" t="s">
        <v>74</v>
      </c>
      <c r="P902" t="s">
        <v>74</v>
      </c>
      <c r="Q902" t="s">
        <v>74</v>
      </c>
      <c r="R902" t="s">
        <v>74</v>
      </c>
      <c r="S902" t="s">
        <v>74</v>
      </c>
      <c r="T902" t="s">
        <v>16865</v>
      </c>
      <c r="U902" t="s">
        <v>16866</v>
      </c>
      <c r="V902" t="s">
        <v>16867</v>
      </c>
      <c r="W902" t="s">
        <v>16868</v>
      </c>
      <c r="X902" t="s">
        <v>16869</v>
      </c>
      <c r="Y902" t="s">
        <v>16870</v>
      </c>
      <c r="Z902" t="s">
        <v>16871</v>
      </c>
      <c r="AA902" t="s">
        <v>16872</v>
      </c>
      <c r="AB902" t="s">
        <v>16873</v>
      </c>
      <c r="AC902" t="s">
        <v>16874</v>
      </c>
      <c r="AD902" t="s">
        <v>16875</v>
      </c>
      <c r="AE902" t="s">
        <v>16876</v>
      </c>
      <c r="AF902" t="s">
        <v>74</v>
      </c>
      <c r="AG902">
        <v>51</v>
      </c>
      <c r="AH902">
        <v>43</v>
      </c>
      <c r="AI902">
        <v>45</v>
      </c>
      <c r="AJ902">
        <v>3</v>
      </c>
      <c r="AK902">
        <v>78</v>
      </c>
      <c r="AL902" t="s">
        <v>16877</v>
      </c>
      <c r="AM902" t="s">
        <v>682</v>
      </c>
      <c r="AN902" t="s">
        <v>683</v>
      </c>
      <c r="AO902" t="s">
        <v>16878</v>
      </c>
      <c r="AP902" t="s">
        <v>16879</v>
      </c>
      <c r="AQ902" t="s">
        <v>74</v>
      </c>
      <c r="AR902" t="s">
        <v>16880</v>
      </c>
      <c r="AS902" t="s">
        <v>16881</v>
      </c>
      <c r="AT902" t="s">
        <v>16127</v>
      </c>
      <c r="AU902">
        <v>2017</v>
      </c>
      <c r="AV902">
        <v>54</v>
      </c>
      <c r="AW902">
        <v>1</v>
      </c>
      <c r="AX902" t="s">
        <v>74</v>
      </c>
      <c r="AY902" t="s">
        <v>74</v>
      </c>
      <c r="AZ902" t="s">
        <v>74</v>
      </c>
      <c r="BA902" t="s">
        <v>74</v>
      </c>
      <c r="BB902">
        <v>188</v>
      </c>
      <c r="BC902">
        <v>197</v>
      </c>
      <c r="BD902" t="s">
        <v>74</v>
      </c>
      <c r="BE902" t="s">
        <v>16882</v>
      </c>
      <c r="BF902" t="str">
        <f>HYPERLINK("http://dx.doi.org/10.1111/1365-2664.12710","http://dx.doi.org/10.1111/1365-2664.12710")</f>
        <v>http://dx.doi.org/10.1111/1365-2664.12710</v>
      </c>
      <c r="BG902" t="s">
        <v>74</v>
      </c>
      <c r="BH902" t="s">
        <v>74</v>
      </c>
      <c r="BI902">
        <v>10</v>
      </c>
      <c r="BJ902" t="s">
        <v>1018</v>
      </c>
      <c r="BK902" t="s">
        <v>103</v>
      </c>
      <c r="BL902" t="s">
        <v>326</v>
      </c>
      <c r="BM902" t="s">
        <v>16883</v>
      </c>
      <c r="BN902" t="s">
        <v>74</v>
      </c>
      <c r="BO902" t="s">
        <v>412</v>
      </c>
      <c r="BP902" t="s">
        <v>74</v>
      </c>
      <c r="BQ902" t="s">
        <v>74</v>
      </c>
      <c r="BR902" t="s">
        <v>106</v>
      </c>
      <c r="BS902" t="s">
        <v>16884</v>
      </c>
      <c r="BT902" t="str">
        <f>HYPERLINK("https%3A%2F%2Fwww.webofscience.com%2Fwos%2Fwoscc%2Ffull-record%2FWOS:000393322600020","View Full Record in Web of Science")</f>
        <v>View Full Record in Web of Science</v>
      </c>
    </row>
    <row r="903" spans="1:72" x14ac:dyDescent="0.15">
      <c r="A903" t="s">
        <v>72</v>
      </c>
      <c r="B903" t="s">
        <v>16885</v>
      </c>
      <c r="C903" t="s">
        <v>74</v>
      </c>
      <c r="D903" t="s">
        <v>74</v>
      </c>
      <c r="E903" t="s">
        <v>74</v>
      </c>
      <c r="F903" t="s">
        <v>16886</v>
      </c>
      <c r="G903" t="s">
        <v>74</v>
      </c>
      <c r="H903" t="s">
        <v>74</v>
      </c>
      <c r="I903" t="s">
        <v>16887</v>
      </c>
      <c r="J903" t="s">
        <v>16888</v>
      </c>
      <c r="K903" t="s">
        <v>74</v>
      </c>
      <c r="L903" t="s">
        <v>74</v>
      </c>
      <c r="M903" t="s">
        <v>78</v>
      </c>
      <c r="N903" t="s">
        <v>79</v>
      </c>
      <c r="O903" t="s">
        <v>74</v>
      </c>
      <c r="P903" t="s">
        <v>74</v>
      </c>
      <c r="Q903" t="s">
        <v>74</v>
      </c>
      <c r="R903" t="s">
        <v>74</v>
      </c>
      <c r="S903" t="s">
        <v>74</v>
      </c>
      <c r="T903" t="s">
        <v>16889</v>
      </c>
      <c r="U903" t="s">
        <v>16890</v>
      </c>
      <c r="V903" t="s">
        <v>16891</v>
      </c>
      <c r="W903" t="s">
        <v>16892</v>
      </c>
      <c r="X903" t="s">
        <v>1781</v>
      </c>
      <c r="Y903" t="s">
        <v>16893</v>
      </c>
      <c r="Z903" t="s">
        <v>16894</v>
      </c>
      <c r="AA903" t="s">
        <v>13740</v>
      </c>
      <c r="AB903" t="s">
        <v>16895</v>
      </c>
      <c r="AC903" t="s">
        <v>74</v>
      </c>
      <c r="AD903" t="s">
        <v>74</v>
      </c>
      <c r="AE903" t="s">
        <v>74</v>
      </c>
      <c r="AF903" t="s">
        <v>74</v>
      </c>
      <c r="AG903">
        <v>64</v>
      </c>
      <c r="AH903">
        <v>13</v>
      </c>
      <c r="AI903">
        <v>15</v>
      </c>
      <c r="AJ903">
        <v>1</v>
      </c>
      <c r="AK903">
        <v>35</v>
      </c>
      <c r="AL903" t="s">
        <v>3585</v>
      </c>
      <c r="AM903" t="s">
        <v>403</v>
      </c>
      <c r="AN903" t="s">
        <v>3586</v>
      </c>
      <c r="AO903" t="s">
        <v>16896</v>
      </c>
      <c r="AP903" t="s">
        <v>16897</v>
      </c>
      <c r="AQ903" t="s">
        <v>74</v>
      </c>
      <c r="AR903" t="s">
        <v>16898</v>
      </c>
      <c r="AS903" t="s">
        <v>16899</v>
      </c>
      <c r="AT903" t="s">
        <v>16127</v>
      </c>
      <c r="AU903">
        <v>2017</v>
      </c>
      <c r="AV903">
        <v>67</v>
      </c>
      <c r="AW903">
        <v>2</v>
      </c>
      <c r="AX903" t="s">
        <v>74</v>
      </c>
      <c r="AY903" t="s">
        <v>74</v>
      </c>
      <c r="AZ903" t="s">
        <v>74</v>
      </c>
      <c r="BA903" t="s">
        <v>74</v>
      </c>
      <c r="BB903">
        <v>203</v>
      </c>
      <c r="BC903">
        <v>214</v>
      </c>
      <c r="BD903" t="s">
        <v>74</v>
      </c>
      <c r="BE903" t="s">
        <v>16900</v>
      </c>
      <c r="BF903" t="str">
        <f>HYPERLINK("http://dx.doi.org/10.1007/s13213-016-1252-0","http://dx.doi.org/10.1007/s13213-016-1252-0")</f>
        <v>http://dx.doi.org/10.1007/s13213-016-1252-0</v>
      </c>
      <c r="BG903" t="s">
        <v>74</v>
      </c>
      <c r="BH903" t="s">
        <v>74</v>
      </c>
      <c r="BI903">
        <v>12</v>
      </c>
      <c r="BJ903" t="s">
        <v>1074</v>
      </c>
      <c r="BK903" t="s">
        <v>103</v>
      </c>
      <c r="BL903" t="s">
        <v>1074</v>
      </c>
      <c r="BM903" t="s">
        <v>16901</v>
      </c>
      <c r="BN903" t="s">
        <v>74</v>
      </c>
      <c r="BO903" t="s">
        <v>74</v>
      </c>
      <c r="BP903" t="s">
        <v>74</v>
      </c>
      <c r="BQ903" t="s">
        <v>74</v>
      </c>
      <c r="BR903" t="s">
        <v>106</v>
      </c>
      <c r="BS903" t="s">
        <v>16902</v>
      </c>
      <c r="BT903" t="str">
        <f>HYPERLINK("https%3A%2F%2Fwww.webofscience.com%2Fwos%2Fwoscc%2Ffull-record%2FWOS:000394088500007","View Full Record in Web of Science")</f>
        <v>View Full Record in Web of Science</v>
      </c>
    </row>
    <row r="904" spans="1:72" x14ac:dyDescent="0.15">
      <c r="A904" t="s">
        <v>72</v>
      </c>
      <c r="B904" t="s">
        <v>16903</v>
      </c>
      <c r="C904" t="s">
        <v>74</v>
      </c>
      <c r="D904" t="s">
        <v>74</v>
      </c>
      <c r="E904" t="s">
        <v>74</v>
      </c>
      <c r="F904" t="s">
        <v>16904</v>
      </c>
      <c r="G904" t="s">
        <v>74</v>
      </c>
      <c r="H904" t="s">
        <v>74</v>
      </c>
      <c r="I904" t="s">
        <v>16905</v>
      </c>
      <c r="J904" t="s">
        <v>16906</v>
      </c>
      <c r="K904" t="s">
        <v>74</v>
      </c>
      <c r="L904" t="s">
        <v>74</v>
      </c>
      <c r="M904" t="s">
        <v>78</v>
      </c>
      <c r="N904" t="s">
        <v>79</v>
      </c>
      <c r="O904" t="s">
        <v>74</v>
      </c>
      <c r="P904" t="s">
        <v>74</v>
      </c>
      <c r="Q904" t="s">
        <v>74</v>
      </c>
      <c r="R904" t="s">
        <v>74</v>
      </c>
      <c r="S904" t="s">
        <v>74</v>
      </c>
      <c r="T904" t="s">
        <v>16907</v>
      </c>
      <c r="U904" t="s">
        <v>16908</v>
      </c>
      <c r="V904" t="s">
        <v>16909</v>
      </c>
      <c r="W904" t="s">
        <v>16910</v>
      </c>
      <c r="X904" t="s">
        <v>16911</v>
      </c>
      <c r="Y904" t="s">
        <v>16912</v>
      </c>
      <c r="Z904" t="s">
        <v>16913</v>
      </c>
      <c r="AA904" t="s">
        <v>16914</v>
      </c>
      <c r="AB904" t="s">
        <v>16915</v>
      </c>
      <c r="AC904" t="s">
        <v>16916</v>
      </c>
      <c r="AD904" t="s">
        <v>16917</v>
      </c>
      <c r="AE904" t="s">
        <v>16918</v>
      </c>
      <c r="AF904" t="s">
        <v>74</v>
      </c>
      <c r="AG904">
        <v>105</v>
      </c>
      <c r="AH904">
        <v>5</v>
      </c>
      <c r="AI904">
        <v>5</v>
      </c>
      <c r="AJ904">
        <v>2</v>
      </c>
      <c r="AK904">
        <v>20</v>
      </c>
      <c r="AL904" t="s">
        <v>986</v>
      </c>
      <c r="AM904" t="s">
        <v>1191</v>
      </c>
      <c r="AN904" t="s">
        <v>1192</v>
      </c>
      <c r="AO904" t="s">
        <v>16919</v>
      </c>
      <c r="AP904" t="s">
        <v>16920</v>
      </c>
      <c r="AQ904" t="s">
        <v>74</v>
      </c>
      <c r="AR904" t="s">
        <v>16921</v>
      </c>
      <c r="AS904" t="s">
        <v>16922</v>
      </c>
      <c r="AT904" t="s">
        <v>16127</v>
      </c>
      <c r="AU904">
        <v>2017</v>
      </c>
      <c r="AV904">
        <v>18</v>
      </c>
      <c r="AW904">
        <v>1</v>
      </c>
      <c r="AX904" t="s">
        <v>74</v>
      </c>
      <c r="AY904" t="s">
        <v>74</v>
      </c>
      <c r="AZ904" t="s">
        <v>74</v>
      </c>
      <c r="BA904" t="s">
        <v>74</v>
      </c>
      <c r="BB904">
        <v>117</v>
      </c>
      <c r="BC904">
        <v>129</v>
      </c>
      <c r="BD904" t="s">
        <v>74</v>
      </c>
      <c r="BE904" t="s">
        <v>16923</v>
      </c>
      <c r="BF904" t="str">
        <f>HYPERLINK("http://dx.doi.org/10.1007/s10592-016-0887-5","http://dx.doi.org/10.1007/s10592-016-0887-5")</f>
        <v>http://dx.doi.org/10.1007/s10592-016-0887-5</v>
      </c>
      <c r="BG904" t="s">
        <v>74</v>
      </c>
      <c r="BH904" t="s">
        <v>74</v>
      </c>
      <c r="BI904">
        <v>13</v>
      </c>
      <c r="BJ904" t="s">
        <v>16924</v>
      </c>
      <c r="BK904" t="s">
        <v>103</v>
      </c>
      <c r="BL904" t="s">
        <v>16925</v>
      </c>
      <c r="BM904" t="s">
        <v>16926</v>
      </c>
      <c r="BN904" t="s">
        <v>74</v>
      </c>
      <c r="BO904" t="s">
        <v>74</v>
      </c>
      <c r="BP904" t="s">
        <v>74</v>
      </c>
      <c r="BQ904" t="s">
        <v>74</v>
      </c>
      <c r="BR904" t="s">
        <v>106</v>
      </c>
      <c r="BS904" t="s">
        <v>16927</v>
      </c>
      <c r="BT904" t="str">
        <f>HYPERLINK("https%3A%2F%2Fwww.webofscience.com%2Fwos%2Fwoscc%2Ffull-record%2FWOS:000394253300009","View Full Record in Web of Science")</f>
        <v>View Full Record in Web of Science</v>
      </c>
    </row>
    <row r="905" spans="1:72" x14ac:dyDescent="0.15">
      <c r="A905" t="s">
        <v>72</v>
      </c>
      <c r="B905" t="s">
        <v>16928</v>
      </c>
      <c r="C905" t="s">
        <v>74</v>
      </c>
      <c r="D905" t="s">
        <v>74</v>
      </c>
      <c r="E905" t="s">
        <v>74</v>
      </c>
      <c r="F905" t="s">
        <v>16929</v>
      </c>
      <c r="G905" t="s">
        <v>74</v>
      </c>
      <c r="H905" t="s">
        <v>74</v>
      </c>
      <c r="I905" t="s">
        <v>16930</v>
      </c>
      <c r="J905" t="s">
        <v>16931</v>
      </c>
      <c r="K905" t="s">
        <v>74</v>
      </c>
      <c r="L905" t="s">
        <v>74</v>
      </c>
      <c r="M905" t="s">
        <v>78</v>
      </c>
      <c r="N905" t="s">
        <v>79</v>
      </c>
      <c r="O905" t="s">
        <v>74</v>
      </c>
      <c r="P905" t="s">
        <v>74</v>
      </c>
      <c r="Q905" t="s">
        <v>74</v>
      </c>
      <c r="R905" t="s">
        <v>74</v>
      </c>
      <c r="S905" t="s">
        <v>74</v>
      </c>
      <c r="T905" t="s">
        <v>16932</v>
      </c>
      <c r="U905" t="s">
        <v>16933</v>
      </c>
      <c r="V905" t="s">
        <v>16934</v>
      </c>
      <c r="W905" t="s">
        <v>16935</v>
      </c>
      <c r="X905" t="s">
        <v>16936</v>
      </c>
      <c r="Y905" t="s">
        <v>16937</v>
      </c>
      <c r="Z905" t="s">
        <v>16938</v>
      </c>
      <c r="AA905" t="s">
        <v>16939</v>
      </c>
      <c r="AB905" t="s">
        <v>16940</v>
      </c>
      <c r="AC905" t="s">
        <v>16941</v>
      </c>
      <c r="AD905" t="s">
        <v>16942</v>
      </c>
      <c r="AE905" t="s">
        <v>16943</v>
      </c>
      <c r="AF905" t="s">
        <v>74</v>
      </c>
      <c r="AG905">
        <v>72</v>
      </c>
      <c r="AH905">
        <v>1</v>
      </c>
      <c r="AI905">
        <v>1</v>
      </c>
      <c r="AJ905">
        <v>0</v>
      </c>
      <c r="AK905">
        <v>15</v>
      </c>
      <c r="AL905" t="s">
        <v>5777</v>
      </c>
      <c r="AM905" t="s">
        <v>5778</v>
      </c>
      <c r="AN905" t="s">
        <v>5779</v>
      </c>
      <c r="AO905" t="s">
        <v>16944</v>
      </c>
      <c r="AP905" t="s">
        <v>16945</v>
      </c>
      <c r="AQ905" t="s">
        <v>74</v>
      </c>
      <c r="AR905" t="s">
        <v>16946</v>
      </c>
      <c r="AS905" t="s">
        <v>16947</v>
      </c>
      <c r="AT905" t="s">
        <v>16127</v>
      </c>
      <c r="AU905">
        <v>2017</v>
      </c>
      <c r="AV905">
        <v>14</v>
      </c>
      <c r="AW905">
        <v>2</v>
      </c>
      <c r="AX905" t="s">
        <v>74</v>
      </c>
      <c r="AY905" t="s">
        <v>74</v>
      </c>
      <c r="AZ905" t="s">
        <v>74</v>
      </c>
      <c r="BA905" t="s">
        <v>74</v>
      </c>
      <c r="BB905">
        <v>282</v>
      </c>
      <c r="BC905">
        <v>295</v>
      </c>
      <c r="BD905" t="s">
        <v>74</v>
      </c>
      <c r="BE905" t="s">
        <v>16948</v>
      </c>
      <c r="BF905" t="str">
        <f>HYPERLINK("http://dx.doi.org/10.1007/s11629-016-4151-8","http://dx.doi.org/10.1007/s11629-016-4151-8")</f>
        <v>http://dx.doi.org/10.1007/s11629-016-4151-8</v>
      </c>
      <c r="BG905" t="s">
        <v>74</v>
      </c>
      <c r="BH905" t="s">
        <v>74</v>
      </c>
      <c r="BI905">
        <v>14</v>
      </c>
      <c r="BJ905" t="s">
        <v>2189</v>
      </c>
      <c r="BK905" t="s">
        <v>103</v>
      </c>
      <c r="BL905" t="s">
        <v>993</v>
      </c>
      <c r="BM905" t="s">
        <v>16949</v>
      </c>
      <c r="BN905" t="s">
        <v>74</v>
      </c>
      <c r="BO905" t="s">
        <v>74</v>
      </c>
      <c r="BP905" t="s">
        <v>74</v>
      </c>
      <c r="BQ905" t="s">
        <v>74</v>
      </c>
      <c r="BR905" t="s">
        <v>106</v>
      </c>
      <c r="BS905" t="s">
        <v>16950</v>
      </c>
      <c r="BT905" t="str">
        <f>HYPERLINK("https%3A%2F%2Fwww.webofscience.com%2Fwos%2Fwoscc%2Ffull-record%2FWOS:000394156900005","View Full Record in Web of Science")</f>
        <v>View Full Record in Web of Science</v>
      </c>
    </row>
    <row r="906" spans="1:72" x14ac:dyDescent="0.15">
      <c r="A906" t="s">
        <v>72</v>
      </c>
      <c r="B906" t="s">
        <v>16951</v>
      </c>
      <c r="C906" t="s">
        <v>74</v>
      </c>
      <c r="D906" t="s">
        <v>74</v>
      </c>
      <c r="E906" t="s">
        <v>74</v>
      </c>
      <c r="F906" t="s">
        <v>16952</v>
      </c>
      <c r="G906" t="s">
        <v>74</v>
      </c>
      <c r="H906" t="s">
        <v>74</v>
      </c>
      <c r="I906" t="s">
        <v>16953</v>
      </c>
      <c r="J906" t="s">
        <v>2704</v>
      </c>
      <c r="K906" t="s">
        <v>74</v>
      </c>
      <c r="L906" t="s">
        <v>74</v>
      </c>
      <c r="M906" t="s">
        <v>78</v>
      </c>
      <c r="N906" t="s">
        <v>79</v>
      </c>
      <c r="O906" t="s">
        <v>74</v>
      </c>
      <c r="P906" t="s">
        <v>74</v>
      </c>
      <c r="Q906" t="s">
        <v>74</v>
      </c>
      <c r="R906" t="s">
        <v>74</v>
      </c>
      <c r="S906" t="s">
        <v>74</v>
      </c>
      <c r="T906" t="s">
        <v>16954</v>
      </c>
      <c r="U906" t="s">
        <v>16955</v>
      </c>
      <c r="V906" t="s">
        <v>16956</v>
      </c>
      <c r="W906" t="s">
        <v>16957</v>
      </c>
      <c r="X906" t="s">
        <v>16958</v>
      </c>
      <c r="Y906" t="s">
        <v>16959</v>
      </c>
      <c r="Z906" t="s">
        <v>16960</v>
      </c>
      <c r="AA906" t="s">
        <v>16961</v>
      </c>
      <c r="AB906" t="s">
        <v>16962</v>
      </c>
      <c r="AC906" t="s">
        <v>74</v>
      </c>
      <c r="AD906" t="s">
        <v>74</v>
      </c>
      <c r="AE906" t="s">
        <v>74</v>
      </c>
      <c r="AF906" t="s">
        <v>74</v>
      </c>
      <c r="AG906">
        <v>14</v>
      </c>
      <c r="AH906">
        <v>8</v>
      </c>
      <c r="AI906">
        <v>8</v>
      </c>
      <c r="AJ906">
        <v>0</v>
      </c>
      <c r="AK906">
        <v>9</v>
      </c>
      <c r="AL906" t="s">
        <v>803</v>
      </c>
      <c r="AM906" t="s">
        <v>430</v>
      </c>
      <c r="AN906" t="s">
        <v>804</v>
      </c>
      <c r="AO906" t="s">
        <v>2716</v>
      </c>
      <c r="AP906" t="s">
        <v>2717</v>
      </c>
      <c r="AQ906" t="s">
        <v>74</v>
      </c>
      <c r="AR906" t="s">
        <v>2718</v>
      </c>
      <c r="AS906" t="s">
        <v>2719</v>
      </c>
      <c r="AT906" t="s">
        <v>16127</v>
      </c>
      <c r="AU906">
        <v>2017</v>
      </c>
      <c r="AV906">
        <v>97</v>
      </c>
      <c r="AW906">
        <v>1</v>
      </c>
      <c r="AX906" t="s">
        <v>74</v>
      </c>
      <c r="AY906" t="s">
        <v>74</v>
      </c>
      <c r="AZ906" t="s">
        <v>74</v>
      </c>
      <c r="BA906" t="s">
        <v>74</v>
      </c>
      <c r="BB906">
        <v>29</v>
      </c>
      <c r="BC906">
        <v>34</v>
      </c>
      <c r="BD906" t="s">
        <v>74</v>
      </c>
      <c r="BE906" t="s">
        <v>16963</v>
      </c>
      <c r="BF906" t="str">
        <f>HYPERLINK("http://dx.doi.org/10.1017/S0025315415002131","http://dx.doi.org/10.1017/S0025315415002131")</f>
        <v>http://dx.doi.org/10.1017/S0025315415002131</v>
      </c>
      <c r="BG906" t="s">
        <v>74</v>
      </c>
      <c r="BH906" t="s">
        <v>74</v>
      </c>
      <c r="BI906">
        <v>6</v>
      </c>
      <c r="BJ906" t="s">
        <v>737</v>
      </c>
      <c r="BK906" t="s">
        <v>103</v>
      </c>
      <c r="BL906" t="s">
        <v>737</v>
      </c>
      <c r="BM906" t="s">
        <v>16964</v>
      </c>
      <c r="BN906" t="s">
        <v>74</v>
      </c>
      <c r="BO906" t="s">
        <v>74</v>
      </c>
      <c r="BP906" t="s">
        <v>74</v>
      </c>
      <c r="BQ906" t="s">
        <v>74</v>
      </c>
      <c r="BR906" t="s">
        <v>106</v>
      </c>
      <c r="BS906" t="s">
        <v>16965</v>
      </c>
      <c r="BT906" t="str">
        <f>HYPERLINK("https%3A%2F%2Fwww.webofscience.com%2Fwos%2Fwoscc%2Ffull-record%2FWOS:000393907600002","View Full Record in Web of Science")</f>
        <v>View Full Record in Web of Science</v>
      </c>
    </row>
    <row r="907" spans="1:72" x14ac:dyDescent="0.15">
      <c r="A907" t="s">
        <v>72</v>
      </c>
      <c r="B907" t="s">
        <v>16966</v>
      </c>
      <c r="C907" t="s">
        <v>74</v>
      </c>
      <c r="D907" t="s">
        <v>74</v>
      </c>
      <c r="E907" t="s">
        <v>74</v>
      </c>
      <c r="F907" t="s">
        <v>16967</v>
      </c>
      <c r="G907" t="s">
        <v>74</v>
      </c>
      <c r="H907" t="s">
        <v>74</v>
      </c>
      <c r="I907" t="s">
        <v>16968</v>
      </c>
      <c r="J907" t="s">
        <v>6948</v>
      </c>
      <c r="K907" t="s">
        <v>74</v>
      </c>
      <c r="L907" t="s">
        <v>74</v>
      </c>
      <c r="M907" t="s">
        <v>78</v>
      </c>
      <c r="N907" t="s">
        <v>79</v>
      </c>
      <c r="O907" t="s">
        <v>74</v>
      </c>
      <c r="P907" t="s">
        <v>74</v>
      </c>
      <c r="Q907" t="s">
        <v>74</v>
      </c>
      <c r="R907" t="s">
        <v>74</v>
      </c>
      <c r="S907" t="s">
        <v>74</v>
      </c>
      <c r="T907" t="s">
        <v>74</v>
      </c>
      <c r="U907" t="s">
        <v>16969</v>
      </c>
      <c r="V907" t="s">
        <v>16970</v>
      </c>
      <c r="W907" t="s">
        <v>16971</v>
      </c>
      <c r="X907" t="s">
        <v>16972</v>
      </c>
      <c r="Y907" t="s">
        <v>16973</v>
      </c>
      <c r="Z907" t="s">
        <v>16974</v>
      </c>
      <c r="AA907" t="s">
        <v>16975</v>
      </c>
      <c r="AB907" t="s">
        <v>16976</v>
      </c>
      <c r="AC907" t="s">
        <v>16977</v>
      </c>
      <c r="AD907" t="s">
        <v>16977</v>
      </c>
      <c r="AE907" t="s">
        <v>16978</v>
      </c>
      <c r="AF907" t="s">
        <v>74</v>
      </c>
      <c r="AG907">
        <v>41</v>
      </c>
      <c r="AH907">
        <v>139</v>
      </c>
      <c r="AI907">
        <v>156</v>
      </c>
      <c r="AJ907">
        <v>7</v>
      </c>
      <c r="AK907">
        <v>102</v>
      </c>
      <c r="AL907" t="s">
        <v>1611</v>
      </c>
      <c r="AM907" t="s">
        <v>430</v>
      </c>
      <c r="AN907" t="s">
        <v>10905</v>
      </c>
      <c r="AO907" t="s">
        <v>6960</v>
      </c>
      <c r="AP907" t="s">
        <v>6961</v>
      </c>
      <c r="AQ907" t="s">
        <v>74</v>
      </c>
      <c r="AR907" t="s">
        <v>6962</v>
      </c>
      <c r="AS907" t="s">
        <v>6963</v>
      </c>
      <c r="AT907" t="s">
        <v>16127</v>
      </c>
      <c r="AU907">
        <v>2017</v>
      </c>
      <c r="AV907">
        <v>10</v>
      </c>
      <c r="AW907">
        <v>2</v>
      </c>
      <c r="AX907" t="s">
        <v>74</v>
      </c>
      <c r="AY907" t="s">
        <v>74</v>
      </c>
      <c r="AZ907" t="s">
        <v>74</v>
      </c>
      <c r="BA907" t="s">
        <v>74</v>
      </c>
      <c r="BB907">
        <v>118</v>
      </c>
      <c r="BC907" t="s">
        <v>1485</v>
      </c>
      <c r="BD907" t="s">
        <v>74</v>
      </c>
      <c r="BE907" t="s">
        <v>16979</v>
      </c>
      <c r="BF907" t="str">
        <f>HYPERLINK("http://dx.doi.org/10.1038/NGEO2861","http://dx.doi.org/10.1038/NGEO2861")</f>
        <v>http://dx.doi.org/10.1038/NGEO2861</v>
      </c>
      <c r="BG907" t="s">
        <v>74</v>
      </c>
      <c r="BH907" t="s">
        <v>74</v>
      </c>
      <c r="BI907">
        <v>7</v>
      </c>
      <c r="BJ907" t="s">
        <v>437</v>
      </c>
      <c r="BK907" t="s">
        <v>103</v>
      </c>
      <c r="BL907" t="s">
        <v>438</v>
      </c>
      <c r="BM907" t="s">
        <v>16980</v>
      </c>
      <c r="BN907" t="s">
        <v>74</v>
      </c>
      <c r="BO907" t="s">
        <v>74</v>
      </c>
      <c r="BP907" t="s">
        <v>74</v>
      </c>
      <c r="BQ907" t="s">
        <v>74</v>
      </c>
      <c r="BR907" t="s">
        <v>106</v>
      </c>
      <c r="BS907" t="s">
        <v>16981</v>
      </c>
      <c r="BT907" t="str">
        <f>HYPERLINK("https%3A%2F%2Fwww.webofscience.com%2Fwos%2Fwoscc%2Ffull-record%2FWOS:000394121800015","View Full Record in Web of Science")</f>
        <v>View Full Record in Web of Science</v>
      </c>
    </row>
    <row r="908" spans="1:72" x14ac:dyDescent="0.15">
      <c r="A908" t="s">
        <v>72</v>
      </c>
      <c r="B908" t="s">
        <v>16982</v>
      </c>
      <c r="C908" t="s">
        <v>74</v>
      </c>
      <c r="D908" t="s">
        <v>74</v>
      </c>
      <c r="E908" t="s">
        <v>74</v>
      </c>
      <c r="F908" t="s">
        <v>16983</v>
      </c>
      <c r="G908" t="s">
        <v>74</v>
      </c>
      <c r="H908" t="s">
        <v>74</v>
      </c>
      <c r="I908" t="s">
        <v>16984</v>
      </c>
      <c r="J908" t="s">
        <v>16985</v>
      </c>
      <c r="K908" t="s">
        <v>74</v>
      </c>
      <c r="L908" t="s">
        <v>74</v>
      </c>
      <c r="M908" t="s">
        <v>78</v>
      </c>
      <c r="N908" t="s">
        <v>79</v>
      </c>
      <c r="O908" t="s">
        <v>74</v>
      </c>
      <c r="P908" t="s">
        <v>74</v>
      </c>
      <c r="Q908" t="s">
        <v>74</v>
      </c>
      <c r="R908" t="s">
        <v>74</v>
      </c>
      <c r="S908" t="s">
        <v>74</v>
      </c>
      <c r="T908" t="s">
        <v>16986</v>
      </c>
      <c r="U908" t="s">
        <v>16987</v>
      </c>
      <c r="V908" t="s">
        <v>16988</v>
      </c>
      <c r="W908" t="s">
        <v>16989</v>
      </c>
      <c r="X908" t="s">
        <v>16990</v>
      </c>
      <c r="Y908" t="s">
        <v>16991</v>
      </c>
      <c r="Z908" t="s">
        <v>16992</v>
      </c>
      <c r="AA908" t="s">
        <v>16993</v>
      </c>
      <c r="AB908" t="s">
        <v>16994</v>
      </c>
      <c r="AC908" t="s">
        <v>722</v>
      </c>
      <c r="AD908" t="s">
        <v>722</v>
      </c>
      <c r="AE908" t="s">
        <v>16995</v>
      </c>
      <c r="AF908" t="s">
        <v>74</v>
      </c>
      <c r="AG908">
        <v>38</v>
      </c>
      <c r="AH908">
        <v>6</v>
      </c>
      <c r="AI908">
        <v>6</v>
      </c>
      <c r="AJ908">
        <v>0</v>
      </c>
      <c r="AK908">
        <v>10</v>
      </c>
      <c r="AL908" t="s">
        <v>656</v>
      </c>
      <c r="AM908" t="s">
        <v>93</v>
      </c>
      <c r="AN908" t="s">
        <v>657</v>
      </c>
      <c r="AO908" t="s">
        <v>16996</v>
      </c>
      <c r="AP908" t="s">
        <v>74</v>
      </c>
      <c r="AQ908" t="s">
        <v>74</v>
      </c>
      <c r="AR908" t="s">
        <v>16985</v>
      </c>
      <c r="AS908" t="s">
        <v>16997</v>
      </c>
      <c r="AT908" t="s">
        <v>16127</v>
      </c>
      <c r="AU908">
        <v>2017</v>
      </c>
      <c r="AV908">
        <v>134</v>
      </c>
      <c r="AW908" t="s">
        <v>74</v>
      </c>
      <c r="AX908" t="s">
        <v>74</v>
      </c>
      <c r="AY908" t="s">
        <v>74</v>
      </c>
      <c r="AZ908" t="s">
        <v>74</v>
      </c>
      <c r="BA908" t="s">
        <v>74</v>
      </c>
      <c r="BB908">
        <v>64</v>
      </c>
      <c r="BC908">
        <v>70</v>
      </c>
      <c r="BD908" t="s">
        <v>74</v>
      </c>
      <c r="BE908" t="s">
        <v>16998</v>
      </c>
      <c r="BF908" t="str">
        <f>HYPERLINK("http://dx.doi.org/10.1016/j.phytochem.2016.11.014","http://dx.doi.org/10.1016/j.phytochem.2016.11.014")</f>
        <v>http://dx.doi.org/10.1016/j.phytochem.2016.11.014</v>
      </c>
      <c r="BG908" t="s">
        <v>74</v>
      </c>
      <c r="BH908" t="s">
        <v>74</v>
      </c>
      <c r="BI908">
        <v>7</v>
      </c>
      <c r="BJ908" t="s">
        <v>16999</v>
      </c>
      <c r="BK908" t="s">
        <v>2684</v>
      </c>
      <c r="BL908" t="s">
        <v>16999</v>
      </c>
      <c r="BM908" t="s">
        <v>17000</v>
      </c>
      <c r="BN908">
        <v>27939308</v>
      </c>
      <c r="BO908" t="s">
        <v>74</v>
      </c>
      <c r="BP908" t="s">
        <v>74</v>
      </c>
      <c r="BQ908" t="s">
        <v>74</v>
      </c>
      <c r="BR908" t="s">
        <v>106</v>
      </c>
      <c r="BS908" t="s">
        <v>17001</v>
      </c>
      <c r="BT908" t="str">
        <f>HYPERLINK("https%3A%2F%2Fwww.webofscience.com%2Fwos%2Fwoscc%2Ffull-record%2FWOS:000393928600006","View Full Record in Web of Science")</f>
        <v>View Full Record in Web of Science</v>
      </c>
    </row>
    <row r="909" spans="1:72" x14ac:dyDescent="0.15">
      <c r="A909" t="s">
        <v>72</v>
      </c>
      <c r="B909" t="s">
        <v>17002</v>
      </c>
      <c r="C909" t="s">
        <v>74</v>
      </c>
      <c r="D909" t="s">
        <v>74</v>
      </c>
      <c r="E909" t="s">
        <v>74</v>
      </c>
      <c r="F909" t="s">
        <v>17003</v>
      </c>
      <c r="G909" t="s">
        <v>74</v>
      </c>
      <c r="H909" t="s">
        <v>74</v>
      </c>
      <c r="I909" t="s">
        <v>17004</v>
      </c>
      <c r="J909" t="s">
        <v>1322</v>
      </c>
      <c r="K909" t="s">
        <v>74</v>
      </c>
      <c r="L909" t="s">
        <v>74</v>
      </c>
      <c r="M909" t="s">
        <v>78</v>
      </c>
      <c r="N909" t="s">
        <v>79</v>
      </c>
      <c r="O909" t="s">
        <v>74</v>
      </c>
      <c r="P909" t="s">
        <v>74</v>
      </c>
      <c r="Q909" t="s">
        <v>74</v>
      </c>
      <c r="R909" t="s">
        <v>74</v>
      </c>
      <c r="S909" t="s">
        <v>74</v>
      </c>
      <c r="T909" t="s">
        <v>17005</v>
      </c>
      <c r="U909" t="s">
        <v>17006</v>
      </c>
      <c r="V909" t="s">
        <v>17007</v>
      </c>
      <c r="W909" t="s">
        <v>17008</v>
      </c>
      <c r="X909" t="s">
        <v>17009</v>
      </c>
      <c r="Y909" t="s">
        <v>17010</v>
      </c>
      <c r="Z909" t="s">
        <v>17011</v>
      </c>
      <c r="AA909" t="s">
        <v>17012</v>
      </c>
      <c r="AB909" t="s">
        <v>17013</v>
      </c>
      <c r="AC909" t="s">
        <v>17014</v>
      </c>
      <c r="AD909" t="s">
        <v>17015</v>
      </c>
      <c r="AE909" t="s">
        <v>17016</v>
      </c>
      <c r="AF909" t="s">
        <v>74</v>
      </c>
      <c r="AG909">
        <v>55</v>
      </c>
      <c r="AH909">
        <v>18</v>
      </c>
      <c r="AI909">
        <v>21</v>
      </c>
      <c r="AJ909">
        <v>0</v>
      </c>
      <c r="AK909">
        <v>15</v>
      </c>
      <c r="AL909" t="s">
        <v>656</v>
      </c>
      <c r="AM909" t="s">
        <v>93</v>
      </c>
      <c r="AN909" t="s">
        <v>657</v>
      </c>
      <c r="AO909" t="s">
        <v>1334</v>
      </c>
      <c r="AP909" t="s">
        <v>74</v>
      </c>
      <c r="AQ909" t="s">
        <v>74</v>
      </c>
      <c r="AR909" t="s">
        <v>1335</v>
      </c>
      <c r="AS909" t="s">
        <v>1336</v>
      </c>
      <c r="AT909" t="s">
        <v>16146</v>
      </c>
      <c r="AU909">
        <v>2017</v>
      </c>
      <c r="AV909">
        <v>157</v>
      </c>
      <c r="AW909" t="s">
        <v>74</v>
      </c>
      <c r="AX909" t="s">
        <v>74</v>
      </c>
      <c r="AY909" t="s">
        <v>74</v>
      </c>
      <c r="AZ909" t="s">
        <v>74</v>
      </c>
      <c r="BA909" t="s">
        <v>74</v>
      </c>
      <c r="BB909">
        <v>1</v>
      </c>
      <c r="BC909">
        <v>13</v>
      </c>
      <c r="BD909" t="s">
        <v>74</v>
      </c>
      <c r="BE909" t="s">
        <v>17017</v>
      </c>
      <c r="BF909" t="str">
        <f>HYPERLINK("http://dx.doi.org/10.1016/j.quascirev.2016.12.007","http://dx.doi.org/10.1016/j.quascirev.2016.12.007")</f>
        <v>http://dx.doi.org/10.1016/j.quascirev.2016.12.007</v>
      </c>
      <c r="BG909" t="s">
        <v>74</v>
      </c>
      <c r="BH909" t="s">
        <v>74</v>
      </c>
      <c r="BI909">
        <v>13</v>
      </c>
      <c r="BJ909" t="s">
        <v>1338</v>
      </c>
      <c r="BK909" t="s">
        <v>103</v>
      </c>
      <c r="BL909" t="s">
        <v>1339</v>
      </c>
      <c r="BM909" t="s">
        <v>17018</v>
      </c>
      <c r="BN909" t="s">
        <v>74</v>
      </c>
      <c r="BO909" t="s">
        <v>74</v>
      </c>
      <c r="BP909" t="s">
        <v>74</v>
      </c>
      <c r="BQ909" t="s">
        <v>74</v>
      </c>
      <c r="BR909" t="s">
        <v>106</v>
      </c>
      <c r="BS909" t="s">
        <v>17019</v>
      </c>
      <c r="BT909" t="str">
        <f>HYPERLINK("https%3A%2F%2Fwww.webofscience.com%2Fwos%2Fwoscc%2Ffull-record%2FWOS:000393936200001","View Full Record in Web of Science")</f>
        <v>View Full Record in Web of Science</v>
      </c>
    </row>
    <row r="910" spans="1:72" x14ac:dyDescent="0.15">
      <c r="A910" t="s">
        <v>72</v>
      </c>
      <c r="B910" t="s">
        <v>17020</v>
      </c>
      <c r="C910" t="s">
        <v>74</v>
      </c>
      <c r="D910" t="s">
        <v>74</v>
      </c>
      <c r="E910" t="s">
        <v>74</v>
      </c>
      <c r="F910" t="s">
        <v>17021</v>
      </c>
      <c r="G910" t="s">
        <v>74</v>
      </c>
      <c r="H910" t="s">
        <v>74</v>
      </c>
      <c r="I910" t="s">
        <v>17022</v>
      </c>
      <c r="J910" t="s">
        <v>17023</v>
      </c>
      <c r="K910" t="s">
        <v>74</v>
      </c>
      <c r="L910" t="s">
        <v>74</v>
      </c>
      <c r="M910" t="s">
        <v>78</v>
      </c>
      <c r="N910" t="s">
        <v>79</v>
      </c>
      <c r="O910" t="s">
        <v>74</v>
      </c>
      <c r="P910" t="s">
        <v>74</v>
      </c>
      <c r="Q910" t="s">
        <v>74</v>
      </c>
      <c r="R910" t="s">
        <v>74</v>
      </c>
      <c r="S910" t="s">
        <v>74</v>
      </c>
      <c r="T910" t="s">
        <v>17024</v>
      </c>
      <c r="U910" t="s">
        <v>17025</v>
      </c>
      <c r="V910" t="s">
        <v>17026</v>
      </c>
      <c r="W910" t="s">
        <v>17027</v>
      </c>
      <c r="X910" t="s">
        <v>3644</v>
      </c>
      <c r="Y910" t="s">
        <v>17028</v>
      </c>
      <c r="Z910" t="s">
        <v>5944</v>
      </c>
      <c r="AA910" t="s">
        <v>74</v>
      </c>
      <c r="AB910" t="s">
        <v>74</v>
      </c>
      <c r="AC910" t="s">
        <v>17029</v>
      </c>
      <c r="AD910" t="s">
        <v>17030</v>
      </c>
      <c r="AE910" t="s">
        <v>17031</v>
      </c>
      <c r="AF910" t="s">
        <v>74</v>
      </c>
      <c r="AG910">
        <v>44</v>
      </c>
      <c r="AH910">
        <v>5</v>
      </c>
      <c r="AI910">
        <v>6</v>
      </c>
      <c r="AJ910">
        <v>2</v>
      </c>
      <c r="AK910">
        <v>43</v>
      </c>
      <c r="AL910" t="s">
        <v>986</v>
      </c>
      <c r="AM910" t="s">
        <v>430</v>
      </c>
      <c r="AN910" t="s">
        <v>1663</v>
      </c>
      <c r="AO910" t="s">
        <v>17032</v>
      </c>
      <c r="AP910" t="s">
        <v>17033</v>
      </c>
      <c r="AQ910" t="s">
        <v>74</v>
      </c>
      <c r="AR910" t="s">
        <v>17034</v>
      </c>
      <c r="AS910" t="s">
        <v>17035</v>
      </c>
      <c r="AT910" t="s">
        <v>16127</v>
      </c>
      <c r="AU910">
        <v>2017</v>
      </c>
      <c r="AV910">
        <v>36</v>
      </c>
      <c r="AW910">
        <v>2</v>
      </c>
      <c r="AX910" t="s">
        <v>74</v>
      </c>
      <c r="AY910" t="s">
        <v>74</v>
      </c>
      <c r="AZ910" t="s">
        <v>74</v>
      </c>
      <c r="BA910" t="s">
        <v>74</v>
      </c>
      <c r="BB910">
        <v>78</v>
      </c>
      <c r="BC910">
        <v>87</v>
      </c>
      <c r="BD910" t="s">
        <v>74</v>
      </c>
      <c r="BE910" t="s">
        <v>17036</v>
      </c>
      <c r="BF910" t="str">
        <f>HYPERLINK("http://dx.doi.org/10.1007/s13131-016-0956-0","http://dx.doi.org/10.1007/s13131-016-0956-0")</f>
        <v>http://dx.doi.org/10.1007/s13131-016-0956-0</v>
      </c>
      <c r="BG910" t="s">
        <v>74</v>
      </c>
      <c r="BH910" t="s">
        <v>74</v>
      </c>
      <c r="BI910">
        <v>10</v>
      </c>
      <c r="BJ910" t="s">
        <v>127</v>
      </c>
      <c r="BK910" t="s">
        <v>103</v>
      </c>
      <c r="BL910" t="s">
        <v>127</v>
      </c>
      <c r="BM910" t="s">
        <v>17037</v>
      </c>
      <c r="BN910" t="s">
        <v>74</v>
      </c>
      <c r="BO910" t="s">
        <v>74</v>
      </c>
      <c r="BP910" t="s">
        <v>74</v>
      </c>
      <c r="BQ910" t="s">
        <v>74</v>
      </c>
      <c r="BR910" t="s">
        <v>106</v>
      </c>
      <c r="BS910" t="s">
        <v>17038</v>
      </c>
      <c r="BT910" t="str">
        <f>HYPERLINK("https%3A%2F%2Fwww.webofscience.com%2Fwos%2Fwoscc%2Ffull-record%2FWOS:000393672200010","View Full Record in Web of Science")</f>
        <v>View Full Record in Web of Science</v>
      </c>
    </row>
    <row r="911" spans="1:72" x14ac:dyDescent="0.15">
      <c r="A911" t="s">
        <v>72</v>
      </c>
      <c r="B911" t="s">
        <v>17039</v>
      </c>
      <c r="C911" t="s">
        <v>74</v>
      </c>
      <c r="D911" t="s">
        <v>74</v>
      </c>
      <c r="E911" t="s">
        <v>74</v>
      </c>
      <c r="F911" t="s">
        <v>17040</v>
      </c>
      <c r="G911" t="s">
        <v>74</v>
      </c>
      <c r="H911" t="s">
        <v>74</v>
      </c>
      <c r="I911" t="s">
        <v>17041</v>
      </c>
      <c r="J911" t="s">
        <v>17023</v>
      </c>
      <c r="K911" t="s">
        <v>74</v>
      </c>
      <c r="L911" t="s">
        <v>74</v>
      </c>
      <c r="M911" t="s">
        <v>78</v>
      </c>
      <c r="N911" t="s">
        <v>79</v>
      </c>
      <c r="O911" t="s">
        <v>74</v>
      </c>
      <c r="P911" t="s">
        <v>74</v>
      </c>
      <c r="Q911" t="s">
        <v>74</v>
      </c>
      <c r="R911" t="s">
        <v>74</v>
      </c>
      <c r="S911" t="s">
        <v>74</v>
      </c>
      <c r="T911" t="s">
        <v>17042</v>
      </c>
      <c r="U911" t="s">
        <v>17043</v>
      </c>
      <c r="V911" t="s">
        <v>17044</v>
      </c>
      <c r="W911" t="s">
        <v>17045</v>
      </c>
      <c r="X911" t="s">
        <v>17046</v>
      </c>
      <c r="Y911" t="s">
        <v>17047</v>
      </c>
      <c r="Z911" t="s">
        <v>17048</v>
      </c>
      <c r="AA911" t="s">
        <v>17049</v>
      </c>
      <c r="AB911" t="s">
        <v>17050</v>
      </c>
      <c r="AC911" t="s">
        <v>17051</v>
      </c>
      <c r="AD911" t="s">
        <v>17052</v>
      </c>
      <c r="AE911" t="s">
        <v>17053</v>
      </c>
      <c r="AF911" t="s">
        <v>74</v>
      </c>
      <c r="AG911">
        <v>30</v>
      </c>
      <c r="AH911">
        <v>2</v>
      </c>
      <c r="AI911">
        <v>3</v>
      </c>
      <c r="AJ911">
        <v>2</v>
      </c>
      <c r="AK911">
        <v>38</v>
      </c>
      <c r="AL911" t="s">
        <v>986</v>
      </c>
      <c r="AM911" t="s">
        <v>430</v>
      </c>
      <c r="AN911" t="s">
        <v>987</v>
      </c>
      <c r="AO911" t="s">
        <v>17032</v>
      </c>
      <c r="AP911" t="s">
        <v>17033</v>
      </c>
      <c r="AQ911" t="s">
        <v>74</v>
      </c>
      <c r="AR911" t="s">
        <v>17034</v>
      </c>
      <c r="AS911" t="s">
        <v>17035</v>
      </c>
      <c r="AT911" t="s">
        <v>16127</v>
      </c>
      <c r="AU911">
        <v>2017</v>
      </c>
      <c r="AV911">
        <v>36</v>
      </c>
      <c r="AW911">
        <v>2</v>
      </c>
      <c r="AX911" t="s">
        <v>74</v>
      </c>
      <c r="AY911" t="s">
        <v>74</v>
      </c>
      <c r="AZ911" t="s">
        <v>74</v>
      </c>
      <c r="BA911" t="s">
        <v>74</v>
      </c>
      <c r="BB911">
        <v>105</v>
      </c>
      <c r="BC911">
        <v>110</v>
      </c>
      <c r="BD911" t="s">
        <v>74</v>
      </c>
      <c r="BE911" t="s">
        <v>17054</v>
      </c>
      <c r="BF911" t="str">
        <f>HYPERLINK("http://dx.doi.org/10.1007/s13131-017-0984-4","http://dx.doi.org/10.1007/s13131-017-0984-4")</f>
        <v>http://dx.doi.org/10.1007/s13131-017-0984-4</v>
      </c>
      <c r="BG911" t="s">
        <v>74</v>
      </c>
      <c r="BH911" t="s">
        <v>74</v>
      </c>
      <c r="BI911">
        <v>6</v>
      </c>
      <c r="BJ911" t="s">
        <v>127</v>
      </c>
      <c r="BK911" t="s">
        <v>103</v>
      </c>
      <c r="BL911" t="s">
        <v>127</v>
      </c>
      <c r="BM911" t="s">
        <v>17037</v>
      </c>
      <c r="BN911" t="s">
        <v>74</v>
      </c>
      <c r="BO911" t="s">
        <v>74</v>
      </c>
      <c r="BP911" t="s">
        <v>74</v>
      </c>
      <c r="BQ911" t="s">
        <v>74</v>
      </c>
      <c r="BR911" t="s">
        <v>106</v>
      </c>
      <c r="BS911" t="s">
        <v>17055</v>
      </c>
      <c r="BT911" t="str">
        <f>HYPERLINK("https%3A%2F%2Fwww.webofscience.com%2Fwos%2Fwoscc%2Ffull-record%2FWOS:000393672200013","View Full Record in Web of Science")</f>
        <v>View Full Record in Web of Science</v>
      </c>
    </row>
    <row r="912" spans="1:72" x14ac:dyDescent="0.15">
      <c r="A912" t="s">
        <v>72</v>
      </c>
      <c r="B912" t="s">
        <v>17056</v>
      </c>
      <c r="C912" t="s">
        <v>74</v>
      </c>
      <c r="D912" t="s">
        <v>74</v>
      </c>
      <c r="E912" t="s">
        <v>74</v>
      </c>
      <c r="F912" t="s">
        <v>17057</v>
      </c>
      <c r="G912" t="s">
        <v>74</v>
      </c>
      <c r="H912" t="s">
        <v>74</v>
      </c>
      <c r="I912" t="s">
        <v>17058</v>
      </c>
      <c r="J912" t="s">
        <v>1000</v>
      </c>
      <c r="K912" t="s">
        <v>74</v>
      </c>
      <c r="L912" t="s">
        <v>74</v>
      </c>
      <c r="M912" t="s">
        <v>78</v>
      </c>
      <c r="N912" t="s">
        <v>79</v>
      </c>
      <c r="O912" t="s">
        <v>74</v>
      </c>
      <c r="P912" t="s">
        <v>74</v>
      </c>
      <c r="Q912" t="s">
        <v>74</v>
      </c>
      <c r="R912" t="s">
        <v>74</v>
      </c>
      <c r="S912" t="s">
        <v>74</v>
      </c>
      <c r="T912" t="s">
        <v>17059</v>
      </c>
      <c r="U912" t="s">
        <v>17060</v>
      </c>
      <c r="V912" t="s">
        <v>17061</v>
      </c>
      <c r="W912" t="s">
        <v>17062</v>
      </c>
      <c r="X912" t="s">
        <v>17063</v>
      </c>
      <c r="Y912" t="s">
        <v>17064</v>
      </c>
      <c r="Z912" t="s">
        <v>17065</v>
      </c>
      <c r="AA912" t="s">
        <v>17066</v>
      </c>
      <c r="AB912" t="s">
        <v>17067</v>
      </c>
      <c r="AC912" t="s">
        <v>17068</v>
      </c>
      <c r="AD912" t="s">
        <v>17069</v>
      </c>
      <c r="AE912" t="s">
        <v>17070</v>
      </c>
      <c r="AF912" t="s">
        <v>74</v>
      </c>
      <c r="AG912">
        <v>76</v>
      </c>
      <c r="AH912">
        <v>14</v>
      </c>
      <c r="AI912">
        <v>16</v>
      </c>
      <c r="AJ912">
        <v>0</v>
      </c>
      <c r="AK912">
        <v>33</v>
      </c>
      <c r="AL912" t="s">
        <v>986</v>
      </c>
      <c r="AM912" t="s">
        <v>430</v>
      </c>
      <c r="AN912" t="s">
        <v>1663</v>
      </c>
      <c r="AO912" t="s">
        <v>1013</v>
      </c>
      <c r="AP912" t="s">
        <v>1014</v>
      </c>
      <c r="AQ912" t="s">
        <v>74</v>
      </c>
      <c r="AR912" t="s">
        <v>1015</v>
      </c>
      <c r="AS912" t="s">
        <v>1016</v>
      </c>
      <c r="AT912" t="s">
        <v>16127</v>
      </c>
      <c r="AU912">
        <v>2017</v>
      </c>
      <c r="AV912">
        <v>40</v>
      </c>
      <c r="AW912">
        <v>2</v>
      </c>
      <c r="AX912" t="s">
        <v>74</v>
      </c>
      <c r="AY912" t="s">
        <v>74</v>
      </c>
      <c r="AZ912" t="s">
        <v>74</v>
      </c>
      <c r="BA912" t="s">
        <v>74</v>
      </c>
      <c r="BB912">
        <v>247</v>
      </c>
      <c r="BC912">
        <v>261</v>
      </c>
      <c r="BD912" t="s">
        <v>74</v>
      </c>
      <c r="BE912" t="s">
        <v>17071</v>
      </c>
      <c r="BF912" t="str">
        <f>HYPERLINK("http://dx.doi.org/10.1007/s00300-016-1948-4","http://dx.doi.org/10.1007/s00300-016-1948-4")</f>
        <v>http://dx.doi.org/10.1007/s00300-016-1948-4</v>
      </c>
      <c r="BG912" t="s">
        <v>74</v>
      </c>
      <c r="BH912" t="s">
        <v>74</v>
      </c>
      <c r="BI912">
        <v>15</v>
      </c>
      <c r="BJ912" t="s">
        <v>1018</v>
      </c>
      <c r="BK912" t="s">
        <v>103</v>
      </c>
      <c r="BL912" t="s">
        <v>326</v>
      </c>
      <c r="BM912" t="s">
        <v>17072</v>
      </c>
      <c r="BN912" t="s">
        <v>74</v>
      </c>
      <c r="BO912" t="s">
        <v>74</v>
      </c>
      <c r="BP912" t="s">
        <v>74</v>
      </c>
      <c r="BQ912" t="s">
        <v>74</v>
      </c>
      <c r="BR912" t="s">
        <v>106</v>
      </c>
      <c r="BS912" t="s">
        <v>17073</v>
      </c>
      <c r="BT912" t="str">
        <f>HYPERLINK("https%3A%2F%2Fwww.webofscience.com%2Fwos%2Fwoscc%2Ffull-record%2FWOS:000393761500002","View Full Record in Web of Science")</f>
        <v>View Full Record in Web of Science</v>
      </c>
    </row>
    <row r="913" spans="1:72" x14ac:dyDescent="0.15">
      <c r="A913" t="s">
        <v>72</v>
      </c>
      <c r="B913" t="s">
        <v>17074</v>
      </c>
      <c r="C913" t="s">
        <v>74</v>
      </c>
      <c r="D913" t="s">
        <v>74</v>
      </c>
      <c r="E913" t="s">
        <v>74</v>
      </c>
      <c r="F913" t="s">
        <v>17075</v>
      </c>
      <c r="G913" t="s">
        <v>74</v>
      </c>
      <c r="H913" t="s">
        <v>74</v>
      </c>
      <c r="I913" t="s">
        <v>17076</v>
      </c>
      <c r="J913" t="s">
        <v>1000</v>
      </c>
      <c r="K913" t="s">
        <v>74</v>
      </c>
      <c r="L913" t="s">
        <v>74</v>
      </c>
      <c r="M913" t="s">
        <v>78</v>
      </c>
      <c r="N913" t="s">
        <v>79</v>
      </c>
      <c r="O913" t="s">
        <v>74</v>
      </c>
      <c r="P913" t="s">
        <v>74</v>
      </c>
      <c r="Q913" t="s">
        <v>74</v>
      </c>
      <c r="R913" t="s">
        <v>74</v>
      </c>
      <c r="S913" t="s">
        <v>74</v>
      </c>
      <c r="T913" t="s">
        <v>17077</v>
      </c>
      <c r="U913" t="s">
        <v>17078</v>
      </c>
      <c r="V913" t="s">
        <v>17079</v>
      </c>
      <c r="W913" t="s">
        <v>17080</v>
      </c>
      <c r="X913" t="s">
        <v>9914</v>
      </c>
      <c r="Y913" t="s">
        <v>17081</v>
      </c>
      <c r="Z913" t="s">
        <v>17082</v>
      </c>
      <c r="AA913" t="s">
        <v>17083</v>
      </c>
      <c r="AB913" t="s">
        <v>17084</v>
      </c>
      <c r="AC913" t="s">
        <v>17085</v>
      </c>
      <c r="AD913" t="s">
        <v>17086</v>
      </c>
      <c r="AE913" t="s">
        <v>17087</v>
      </c>
      <c r="AF913" t="s">
        <v>74</v>
      </c>
      <c r="AG913">
        <v>33</v>
      </c>
      <c r="AH913">
        <v>1</v>
      </c>
      <c r="AI913">
        <v>1</v>
      </c>
      <c r="AJ913">
        <v>0</v>
      </c>
      <c r="AK913">
        <v>9</v>
      </c>
      <c r="AL913" t="s">
        <v>986</v>
      </c>
      <c r="AM913" t="s">
        <v>430</v>
      </c>
      <c r="AN913" t="s">
        <v>1663</v>
      </c>
      <c r="AO913" t="s">
        <v>1013</v>
      </c>
      <c r="AP913" t="s">
        <v>1014</v>
      </c>
      <c r="AQ913" t="s">
        <v>74</v>
      </c>
      <c r="AR913" t="s">
        <v>1015</v>
      </c>
      <c r="AS913" t="s">
        <v>1016</v>
      </c>
      <c r="AT913" t="s">
        <v>16127</v>
      </c>
      <c r="AU913">
        <v>2017</v>
      </c>
      <c r="AV913">
        <v>40</v>
      </c>
      <c r="AW913">
        <v>2</v>
      </c>
      <c r="AX913" t="s">
        <v>74</v>
      </c>
      <c r="AY913" t="s">
        <v>74</v>
      </c>
      <c r="AZ913" t="s">
        <v>74</v>
      </c>
      <c r="BA913" t="s">
        <v>74</v>
      </c>
      <c r="BB913">
        <v>301</v>
      </c>
      <c r="BC913">
        <v>312</v>
      </c>
      <c r="BD913" t="s">
        <v>74</v>
      </c>
      <c r="BE913" t="s">
        <v>17088</v>
      </c>
      <c r="BF913" t="str">
        <f>HYPERLINK("http://dx.doi.org/10.1007/s00300-016-1954-6","http://dx.doi.org/10.1007/s00300-016-1954-6")</f>
        <v>http://dx.doi.org/10.1007/s00300-016-1954-6</v>
      </c>
      <c r="BG913" t="s">
        <v>74</v>
      </c>
      <c r="BH913" t="s">
        <v>74</v>
      </c>
      <c r="BI913">
        <v>12</v>
      </c>
      <c r="BJ913" t="s">
        <v>1018</v>
      </c>
      <c r="BK913" t="s">
        <v>103</v>
      </c>
      <c r="BL913" t="s">
        <v>326</v>
      </c>
      <c r="BM913" t="s">
        <v>17072</v>
      </c>
      <c r="BN913" t="s">
        <v>74</v>
      </c>
      <c r="BO913" t="s">
        <v>74</v>
      </c>
      <c r="BP913" t="s">
        <v>74</v>
      </c>
      <c r="BQ913" t="s">
        <v>74</v>
      </c>
      <c r="BR913" t="s">
        <v>106</v>
      </c>
      <c r="BS913" t="s">
        <v>17089</v>
      </c>
      <c r="BT913" t="str">
        <f>HYPERLINK("https%3A%2F%2Fwww.webofscience.com%2Fwos%2Fwoscc%2Ffull-record%2FWOS:000393761500006","View Full Record in Web of Science")</f>
        <v>View Full Record in Web of Science</v>
      </c>
    </row>
    <row r="914" spans="1:72" x14ac:dyDescent="0.15">
      <c r="A914" t="s">
        <v>72</v>
      </c>
      <c r="B914" t="s">
        <v>17090</v>
      </c>
      <c r="C914" t="s">
        <v>74</v>
      </c>
      <c r="D914" t="s">
        <v>74</v>
      </c>
      <c r="E914" t="s">
        <v>74</v>
      </c>
      <c r="F914" t="s">
        <v>17091</v>
      </c>
      <c r="G914" t="s">
        <v>74</v>
      </c>
      <c r="H914" t="s">
        <v>74</v>
      </c>
      <c r="I914" t="s">
        <v>17092</v>
      </c>
      <c r="J914" t="s">
        <v>1000</v>
      </c>
      <c r="K914" t="s">
        <v>74</v>
      </c>
      <c r="L914" t="s">
        <v>74</v>
      </c>
      <c r="M914" t="s">
        <v>78</v>
      </c>
      <c r="N914" t="s">
        <v>79</v>
      </c>
      <c r="O914" t="s">
        <v>74</v>
      </c>
      <c r="P914" t="s">
        <v>74</v>
      </c>
      <c r="Q914" t="s">
        <v>74</v>
      </c>
      <c r="R914" t="s">
        <v>74</v>
      </c>
      <c r="S914" t="s">
        <v>74</v>
      </c>
      <c r="T914" t="s">
        <v>17093</v>
      </c>
      <c r="U914" t="s">
        <v>17094</v>
      </c>
      <c r="V914" t="s">
        <v>17095</v>
      </c>
      <c r="W914" t="s">
        <v>17096</v>
      </c>
      <c r="X914" t="s">
        <v>17097</v>
      </c>
      <c r="Y914" t="s">
        <v>17098</v>
      </c>
      <c r="Z914" t="s">
        <v>17099</v>
      </c>
      <c r="AA914" t="s">
        <v>17100</v>
      </c>
      <c r="AB914" t="s">
        <v>17101</v>
      </c>
      <c r="AC914" t="s">
        <v>17102</v>
      </c>
      <c r="AD914" t="s">
        <v>17102</v>
      </c>
      <c r="AE914" t="s">
        <v>17103</v>
      </c>
      <c r="AF914" t="s">
        <v>74</v>
      </c>
      <c r="AG914">
        <v>39</v>
      </c>
      <c r="AH914">
        <v>7</v>
      </c>
      <c r="AI914">
        <v>8</v>
      </c>
      <c r="AJ914">
        <v>0</v>
      </c>
      <c r="AK914">
        <v>18</v>
      </c>
      <c r="AL914" t="s">
        <v>986</v>
      </c>
      <c r="AM914" t="s">
        <v>430</v>
      </c>
      <c r="AN914" t="s">
        <v>1663</v>
      </c>
      <c r="AO914" t="s">
        <v>1013</v>
      </c>
      <c r="AP914" t="s">
        <v>1014</v>
      </c>
      <c r="AQ914" t="s">
        <v>74</v>
      </c>
      <c r="AR914" t="s">
        <v>1015</v>
      </c>
      <c r="AS914" t="s">
        <v>1016</v>
      </c>
      <c r="AT914" t="s">
        <v>16127</v>
      </c>
      <c r="AU914">
        <v>2017</v>
      </c>
      <c r="AV914">
        <v>40</v>
      </c>
      <c r="AW914">
        <v>2</v>
      </c>
      <c r="AX914" t="s">
        <v>74</v>
      </c>
      <c r="AY914" t="s">
        <v>74</v>
      </c>
      <c r="AZ914" t="s">
        <v>74</v>
      </c>
      <c r="BA914" t="s">
        <v>74</v>
      </c>
      <c r="BB914">
        <v>313</v>
      </c>
      <c r="BC914">
        <v>320</v>
      </c>
      <c r="BD914" t="s">
        <v>74</v>
      </c>
      <c r="BE914" t="s">
        <v>17104</v>
      </c>
      <c r="BF914" t="str">
        <f>HYPERLINK("http://dx.doi.org/10.1007/s00300-016-1956-4","http://dx.doi.org/10.1007/s00300-016-1956-4")</f>
        <v>http://dx.doi.org/10.1007/s00300-016-1956-4</v>
      </c>
      <c r="BG914" t="s">
        <v>74</v>
      </c>
      <c r="BH914" t="s">
        <v>74</v>
      </c>
      <c r="BI914">
        <v>8</v>
      </c>
      <c r="BJ914" t="s">
        <v>1018</v>
      </c>
      <c r="BK914" t="s">
        <v>103</v>
      </c>
      <c r="BL914" t="s">
        <v>326</v>
      </c>
      <c r="BM914" t="s">
        <v>17072</v>
      </c>
      <c r="BN914" t="s">
        <v>74</v>
      </c>
      <c r="BO914" t="s">
        <v>1538</v>
      </c>
      <c r="BP914" t="s">
        <v>74</v>
      </c>
      <c r="BQ914" t="s">
        <v>74</v>
      </c>
      <c r="BR914" t="s">
        <v>106</v>
      </c>
      <c r="BS914" t="s">
        <v>17105</v>
      </c>
      <c r="BT914" t="str">
        <f>HYPERLINK("https%3A%2F%2Fwww.webofscience.com%2Fwos%2Fwoscc%2Ffull-record%2FWOS:000393761500007","View Full Record in Web of Science")</f>
        <v>View Full Record in Web of Science</v>
      </c>
    </row>
    <row r="915" spans="1:72" x14ac:dyDescent="0.15">
      <c r="A915" t="s">
        <v>72</v>
      </c>
      <c r="B915" t="s">
        <v>17106</v>
      </c>
      <c r="C915" t="s">
        <v>74</v>
      </c>
      <c r="D915" t="s">
        <v>74</v>
      </c>
      <c r="E915" t="s">
        <v>74</v>
      </c>
      <c r="F915" t="s">
        <v>17107</v>
      </c>
      <c r="G915" t="s">
        <v>74</v>
      </c>
      <c r="H915" t="s">
        <v>74</v>
      </c>
      <c r="I915" t="s">
        <v>17108</v>
      </c>
      <c r="J915" t="s">
        <v>1000</v>
      </c>
      <c r="K915" t="s">
        <v>74</v>
      </c>
      <c r="L915" t="s">
        <v>74</v>
      </c>
      <c r="M915" t="s">
        <v>78</v>
      </c>
      <c r="N915" t="s">
        <v>79</v>
      </c>
      <c r="O915" t="s">
        <v>74</v>
      </c>
      <c r="P915" t="s">
        <v>74</v>
      </c>
      <c r="Q915" t="s">
        <v>74</v>
      </c>
      <c r="R915" t="s">
        <v>74</v>
      </c>
      <c r="S915" t="s">
        <v>74</v>
      </c>
      <c r="T915" t="s">
        <v>17109</v>
      </c>
      <c r="U915" t="s">
        <v>17110</v>
      </c>
      <c r="V915" t="s">
        <v>17111</v>
      </c>
      <c r="W915" t="s">
        <v>17112</v>
      </c>
      <c r="X915" t="s">
        <v>17113</v>
      </c>
      <c r="Y915" t="s">
        <v>17114</v>
      </c>
      <c r="Z915" t="s">
        <v>16260</v>
      </c>
      <c r="AA915" t="s">
        <v>17115</v>
      </c>
      <c r="AB915" t="s">
        <v>17116</v>
      </c>
      <c r="AC915" t="s">
        <v>17117</v>
      </c>
      <c r="AD915" t="s">
        <v>17118</v>
      </c>
      <c r="AE915" t="s">
        <v>17119</v>
      </c>
      <c r="AF915" t="s">
        <v>74</v>
      </c>
      <c r="AG915">
        <v>48</v>
      </c>
      <c r="AH915">
        <v>4</v>
      </c>
      <c r="AI915">
        <v>4</v>
      </c>
      <c r="AJ915">
        <v>2</v>
      </c>
      <c r="AK915">
        <v>53</v>
      </c>
      <c r="AL915" t="s">
        <v>986</v>
      </c>
      <c r="AM915" t="s">
        <v>430</v>
      </c>
      <c r="AN915" t="s">
        <v>987</v>
      </c>
      <c r="AO915" t="s">
        <v>1013</v>
      </c>
      <c r="AP915" t="s">
        <v>1014</v>
      </c>
      <c r="AQ915" t="s">
        <v>74</v>
      </c>
      <c r="AR915" t="s">
        <v>1015</v>
      </c>
      <c r="AS915" t="s">
        <v>1016</v>
      </c>
      <c r="AT915" t="s">
        <v>16127</v>
      </c>
      <c r="AU915">
        <v>2017</v>
      </c>
      <c r="AV915">
        <v>40</v>
      </c>
      <c r="AW915">
        <v>2</v>
      </c>
      <c r="AX915" t="s">
        <v>74</v>
      </c>
      <c r="AY915" t="s">
        <v>74</v>
      </c>
      <c r="AZ915" t="s">
        <v>74</v>
      </c>
      <c r="BA915" t="s">
        <v>74</v>
      </c>
      <c r="BB915">
        <v>437</v>
      </c>
      <c r="BC915">
        <v>448</v>
      </c>
      <c r="BD915" t="s">
        <v>74</v>
      </c>
      <c r="BE915" t="s">
        <v>17120</v>
      </c>
      <c r="BF915" t="str">
        <f>HYPERLINK("http://dx.doi.org/10.1007/s00300-016-1971-5","http://dx.doi.org/10.1007/s00300-016-1971-5")</f>
        <v>http://dx.doi.org/10.1007/s00300-016-1971-5</v>
      </c>
      <c r="BG915" t="s">
        <v>74</v>
      </c>
      <c r="BH915" t="s">
        <v>74</v>
      </c>
      <c r="BI915">
        <v>12</v>
      </c>
      <c r="BJ915" t="s">
        <v>1018</v>
      </c>
      <c r="BK915" t="s">
        <v>103</v>
      </c>
      <c r="BL915" t="s">
        <v>326</v>
      </c>
      <c r="BM915" t="s">
        <v>17072</v>
      </c>
      <c r="BN915" t="s">
        <v>74</v>
      </c>
      <c r="BO915" t="s">
        <v>1100</v>
      </c>
      <c r="BP915" t="s">
        <v>74</v>
      </c>
      <c r="BQ915" t="s">
        <v>74</v>
      </c>
      <c r="BR915" t="s">
        <v>106</v>
      </c>
      <c r="BS915" t="s">
        <v>17121</v>
      </c>
      <c r="BT915" t="str">
        <f>HYPERLINK("https%3A%2F%2Fwww.webofscience.com%2Fwos%2Fwoscc%2Ffull-record%2FWOS:000393761500016","View Full Record in Web of Science")</f>
        <v>View Full Record in Web of Science</v>
      </c>
    </row>
    <row r="916" spans="1:72" x14ac:dyDescent="0.15">
      <c r="A916" t="s">
        <v>72</v>
      </c>
      <c r="B916" t="s">
        <v>17122</v>
      </c>
      <c r="C916" t="s">
        <v>74</v>
      </c>
      <c r="D916" t="s">
        <v>74</v>
      </c>
      <c r="E916" t="s">
        <v>74</v>
      </c>
      <c r="F916" t="s">
        <v>17123</v>
      </c>
      <c r="G916" t="s">
        <v>74</v>
      </c>
      <c r="H916" t="s">
        <v>74</v>
      </c>
      <c r="I916" t="s">
        <v>17124</v>
      </c>
      <c r="J916" t="s">
        <v>1000</v>
      </c>
      <c r="K916" t="s">
        <v>74</v>
      </c>
      <c r="L916" t="s">
        <v>74</v>
      </c>
      <c r="M916" t="s">
        <v>78</v>
      </c>
      <c r="N916" t="s">
        <v>79</v>
      </c>
      <c r="O916" t="s">
        <v>74</v>
      </c>
      <c r="P916" t="s">
        <v>74</v>
      </c>
      <c r="Q916" t="s">
        <v>74</v>
      </c>
      <c r="R916" t="s">
        <v>74</v>
      </c>
      <c r="S916" t="s">
        <v>74</v>
      </c>
      <c r="T916" t="s">
        <v>17125</v>
      </c>
      <c r="U916" t="s">
        <v>17126</v>
      </c>
      <c r="V916" t="s">
        <v>17127</v>
      </c>
      <c r="W916" t="s">
        <v>17128</v>
      </c>
      <c r="X916" t="s">
        <v>17129</v>
      </c>
      <c r="Y916" t="s">
        <v>17130</v>
      </c>
      <c r="Z916" t="s">
        <v>17131</v>
      </c>
      <c r="AA916" t="s">
        <v>17132</v>
      </c>
      <c r="AB916" t="s">
        <v>17133</v>
      </c>
      <c r="AC916" t="s">
        <v>17134</v>
      </c>
      <c r="AD916" t="s">
        <v>17135</v>
      </c>
      <c r="AE916" t="s">
        <v>17136</v>
      </c>
      <c r="AF916" t="s">
        <v>74</v>
      </c>
      <c r="AG916">
        <v>38</v>
      </c>
      <c r="AH916">
        <v>7</v>
      </c>
      <c r="AI916">
        <v>7</v>
      </c>
      <c r="AJ916">
        <v>2</v>
      </c>
      <c r="AK916">
        <v>49</v>
      </c>
      <c r="AL916" t="s">
        <v>986</v>
      </c>
      <c r="AM916" t="s">
        <v>430</v>
      </c>
      <c r="AN916" t="s">
        <v>987</v>
      </c>
      <c r="AO916" t="s">
        <v>1013</v>
      </c>
      <c r="AP916" t="s">
        <v>1014</v>
      </c>
      <c r="AQ916" t="s">
        <v>74</v>
      </c>
      <c r="AR916" t="s">
        <v>1015</v>
      </c>
      <c r="AS916" t="s">
        <v>1016</v>
      </c>
      <c r="AT916" t="s">
        <v>16127</v>
      </c>
      <c r="AU916">
        <v>2017</v>
      </c>
      <c r="AV916">
        <v>40</v>
      </c>
      <c r="AW916">
        <v>2</v>
      </c>
      <c r="AX916" t="s">
        <v>74</v>
      </c>
      <c r="AY916" t="s">
        <v>74</v>
      </c>
      <c r="AZ916" t="s">
        <v>74</v>
      </c>
      <c r="BA916" t="s">
        <v>74</v>
      </c>
      <c r="BB916">
        <v>449</v>
      </c>
      <c r="BC916">
        <v>455</v>
      </c>
      <c r="BD916" t="s">
        <v>74</v>
      </c>
      <c r="BE916" t="s">
        <v>17137</v>
      </c>
      <c r="BF916" t="str">
        <f>HYPERLINK("http://dx.doi.org/10.1007/s00300-016-1972-4","http://dx.doi.org/10.1007/s00300-016-1972-4")</f>
        <v>http://dx.doi.org/10.1007/s00300-016-1972-4</v>
      </c>
      <c r="BG916" t="s">
        <v>74</v>
      </c>
      <c r="BH916" t="s">
        <v>74</v>
      </c>
      <c r="BI916">
        <v>7</v>
      </c>
      <c r="BJ916" t="s">
        <v>1018</v>
      </c>
      <c r="BK916" t="s">
        <v>103</v>
      </c>
      <c r="BL916" t="s">
        <v>326</v>
      </c>
      <c r="BM916" t="s">
        <v>17072</v>
      </c>
      <c r="BN916" t="s">
        <v>74</v>
      </c>
      <c r="BO916" t="s">
        <v>74</v>
      </c>
      <c r="BP916" t="s">
        <v>74</v>
      </c>
      <c r="BQ916" t="s">
        <v>74</v>
      </c>
      <c r="BR916" t="s">
        <v>106</v>
      </c>
      <c r="BS916" t="s">
        <v>17138</v>
      </c>
      <c r="BT916" t="str">
        <f>HYPERLINK("https%3A%2F%2Fwww.webofscience.com%2Fwos%2Fwoscc%2Ffull-record%2FWOS:000393761500017","View Full Record in Web of Science")</f>
        <v>View Full Record in Web of Science</v>
      </c>
    </row>
    <row r="917" spans="1:72" x14ac:dyDescent="0.15">
      <c r="A917" t="s">
        <v>72</v>
      </c>
      <c r="B917" t="s">
        <v>17139</v>
      </c>
      <c r="C917" t="s">
        <v>74</v>
      </c>
      <c r="D917" t="s">
        <v>74</v>
      </c>
      <c r="E917" t="s">
        <v>74</v>
      </c>
      <c r="F917" t="s">
        <v>17140</v>
      </c>
      <c r="G917" t="s">
        <v>74</v>
      </c>
      <c r="H917" t="s">
        <v>74</v>
      </c>
      <c r="I917" t="s">
        <v>17141</v>
      </c>
      <c r="J917" t="s">
        <v>1000</v>
      </c>
      <c r="K917" t="s">
        <v>74</v>
      </c>
      <c r="L917" t="s">
        <v>74</v>
      </c>
      <c r="M917" t="s">
        <v>78</v>
      </c>
      <c r="N917" t="s">
        <v>79</v>
      </c>
      <c r="O917" t="s">
        <v>74</v>
      </c>
      <c r="P917" t="s">
        <v>74</v>
      </c>
      <c r="Q917" t="s">
        <v>74</v>
      </c>
      <c r="R917" t="s">
        <v>74</v>
      </c>
      <c r="S917" t="s">
        <v>74</v>
      </c>
      <c r="T917" t="s">
        <v>17142</v>
      </c>
      <c r="U917" t="s">
        <v>17143</v>
      </c>
      <c r="V917" t="s">
        <v>17144</v>
      </c>
      <c r="W917" t="s">
        <v>17145</v>
      </c>
      <c r="X917" t="s">
        <v>17146</v>
      </c>
      <c r="Y917" t="s">
        <v>17147</v>
      </c>
      <c r="Z917" t="s">
        <v>17148</v>
      </c>
      <c r="AA917" t="s">
        <v>74</v>
      </c>
      <c r="AB917" t="s">
        <v>17149</v>
      </c>
      <c r="AC917" t="s">
        <v>17150</v>
      </c>
      <c r="AD917" t="s">
        <v>17150</v>
      </c>
      <c r="AE917" t="s">
        <v>17151</v>
      </c>
      <c r="AF917" t="s">
        <v>74</v>
      </c>
      <c r="AG917">
        <v>16</v>
      </c>
      <c r="AH917">
        <v>12</v>
      </c>
      <c r="AI917">
        <v>13</v>
      </c>
      <c r="AJ917">
        <v>0</v>
      </c>
      <c r="AK917">
        <v>15</v>
      </c>
      <c r="AL917" t="s">
        <v>986</v>
      </c>
      <c r="AM917" t="s">
        <v>430</v>
      </c>
      <c r="AN917" t="s">
        <v>987</v>
      </c>
      <c r="AO917" t="s">
        <v>1013</v>
      </c>
      <c r="AP917" t="s">
        <v>1014</v>
      </c>
      <c r="AQ917" t="s">
        <v>74</v>
      </c>
      <c r="AR917" t="s">
        <v>1015</v>
      </c>
      <c r="AS917" t="s">
        <v>1016</v>
      </c>
      <c r="AT917" t="s">
        <v>16127</v>
      </c>
      <c r="AU917">
        <v>2017</v>
      </c>
      <c r="AV917">
        <v>40</v>
      </c>
      <c r="AW917">
        <v>2</v>
      </c>
      <c r="AX917" t="s">
        <v>74</v>
      </c>
      <c r="AY917" t="s">
        <v>74</v>
      </c>
      <c r="AZ917" t="s">
        <v>74</v>
      </c>
      <c r="BA917" t="s">
        <v>74</v>
      </c>
      <c r="BB917">
        <v>457</v>
      </c>
      <c r="BC917">
        <v>461</v>
      </c>
      <c r="BD917" t="s">
        <v>74</v>
      </c>
      <c r="BE917" t="s">
        <v>17152</v>
      </c>
      <c r="BF917" t="str">
        <f>HYPERLINK("http://dx.doi.org/10.1007/s00300-016-1947-5","http://dx.doi.org/10.1007/s00300-016-1947-5")</f>
        <v>http://dx.doi.org/10.1007/s00300-016-1947-5</v>
      </c>
      <c r="BG917" t="s">
        <v>74</v>
      </c>
      <c r="BH917" t="s">
        <v>74</v>
      </c>
      <c r="BI917">
        <v>5</v>
      </c>
      <c r="BJ917" t="s">
        <v>1018</v>
      </c>
      <c r="BK917" t="s">
        <v>103</v>
      </c>
      <c r="BL917" t="s">
        <v>326</v>
      </c>
      <c r="BM917" t="s">
        <v>17072</v>
      </c>
      <c r="BN917" t="s">
        <v>74</v>
      </c>
      <c r="BO917" t="s">
        <v>74</v>
      </c>
      <c r="BP917" t="s">
        <v>74</v>
      </c>
      <c r="BQ917" t="s">
        <v>74</v>
      </c>
      <c r="BR917" t="s">
        <v>106</v>
      </c>
      <c r="BS917" t="s">
        <v>17153</v>
      </c>
      <c r="BT917" t="str">
        <f>HYPERLINK("https%3A%2F%2Fwww.webofscience.com%2Fwos%2Fwoscc%2Ffull-record%2FWOS:000393761500018","View Full Record in Web of Science")</f>
        <v>View Full Record in Web of Science</v>
      </c>
    </row>
    <row r="918" spans="1:72" x14ac:dyDescent="0.15">
      <c r="A918" t="s">
        <v>72</v>
      </c>
      <c r="B918" t="s">
        <v>17154</v>
      </c>
      <c r="C918" t="s">
        <v>74</v>
      </c>
      <c r="D918" t="s">
        <v>74</v>
      </c>
      <c r="E918" t="s">
        <v>74</v>
      </c>
      <c r="F918" t="s">
        <v>17155</v>
      </c>
      <c r="G918" t="s">
        <v>74</v>
      </c>
      <c r="H918" t="s">
        <v>74</v>
      </c>
      <c r="I918" t="s">
        <v>17156</v>
      </c>
      <c r="J918" t="s">
        <v>1000</v>
      </c>
      <c r="K918" t="s">
        <v>74</v>
      </c>
      <c r="L918" t="s">
        <v>74</v>
      </c>
      <c r="M918" t="s">
        <v>78</v>
      </c>
      <c r="N918" t="s">
        <v>79</v>
      </c>
      <c r="O918" t="s">
        <v>74</v>
      </c>
      <c r="P918" t="s">
        <v>74</v>
      </c>
      <c r="Q918" t="s">
        <v>74</v>
      </c>
      <c r="R918" t="s">
        <v>74</v>
      </c>
      <c r="S918" t="s">
        <v>74</v>
      </c>
      <c r="T918" t="s">
        <v>17157</v>
      </c>
      <c r="U918" t="s">
        <v>17158</v>
      </c>
      <c r="V918" t="s">
        <v>17159</v>
      </c>
      <c r="W918" t="s">
        <v>17160</v>
      </c>
      <c r="X918" t="s">
        <v>17161</v>
      </c>
      <c r="Y918" t="s">
        <v>17162</v>
      </c>
      <c r="Z918" t="s">
        <v>17163</v>
      </c>
      <c r="AA918" t="s">
        <v>74</v>
      </c>
      <c r="AB918" t="s">
        <v>74</v>
      </c>
      <c r="AC918" t="s">
        <v>74</v>
      </c>
      <c r="AD918" t="s">
        <v>74</v>
      </c>
      <c r="AE918" t="s">
        <v>74</v>
      </c>
      <c r="AF918" t="s">
        <v>74</v>
      </c>
      <c r="AG918">
        <v>19</v>
      </c>
      <c r="AH918">
        <v>8</v>
      </c>
      <c r="AI918">
        <v>8</v>
      </c>
      <c r="AJ918">
        <v>0</v>
      </c>
      <c r="AK918">
        <v>18</v>
      </c>
      <c r="AL918" t="s">
        <v>986</v>
      </c>
      <c r="AM918" t="s">
        <v>430</v>
      </c>
      <c r="AN918" t="s">
        <v>987</v>
      </c>
      <c r="AO918" t="s">
        <v>1013</v>
      </c>
      <c r="AP918" t="s">
        <v>1014</v>
      </c>
      <c r="AQ918" t="s">
        <v>74</v>
      </c>
      <c r="AR918" t="s">
        <v>1015</v>
      </c>
      <c r="AS918" t="s">
        <v>1016</v>
      </c>
      <c r="AT918" t="s">
        <v>16127</v>
      </c>
      <c r="AU918">
        <v>2017</v>
      </c>
      <c r="AV918">
        <v>40</v>
      </c>
      <c r="AW918">
        <v>2</v>
      </c>
      <c r="AX918" t="s">
        <v>74</v>
      </c>
      <c r="AY918" t="s">
        <v>74</v>
      </c>
      <c r="AZ918" t="s">
        <v>74</v>
      </c>
      <c r="BA918" t="s">
        <v>74</v>
      </c>
      <c r="BB918">
        <v>471</v>
      </c>
      <c r="BC918">
        <v>475</v>
      </c>
      <c r="BD918" t="s">
        <v>74</v>
      </c>
      <c r="BE918" t="s">
        <v>17164</v>
      </c>
      <c r="BF918" t="str">
        <f>HYPERLINK("http://dx.doi.org/10.1007/s00300-016-1959-1","http://dx.doi.org/10.1007/s00300-016-1959-1")</f>
        <v>http://dx.doi.org/10.1007/s00300-016-1959-1</v>
      </c>
      <c r="BG918" t="s">
        <v>74</v>
      </c>
      <c r="BH918" t="s">
        <v>74</v>
      </c>
      <c r="BI918">
        <v>5</v>
      </c>
      <c r="BJ918" t="s">
        <v>1018</v>
      </c>
      <c r="BK918" t="s">
        <v>103</v>
      </c>
      <c r="BL918" t="s">
        <v>326</v>
      </c>
      <c r="BM918" t="s">
        <v>17072</v>
      </c>
      <c r="BN918" t="s">
        <v>74</v>
      </c>
      <c r="BO918" t="s">
        <v>74</v>
      </c>
      <c r="BP918" t="s">
        <v>74</v>
      </c>
      <c r="BQ918" t="s">
        <v>74</v>
      </c>
      <c r="BR918" t="s">
        <v>106</v>
      </c>
      <c r="BS918" t="s">
        <v>17165</v>
      </c>
      <c r="BT918" t="str">
        <f>HYPERLINK("https%3A%2F%2Fwww.webofscience.com%2Fwos%2Fwoscc%2Ffull-record%2FWOS:000393761500020","View Full Record in Web of Science")</f>
        <v>View Full Record in Web of Science</v>
      </c>
    </row>
    <row r="919" spans="1:72" x14ac:dyDescent="0.15">
      <c r="A919" t="s">
        <v>72</v>
      </c>
      <c r="B919" t="s">
        <v>17166</v>
      </c>
      <c r="C919" t="s">
        <v>74</v>
      </c>
      <c r="D919" t="s">
        <v>74</v>
      </c>
      <c r="E919" t="s">
        <v>74</v>
      </c>
      <c r="F919" t="s">
        <v>17167</v>
      </c>
      <c r="G919" t="s">
        <v>74</v>
      </c>
      <c r="H919" t="s">
        <v>74</v>
      </c>
      <c r="I919" t="s">
        <v>17168</v>
      </c>
      <c r="J919" t="s">
        <v>1000</v>
      </c>
      <c r="K919" t="s">
        <v>74</v>
      </c>
      <c r="L919" t="s">
        <v>74</v>
      </c>
      <c r="M919" t="s">
        <v>78</v>
      </c>
      <c r="N919" t="s">
        <v>79</v>
      </c>
      <c r="O919" t="s">
        <v>74</v>
      </c>
      <c r="P919" t="s">
        <v>74</v>
      </c>
      <c r="Q919" t="s">
        <v>74</v>
      </c>
      <c r="R919" t="s">
        <v>74</v>
      </c>
      <c r="S919" t="s">
        <v>74</v>
      </c>
      <c r="T919" t="s">
        <v>17169</v>
      </c>
      <c r="U919" t="s">
        <v>17170</v>
      </c>
      <c r="V919" t="s">
        <v>17171</v>
      </c>
      <c r="W919" t="s">
        <v>17172</v>
      </c>
      <c r="X919" t="s">
        <v>74</v>
      </c>
      <c r="Y919" t="s">
        <v>14913</v>
      </c>
      <c r="Z919" t="s">
        <v>14914</v>
      </c>
      <c r="AA919" t="s">
        <v>14915</v>
      </c>
      <c r="AB919" t="s">
        <v>14916</v>
      </c>
      <c r="AC919" t="s">
        <v>17173</v>
      </c>
      <c r="AD919" t="s">
        <v>17174</v>
      </c>
      <c r="AE919" t="s">
        <v>17175</v>
      </c>
      <c r="AF919" t="s">
        <v>74</v>
      </c>
      <c r="AG919">
        <v>26</v>
      </c>
      <c r="AH919">
        <v>5</v>
      </c>
      <c r="AI919">
        <v>5</v>
      </c>
      <c r="AJ919">
        <v>0</v>
      </c>
      <c r="AK919">
        <v>29</v>
      </c>
      <c r="AL919" t="s">
        <v>986</v>
      </c>
      <c r="AM919" t="s">
        <v>430</v>
      </c>
      <c r="AN919" t="s">
        <v>987</v>
      </c>
      <c r="AO919" t="s">
        <v>1013</v>
      </c>
      <c r="AP919" t="s">
        <v>1014</v>
      </c>
      <c r="AQ919" t="s">
        <v>74</v>
      </c>
      <c r="AR919" t="s">
        <v>1015</v>
      </c>
      <c r="AS919" t="s">
        <v>1016</v>
      </c>
      <c r="AT919" t="s">
        <v>16127</v>
      </c>
      <c r="AU919">
        <v>2017</v>
      </c>
      <c r="AV919">
        <v>40</v>
      </c>
      <c r="AW919">
        <v>2</v>
      </c>
      <c r="AX919" t="s">
        <v>74</v>
      </c>
      <c r="AY919" t="s">
        <v>74</v>
      </c>
      <c r="AZ919" t="s">
        <v>74</v>
      </c>
      <c r="BA919" t="s">
        <v>74</v>
      </c>
      <c r="BB919">
        <v>483</v>
      </c>
      <c r="BC919">
        <v>486</v>
      </c>
      <c r="BD919" t="s">
        <v>74</v>
      </c>
      <c r="BE919" t="s">
        <v>17176</v>
      </c>
      <c r="BF919" t="str">
        <f>HYPERLINK("http://dx.doi.org/10.1007/s00300-016-1963-5","http://dx.doi.org/10.1007/s00300-016-1963-5")</f>
        <v>http://dx.doi.org/10.1007/s00300-016-1963-5</v>
      </c>
      <c r="BG919" t="s">
        <v>74</v>
      </c>
      <c r="BH919" t="s">
        <v>74</v>
      </c>
      <c r="BI919">
        <v>4</v>
      </c>
      <c r="BJ919" t="s">
        <v>1018</v>
      </c>
      <c r="BK919" t="s">
        <v>103</v>
      </c>
      <c r="BL919" t="s">
        <v>326</v>
      </c>
      <c r="BM919" t="s">
        <v>17072</v>
      </c>
      <c r="BN919" t="s">
        <v>74</v>
      </c>
      <c r="BO919" t="s">
        <v>74</v>
      </c>
      <c r="BP919" t="s">
        <v>74</v>
      </c>
      <c r="BQ919" t="s">
        <v>74</v>
      </c>
      <c r="BR919" t="s">
        <v>106</v>
      </c>
      <c r="BS919" t="s">
        <v>17177</v>
      </c>
      <c r="BT919" t="str">
        <f>HYPERLINK("https%3A%2F%2Fwww.webofscience.com%2Fwos%2Fwoscc%2Ffull-record%2FWOS:000393761500022","View Full Record in Web of Science")</f>
        <v>View Full Record in Web of Science</v>
      </c>
    </row>
    <row r="920" spans="1:72" x14ac:dyDescent="0.15">
      <c r="A920" t="s">
        <v>72</v>
      </c>
      <c r="B920" t="s">
        <v>17178</v>
      </c>
      <c r="C920" t="s">
        <v>74</v>
      </c>
      <c r="D920" t="s">
        <v>74</v>
      </c>
      <c r="E920" t="s">
        <v>74</v>
      </c>
      <c r="F920" t="s">
        <v>17179</v>
      </c>
      <c r="G920" t="s">
        <v>74</v>
      </c>
      <c r="H920" t="s">
        <v>74</v>
      </c>
      <c r="I920" t="s">
        <v>17180</v>
      </c>
      <c r="J920" t="s">
        <v>17181</v>
      </c>
      <c r="K920" t="s">
        <v>74</v>
      </c>
      <c r="L920" t="s">
        <v>74</v>
      </c>
      <c r="M920" t="s">
        <v>78</v>
      </c>
      <c r="N920" t="s">
        <v>79</v>
      </c>
      <c r="O920" t="s">
        <v>74</v>
      </c>
      <c r="P920" t="s">
        <v>74</v>
      </c>
      <c r="Q920" t="s">
        <v>74</v>
      </c>
      <c r="R920" t="s">
        <v>74</v>
      </c>
      <c r="S920" t="s">
        <v>74</v>
      </c>
      <c r="T920" t="s">
        <v>17182</v>
      </c>
      <c r="U920" t="s">
        <v>17183</v>
      </c>
      <c r="V920" t="s">
        <v>17184</v>
      </c>
      <c r="W920" t="s">
        <v>17185</v>
      </c>
      <c r="X920" t="s">
        <v>4412</v>
      </c>
      <c r="Y920" t="s">
        <v>17186</v>
      </c>
      <c r="Z920" t="s">
        <v>17187</v>
      </c>
      <c r="AA920" t="s">
        <v>74</v>
      </c>
      <c r="AB920" t="s">
        <v>74</v>
      </c>
      <c r="AC920" t="s">
        <v>74</v>
      </c>
      <c r="AD920" t="s">
        <v>74</v>
      </c>
      <c r="AE920" t="s">
        <v>74</v>
      </c>
      <c r="AF920" t="s">
        <v>74</v>
      </c>
      <c r="AG920">
        <v>29</v>
      </c>
      <c r="AH920">
        <v>7</v>
      </c>
      <c r="AI920">
        <v>8</v>
      </c>
      <c r="AJ920">
        <v>0</v>
      </c>
      <c r="AK920">
        <v>13</v>
      </c>
      <c r="AL920" t="s">
        <v>656</v>
      </c>
      <c r="AM920" t="s">
        <v>93</v>
      </c>
      <c r="AN920" t="s">
        <v>657</v>
      </c>
      <c r="AO920" t="s">
        <v>17188</v>
      </c>
      <c r="AP920" t="s">
        <v>17189</v>
      </c>
      <c r="AQ920" t="s">
        <v>74</v>
      </c>
      <c r="AR920" t="s">
        <v>17190</v>
      </c>
      <c r="AS920" t="s">
        <v>17191</v>
      </c>
      <c r="AT920" t="s">
        <v>16127</v>
      </c>
      <c r="AU920">
        <v>2017</v>
      </c>
      <c r="AV920">
        <v>131</v>
      </c>
      <c r="AW920" t="s">
        <v>74</v>
      </c>
      <c r="AX920" t="s">
        <v>74</v>
      </c>
      <c r="AY920" t="s">
        <v>74</v>
      </c>
      <c r="AZ920" t="s">
        <v>74</v>
      </c>
      <c r="BA920" t="s">
        <v>74</v>
      </c>
      <c r="BB920">
        <v>50</v>
      </c>
      <c r="BC920">
        <v>54</v>
      </c>
      <c r="BD920" t="s">
        <v>74</v>
      </c>
      <c r="BE920" t="s">
        <v>17192</v>
      </c>
      <c r="BF920" t="str">
        <f>HYPERLINK("http://dx.doi.org/10.1016/j.actaastro.2016.11.020","http://dx.doi.org/10.1016/j.actaastro.2016.11.020")</f>
        <v>http://dx.doi.org/10.1016/j.actaastro.2016.11.020</v>
      </c>
      <c r="BG920" t="s">
        <v>74</v>
      </c>
      <c r="BH920" t="s">
        <v>74</v>
      </c>
      <c r="BI920">
        <v>5</v>
      </c>
      <c r="BJ920" t="s">
        <v>17193</v>
      </c>
      <c r="BK920" t="s">
        <v>5266</v>
      </c>
      <c r="BL920" t="s">
        <v>3233</v>
      </c>
      <c r="BM920" t="s">
        <v>17194</v>
      </c>
      <c r="BN920" t="s">
        <v>74</v>
      </c>
      <c r="BO920" t="s">
        <v>74</v>
      </c>
      <c r="BP920" t="s">
        <v>74</v>
      </c>
      <c r="BQ920" t="s">
        <v>74</v>
      </c>
      <c r="BR920" t="s">
        <v>106</v>
      </c>
      <c r="BS920" t="s">
        <v>17195</v>
      </c>
      <c r="BT920" t="str">
        <f>HYPERLINK("https%3A%2F%2Fwww.webofscience.com%2Fwos%2Fwoscc%2Ffull-record%2FWOS:000393018300007","View Full Record in Web of Science")</f>
        <v>View Full Record in Web of Science</v>
      </c>
    </row>
    <row r="921" spans="1:72" x14ac:dyDescent="0.15">
      <c r="A921" t="s">
        <v>72</v>
      </c>
      <c r="B921" t="s">
        <v>13164</v>
      </c>
      <c r="C921" t="s">
        <v>74</v>
      </c>
      <c r="D921" t="s">
        <v>74</v>
      </c>
      <c r="E921" t="s">
        <v>74</v>
      </c>
      <c r="F921" t="s">
        <v>13165</v>
      </c>
      <c r="G921" t="s">
        <v>74</v>
      </c>
      <c r="H921" t="s">
        <v>74</v>
      </c>
      <c r="I921" t="s">
        <v>17196</v>
      </c>
      <c r="J921" t="s">
        <v>6054</v>
      </c>
      <c r="K921" t="s">
        <v>74</v>
      </c>
      <c r="L921" t="s">
        <v>74</v>
      </c>
      <c r="M921" t="s">
        <v>78</v>
      </c>
      <c r="N921" t="s">
        <v>79</v>
      </c>
      <c r="O921" t="s">
        <v>74</v>
      </c>
      <c r="P921" t="s">
        <v>74</v>
      </c>
      <c r="Q921" t="s">
        <v>74</v>
      </c>
      <c r="R921" t="s">
        <v>74</v>
      </c>
      <c r="S921" t="s">
        <v>74</v>
      </c>
      <c r="T921" t="s">
        <v>17197</v>
      </c>
      <c r="U921" t="s">
        <v>17198</v>
      </c>
      <c r="V921" t="s">
        <v>17199</v>
      </c>
      <c r="W921" t="s">
        <v>13170</v>
      </c>
      <c r="X921" t="s">
        <v>309</v>
      </c>
      <c r="Y921" t="s">
        <v>13171</v>
      </c>
      <c r="Z921" t="s">
        <v>13172</v>
      </c>
      <c r="AA921" t="s">
        <v>13173</v>
      </c>
      <c r="AB921" t="s">
        <v>13174</v>
      </c>
      <c r="AC921" t="s">
        <v>13175</v>
      </c>
      <c r="AD921" t="s">
        <v>13176</v>
      </c>
      <c r="AE921" t="s">
        <v>17200</v>
      </c>
      <c r="AF921" t="s">
        <v>74</v>
      </c>
      <c r="AG921">
        <v>79</v>
      </c>
      <c r="AH921">
        <v>2</v>
      </c>
      <c r="AI921">
        <v>2</v>
      </c>
      <c r="AJ921">
        <v>0</v>
      </c>
      <c r="AK921">
        <v>5</v>
      </c>
      <c r="AL921" t="s">
        <v>374</v>
      </c>
      <c r="AM921" t="s">
        <v>93</v>
      </c>
      <c r="AN921" t="s">
        <v>375</v>
      </c>
      <c r="AO921" t="s">
        <v>6063</v>
      </c>
      <c r="AP921" t="s">
        <v>6064</v>
      </c>
      <c r="AQ921" t="s">
        <v>74</v>
      </c>
      <c r="AR921" t="s">
        <v>6065</v>
      </c>
      <c r="AS921" t="s">
        <v>6066</v>
      </c>
      <c r="AT921" t="s">
        <v>16127</v>
      </c>
      <c r="AU921">
        <v>2017</v>
      </c>
      <c r="AV921">
        <v>76</v>
      </c>
      <c r="AW921" t="s">
        <v>74</v>
      </c>
      <c r="AX921" t="s">
        <v>74</v>
      </c>
      <c r="AY921" t="s">
        <v>74</v>
      </c>
      <c r="AZ921" t="s">
        <v>74</v>
      </c>
      <c r="BA921" t="s">
        <v>74</v>
      </c>
      <c r="BB921">
        <v>48</v>
      </c>
      <c r="BC921">
        <v>54</v>
      </c>
      <c r="BD921" t="s">
        <v>74</v>
      </c>
      <c r="BE921" t="s">
        <v>17201</v>
      </c>
      <c r="BF921" t="str">
        <f>HYPERLINK("http://dx.doi.org/10.1016/j.marpol.2016.11.018","http://dx.doi.org/10.1016/j.marpol.2016.11.018")</f>
        <v>http://dx.doi.org/10.1016/j.marpol.2016.11.018</v>
      </c>
      <c r="BG921" t="s">
        <v>74</v>
      </c>
      <c r="BH921" t="s">
        <v>74</v>
      </c>
      <c r="BI921">
        <v>7</v>
      </c>
      <c r="BJ921" t="s">
        <v>6068</v>
      </c>
      <c r="BK921" t="s">
        <v>3321</v>
      </c>
      <c r="BL921" t="s">
        <v>6069</v>
      </c>
      <c r="BM921" t="s">
        <v>17202</v>
      </c>
      <c r="BN921" t="s">
        <v>74</v>
      </c>
      <c r="BO921" t="s">
        <v>74</v>
      </c>
      <c r="BP921" t="s">
        <v>74</v>
      </c>
      <c r="BQ921" t="s">
        <v>74</v>
      </c>
      <c r="BR921" t="s">
        <v>106</v>
      </c>
      <c r="BS921" t="s">
        <v>17203</v>
      </c>
      <c r="BT921" t="str">
        <f>HYPERLINK("https%3A%2F%2Fwww.webofscience.com%2Fwos%2Fwoscc%2Ffull-record%2FWOS:000393012200006","View Full Record in Web of Science")</f>
        <v>View Full Record in Web of Science</v>
      </c>
    </row>
    <row r="922" spans="1:72" x14ac:dyDescent="0.15">
      <c r="A922" t="s">
        <v>72</v>
      </c>
      <c r="B922" t="s">
        <v>17204</v>
      </c>
      <c r="C922" t="s">
        <v>74</v>
      </c>
      <c r="D922" t="s">
        <v>74</v>
      </c>
      <c r="E922" t="s">
        <v>74</v>
      </c>
      <c r="F922" t="s">
        <v>17205</v>
      </c>
      <c r="G922" t="s">
        <v>74</v>
      </c>
      <c r="H922" t="s">
        <v>74</v>
      </c>
      <c r="I922" t="s">
        <v>17206</v>
      </c>
      <c r="J922" t="s">
        <v>2768</v>
      </c>
      <c r="K922" t="s">
        <v>74</v>
      </c>
      <c r="L922" t="s">
        <v>74</v>
      </c>
      <c r="M922" t="s">
        <v>78</v>
      </c>
      <c r="N922" t="s">
        <v>79</v>
      </c>
      <c r="O922" t="s">
        <v>74</v>
      </c>
      <c r="P922" t="s">
        <v>74</v>
      </c>
      <c r="Q922" t="s">
        <v>74</v>
      </c>
      <c r="R922" t="s">
        <v>74</v>
      </c>
      <c r="S922" t="s">
        <v>74</v>
      </c>
      <c r="T922" t="s">
        <v>17207</v>
      </c>
      <c r="U922" t="s">
        <v>17208</v>
      </c>
      <c r="V922" t="s">
        <v>17209</v>
      </c>
      <c r="W922" t="s">
        <v>17210</v>
      </c>
      <c r="X922" t="s">
        <v>17211</v>
      </c>
      <c r="Y922" t="s">
        <v>17212</v>
      </c>
      <c r="Z922" t="s">
        <v>17213</v>
      </c>
      <c r="AA922" t="s">
        <v>15200</v>
      </c>
      <c r="AB922" t="s">
        <v>15201</v>
      </c>
      <c r="AC922" t="s">
        <v>74</v>
      </c>
      <c r="AD922" t="s">
        <v>74</v>
      </c>
      <c r="AE922" t="s">
        <v>74</v>
      </c>
      <c r="AF922" t="s">
        <v>74</v>
      </c>
      <c r="AG922">
        <v>22</v>
      </c>
      <c r="AH922">
        <v>13</v>
      </c>
      <c r="AI922">
        <v>15</v>
      </c>
      <c r="AJ922">
        <v>1</v>
      </c>
      <c r="AK922">
        <v>18</v>
      </c>
      <c r="AL922" t="s">
        <v>2779</v>
      </c>
      <c r="AM922" t="s">
        <v>403</v>
      </c>
      <c r="AN922" t="s">
        <v>2780</v>
      </c>
      <c r="AO922" t="s">
        <v>2781</v>
      </c>
      <c r="AP922" t="s">
        <v>74</v>
      </c>
      <c r="AQ922" t="s">
        <v>74</v>
      </c>
      <c r="AR922" t="s">
        <v>2783</v>
      </c>
      <c r="AS922" t="s">
        <v>2784</v>
      </c>
      <c r="AT922" t="s">
        <v>16127</v>
      </c>
      <c r="AU922">
        <v>2017</v>
      </c>
      <c r="AV922">
        <v>103</v>
      </c>
      <c r="AW922" t="s">
        <v>74</v>
      </c>
      <c r="AX922" t="s">
        <v>74</v>
      </c>
      <c r="AY922" t="s">
        <v>74</v>
      </c>
      <c r="AZ922" t="s">
        <v>74</v>
      </c>
      <c r="BA922" t="s">
        <v>74</v>
      </c>
      <c r="BB922">
        <v>178</v>
      </c>
      <c r="BC922">
        <v>185</v>
      </c>
      <c r="BD922" t="s">
        <v>74</v>
      </c>
      <c r="BE922" t="s">
        <v>17214</v>
      </c>
      <c r="BF922" t="str">
        <f>HYPERLINK("http://dx.doi.org/10.1016/j.micpath.2017.01.007","http://dx.doi.org/10.1016/j.micpath.2017.01.007")</f>
        <v>http://dx.doi.org/10.1016/j.micpath.2017.01.007</v>
      </c>
      <c r="BG922" t="s">
        <v>74</v>
      </c>
      <c r="BH922" t="s">
        <v>74</v>
      </c>
      <c r="BI922">
        <v>8</v>
      </c>
      <c r="BJ922" t="s">
        <v>2786</v>
      </c>
      <c r="BK922" t="s">
        <v>103</v>
      </c>
      <c r="BL922" t="s">
        <v>2786</v>
      </c>
      <c r="BM922" t="s">
        <v>17215</v>
      </c>
      <c r="BN922">
        <v>28062284</v>
      </c>
      <c r="BO922" t="s">
        <v>74</v>
      </c>
      <c r="BP922" t="s">
        <v>74</v>
      </c>
      <c r="BQ922" t="s">
        <v>74</v>
      </c>
      <c r="BR922" t="s">
        <v>106</v>
      </c>
      <c r="BS922" t="s">
        <v>17216</v>
      </c>
      <c r="BT922" t="str">
        <f>HYPERLINK("https%3A%2F%2Fwww.webofscience.com%2Fwos%2Fwoscc%2Ffull-record%2FWOS:000393348600024","View Full Record in Web of Science")</f>
        <v>View Full Record in Web of Science</v>
      </c>
    </row>
    <row r="923" spans="1:72" x14ac:dyDescent="0.15">
      <c r="A923" t="s">
        <v>72</v>
      </c>
      <c r="B923" t="s">
        <v>17217</v>
      </c>
      <c r="C923" t="s">
        <v>74</v>
      </c>
      <c r="D923" t="s">
        <v>74</v>
      </c>
      <c r="E923" t="s">
        <v>74</v>
      </c>
      <c r="F923" t="s">
        <v>17218</v>
      </c>
      <c r="G923" t="s">
        <v>74</v>
      </c>
      <c r="H923" t="s">
        <v>74</v>
      </c>
      <c r="I923" t="s">
        <v>17219</v>
      </c>
      <c r="J923" t="s">
        <v>12054</v>
      </c>
      <c r="K923" t="s">
        <v>74</v>
      </c>
      <c r="L923" t="s">
        <v>74</v>
      </c>
      <c r="M923" t="s">
        <v>78</v>
      </c>
      <c r="N923" t="s">
        <v>79</v>
      </c>
      <c r="O923" t="s">
        <v>74</v>
      </c>
      <c r="P923" t="s">
        <v>74</v>
      </c>
      <c r="Q923" t="s">
        <v>74</v>
      </c>
      <c r="R923" t="s">
        <v>74</v>
      </c>
      <c r="S923" t="s">
        <v>74</v>
      </c>
      <c r="T923" t="s">
        <v>17220</v>
      </c>
      <c r="U923" t="s">
        <v>17221</v>
      </c>
      <c r="V923" t="s">
        <v>17222</v>
      </c>
      <c r="W923" t="s">
        <v>17223</v>
      </c>
      <c r="X923" t="s">
        <v>17224</v>
      </c>
      <c r="Y923" t="s">
        <v>17225</v>
      </c>
      <c r="Z923" t="s">
        <v>17226</v>
      </c>
      <c r="AA923" t="s">
        <v>17227</v>
      </c>
      <c r="AB923" t="s">
        <v>17228</v>
      </c>
      <c r="AC923" t="s">
        <v>17229</v>
      </c>
      <c r="AD923" t="s">
        <v>17230</v>
      </c>
      <c r="AE923" t="s">
        <v>17231</v>
      </c>
      <c r="AF923" t="s">
        <v>74</v>
      </c>
      <c r="AG923">
        <v>55</v>
      </c>
      <c r="AH923">
        <v>47</v>
      </c>
      <c r="AI923">
        <v>50</v>
      </c>
      <c r="AJ923">
        <v>1</v>
      </c>
      <c r="AK923">
        <v>27</v>
      </c>
      <c r="AL923" t="s">
        <v>5879</v>
      </c>
      <c r="AM923" t="s">
        <v>430</v>
      </c>
      <c r="AN923" t="s">
        <v>7176</v>
      </c>
      <c r="AO923" t="s">
        <v>12064</v>
      </c>
      <c r="AP923" t="s">
        <v>12065</v>
      </c>
      <c r="AQ923" t="s">
        <v>74</v>
      </c>
      <c r="AR923" t="s">
        <v>12066</v>
      </c>
      <c r="AS923" t="s">
        <v>12067</v>
      </c>
      <c r="AT923" t="s">
        <v>16127</v>
      </c>
      <c r="AU923">
        <v>2017</v>
      </c>
      <c r="AV923">
        <v>189</v>
      </c>
      <c r="AW923" t="s">
        <v>74</v>
      </c>
      <c r="AX923" t="s">
        <v>74</v>
      </c>
      <c r="AY923" t="s">
        <v>74</v>
      </c>
      <c r="AZ923" t="s">
        <v>74</v>
      </c>
      <c r="BA923" t="s">
        <v>74</v>
      </c>
      <c r="BB923">
        <v>67</v>
      </c>
      <c r="BC923">
        <v>83</v>
      </c>
      <c r="BD923" t="s">
        <v>74</v>
      </c>
      <c r="BE923" t="s">
        <v>17232</v>
      </c>
      <c r="BF923" t="str">
        <f>HYPERLINK("http://dx.doi.org/10.1016/j.rse.2016.11.013","http://dx.doi.org/10.1016/j.rse.2016.11.013")</f>
        <v>http://dx.doi.org/10.1016/j.rse.2016.11.013</v>
      </c>
      <c r="BG923" t="s">
        <v>74</v>
      </c>
      <c r="BH923" t="s">
        <v>74</v>
      </c>
      <c r="BI923">
        <v>17</v>
      </c>
      <c r="BJ923" t="s">
        <v>3490</v>
      </c>
      <c r="BK923" t="s">
        <v>103</v>
      </c>
      <c r="BL923" t="s">
        <v>3491</v>
      </c>
      <c r="BM923" t="s">
        <v>17233</v>
      </c>
      <c r="BN923" t="s">
        <v>74</v>
      </c>
      <c r="BO923" t="s">
        <v>384</v>
      </c>
      <c r="BP923" t="s">
        <v>74</v>
      </c>
      <c r="BQ923" t="s">
        <v>74</v>
      </c>
      <c r="BR923" t="s">
        <v>106</v>
      </c>
      <c r="BS923" t="s">
        <v>17234</v>
      </c>
      <c r="BT923" t="str">
        <f>HYPERLINK("https%3A%2F%2Fwww.webofscience.com%2Fwos%2Fwoscc%2Ffull-record%2FWOS:000393005400006","View Full Record in Web of Science")</f>
        <v>View Full Record in Web of Science</v>
      </c>
    </row>
    <row r="924" spans="1:72" x14ac:dyDescent="0.15">
      <c r="A924" t="s">
        <v>72</v>
      </c>
      <c r="B924" t="s">
        <v>17235</v>
      </c>
      <c r="C924" t="s">
        <v>74</v>
      </c>
      <c r="D924" t="s">
        <v>74</v>
      </c>
      <c r="E924" t="s">
        <v>74</v>
      </c>
      <c r="F924" t="s">
        <v>17236</v>
      </c>
      <c r="G924" t="s">
        <v>74</v>
      </c>
      <c r="H924" t="s">
        <v>74</v>
      </c>
      <c r="I924" t="s">
        <v>17237</v>
      </c>
      <c r="J924" t="s">
        <v>17238</v>
      </c>
      <c r="K924" t="s">
        <v>74</v>
      </c>
      <c r="L924" t="s">
        <v>74</v>
      </c>
      <c r="M924" t="s">
        <v>78</v>
      </c>
      <c r="N924" t="s">
        <v>333</v>
      </c>
      <c r="O924" t="s">
        <v>17239</v>
      </c>
      <c r="P924" t="s">
        <v>17240</v>
      </c>
      <c r="Q924" t="s">
        <v>17241</v>
      </c>
      <c r="R924" t="s">
        <v>74</v>
      </c>
      <c r="S924" t="s">
        <v>74</v>
      </c>
      <c r="T924" t="s">
        <v>17242</v>
      </c>
      <c r="U924" t="s">
        <v>17243</v>
      </c>
      <c r="V924" t="s">
        <v>17244</v>
      </c>
      <c r="W924" t="s">
        <v>17245</v>
      </c>
      <c r="X924" t="s">
        <v>17246</v>
      </c>
      <c r="Y924" t="s">
        <v>17247</v>
      </c>
      <c r="Z924" t="s">
        <v>17248</v>
      </c>
      <c r="AA924" t="s">
        <v>17249</v>
      </c>
      <c r="AB924" t="s">
        <v>17250</v>
      </c>
      <c r="AC924" t="s">
        <v>17251</v>
      </c>
      <c r="AD924" t="s">
        <v>17252</v>
      </c>
      <c r="AE924" t="s">
        <v>17253</v>
      </c>
      <c r="AF924" t="s">
        <v>74</v>
      </c>
      <c r="AG924">
        <v>58</v>
      </c>
      <c r="AH924">
        <v>15</v>
      </c>
      <c r="AI924">
        <v>16</v>
      </c>
      <c r="AJ924">
        <v>1</v>
      </c>
      <c r="AK924">
        <v>13</v>
      </c>
      <c r="AL924" t="s">
        <v>17254</v>
      </c>
      <c r="AM924" t="s">
        <v>17255</v>
      </c>
      <c r="AN924" t="s">
        <v>17256</v>
      </c>
      <c r="AO924" t="s">
        <v>17257</v>
      </c>
      <c r="AP924" t="s">
        <v>74</v>
      </c>
      <c r="AQ924" t="s">
        <v>74</v>
      </c>
      <c r="AR924" t="s">
        <v>17238</v>
      </c>
      <c r="AS924" t="s">
        <v>17258</v>
      </c>
      <c r="AT924" t="s">
        <v>16146</v>
      </c>
      <c r="AU924">
        <v>2017</v>
      </c>
      <c r="AV924">
        <v>376</v>
      </c>
      <c r="AW924" t="s">
        <v>74</v>
      </c>
      <c r="AX924" t="s">
        <v>74</v>
      </c>
      <c r="AY924" t="s">
        <v>74</v>
      </c>
      <c r="AZ924" t="s">
        <v>100</v>
      </c>
      <c r="BA924" t="s">
        <v>74</v>
      </c>
      <c r="BB924">
        <v>126</v>
      </c>
      <c r="BC924">
        <v>136</v>
      </c>
      <c r="BD924" t="s">
        <v>74</v>
      </c>
      <c r="BE924" t="s">
        <v>17259</v>
      </c>
      <c r="BF924" t="str">
        <f>HYPERLINK("http://dx.doi.org/10.1016/j.tox.2016.05.021","http://dx.doi.org/10.1016/j.tox.2016.05.021")</f>
        <v>http://dx.doi.org/10.1016/j.tox.2016.05.021</v>
      </c>
      <c r="BG924" t="s">
        <v>74</v>
      </c>
      <c r="BH924" t="s">
        <v>74</v>
      </c>
      <c r="BI924">
        <v>11</v>
      </c>
      <c r="BJ924" t="s">
        <v>17260</v>
      </c>
      <c r="BK924" t="s">
        <v>354</v>
      </c>
      <c r="BL924" t="s">
        <v>17260</v>
      </c>
      <c r="BM924" t="s">
        <v>17261</v>
      </c>
      <c r="BN924">
        <v>27234318</v>
      </c>
      <c r="BO924" t="s">
        <v>384</v>
      </c>
      <c r="BP924" t="s">
        <v>74</v>
      </c>
      <c r="BQ924" t="s">
        <v>74</v>
      </c>
      <c r="BR924" t="s">
        <v>106</v>
      </c>
      <c r="BS924" t="s">
        <v>17262</v>
      </c>
      <c r="BT924" t="str">
        <f>HYPERLINK("https%3A%2F%2Fwww.webofscience.com%2Fwos%2Fwoscc%2Ffull-record%2FWOS:000393526700016","View Full Record in Web of Science")</f>
        <v>View Full Record in Web of Science</v>
      </c>
    </row>
    <row r="925" spans="1:72" x14ac:dyDescent="0.15">
      <c r="A925" t="s">
        <v>72</v>
      </c>
      <c r="B925" t="s">
        <v>17263</v>
      </c>
      <c r="C925" t="s">
        <v>74</v>
      </c>
      <c r="D925" t="s">
        <v>74</v>
      </c>
      <c r="E925" t="s">
        <v>74</v>
      </c>
      <c r="F925" t="s">
        <v>17264</v>
      </c>
      <c r="G925" t="s">
        <v>74</v>
      </c>
      <c r="H925" t="s">
        <v>74</v>
      </c>
      <c r="I925" t="s">
        <v>17265</v>
      </c>
      <c r="J925" t="s">
        <v>17266</v>
      </c>
      <c r="K925" t="s">
        <v>74</v>
      </c>
      <c r="L925" t="s">
        <v>74</v>
      </c>
      <c r="M925" t="s">
        <v>78</v>
      </c>
      <c r="N925" t="s">
        <v>79</v>
      </c>
      <c r="O925" t="s">
        <v>74</v>
      </c>
      <c r="P925" t="s">
        <v>74</v>
      </c>
      <c r="Q925" t="s">
        <v>74</v>
      </c>
      <c r="R925" t="s">
        <v>74</v>
      </c>
      <c r="S925" t="s">
        <v>74</v>
      </c>
      <c r="T925" t="s">
        <v>17267</v>
      </c>
      <c r="U925" t="s">
        <v>17268</v>
      </c>
      <c r="V925" t="s">
        <v>17269</v>
      </c>
      <c r="W925" t="s">
        <v>17270</v>
      </c>
      <c r="X925" t="s">
        <v>17271</v>
      </c>
      <c r="Y925" t="s">
        <v>17272</v>
      </c>
      <c r="Z925" t="s">
        <v>17273</v>
      </c>
      <c r="AA925" t="s">
        <v>74</v>
      </c>
      <c r="AB925" t="s">
        <v>74</v>
      </c>
      <c r="AC925" t="s">
        <v>17274</v>
      </c>
      <c r="AD925" t="s">
        <v>2426</v>
      </c>
      <c r="AE925" t="s">
        <v>17275</v>
      </c>
      <c r="AF925" t="s">
        <v>74</v>
      </c>
      <c r="AG925">
        <v>46</v>
      </c>
      <c r="AH925">
        <v>2</v>
      </c>
      <c r="AI925">
        <v>2</v>
      </c>
      <c r="AJ925">
        <v>1</v>
      </c>
      <c r="AK925">
        <v>21</v>
      </c>
      <c r="AL925" t="s">
        <v>5879</v>
      </c>
      <c r="AM925" t="s">
        <v>430</v>
      </c>
      <c r="AN925" t="s">
        <v>5880</v>
      </c>
      <c r="AO925" t="s">
        <v>17276</v>
      </c>
      <c r="AP925" t="s">
        <v>17277</v>
      </c>
      <c r="AQ925" t="s">
        <v>74</v>
      </c>
      <c r="AR925" t="s">
        <v>17278</v>
      </c>
      <c r="AS925" t="s">
        <v>17279</v>
      </c>
      <c r="AT925" t="s">
        <v>16127</v>
      </c>
      <c r="AU925">
        <v>2017</v>
      </c>
      <c r="AV925">
        <v>204</v>
      </c>
      <c r="AW925" t="s">
        <v>74</v>
      </c>
      <c r="AX925" t="s">
        <v>74</v>
      </c>
      <c r="AY925" t="s">
        <v>74</v>
      </c>
      <c r="AZ925" t="s">
        <v>74</v>
      </c>
      <c r="BA925" t="s">
        <v>74</v>
      </c>
      <c r="BB925">
        <v>9</v>
      </c>
      <c r="BC925">
        <v>26</v>
      </c>
      <c r="BD925" t="s">
        <v>74</v>
      </c>
      <c r="BE925" t="s">
        <v>17280</v>
      </c>
      <c r="BF925" t="str">
        <f>HYPERLINK("http://dx.doi.org/10.1016/j.cbpb.2016.11.001","http://dx.doi.org/10.1016/j.cbpb.2016.11.001")</f>
        <v>http://dx.doi.org/10.1016/j.cbpb.2016.11.001</v>
      </c>
      <c r="BG925" t="s">
        <v>74</v>
      </c>
      <c r="BH925" t="s">
        <v>74</v>
      </c>
      <c r="BI925">
        <v>18</v>
      </c>
      <c r="BJ925" t="s">
        <v>17281</v>
      </c>
      <c r="BK925" t="s">
        <v>103</v>
      </c>
      <c r="BL925" t="s">
        <v>17281</v>
      </c>
      <c r="BM925" t="s">
        <v>17282</v>
      </c>
      <c r="BN925">
        <v>27836743</v>
      </c>
      <c r="BO925" t="s">
        <v>384</v>
      </c>
      <c r="BP925" t="s">
        <v>74</v>
      </c>
      <c r="BQ925" t="s">
        <v>74</v>
      </c>
      <c r="BR925" t="s">
        <v>106</v>
      </c>
      <c r="BS925" t="s">
        <v>17283</v>
      </c>
      <c r="BT925" t="str">
        <f>HYPERLINK("https%3A%2F%2Fwww.webofscience.com%2Fwos%2Fwoscc%2Ffull-record%2FWOS:000393089300002","View Full Record in Web of Science")</f>
        <v>View Full Record in Web of Science</v>
      </c>
    </row>
    <row r="926" spans="1:72" x14ac:dyDescent="0.15">
      <c r="A926" t="s">
        <v>72</v>
      </c>
      <c r="B926" t="s">
        <v>17284</v>
      </c>
      <c r="C926" t="s">
        <v>74</v>
      </c>
      <c r="D926" t="s">
        <v>74</v>
      </c>
      <c r="E926" t="s">
        <v>74</v>
      </c>
      <c r="F926" t="s">
        <v>17285</v>
      </c>
      <c r="G926" t="s">
        <v>74</v>
      </c>
      <c r="H926" t="s">
        <v>74</v>
      </c>
      <c r="I926" t="s">
        <v>17286</v>
      </c>
      <c r="J926" t="s">
        <v>10423</v>
      </c>
      <c r="K926" t="s">
        <v>74</v>
      </c>
      <c r="L926" t="s">
        <v>74</v>
      </c>
      <c r="M926" t="s">
        <v>78</v>
      </c>
      <c r="N926" t="s">
        <v>79</v>
      </c>
      <c r="O926" t="s">
        <v>74</v>
      </c>
      <c r="P926" t="s">
        <v>74</v>
      </c>
      <c r="Q926" t="s">
        <v>74</v>
      </c>
      <c r="R926" t="s">
        <v>74</v>
      </c>
      <c r="S926" t="s">
        <v>74</v>
      </c>
      <c r="T926" t="s">
        <v>17287</v>
      </c>
      <c r="U926" t="s">
        <v>17288</v>
      </c>
      <c r="V926" t="s">
        <v>17289</v>
      </c>
      <c r="W926" t="s">
        <v>17290</v>
      </c>
      <c r="X926" t="s">
        <v>17291</v>
      </c>
      <c r="Y926" t="s">
        <v>17292</v>
      </c>
      <c r="Z926" t="s">
        <v>17293</v>
      </c>
      <c r="AA926" t="s">
        <v>17294</v>
      </c>
      <c r="AB926" t="s">
        <v>74</v>
      </c>
      <c r="AC926" t="s">
        <v>74</v>
      </c>
      <c r="AD926" t="s">
        <v>74</v>
      </c>
      <c r="AE926" t="s">
        <v>74</v>
      </c>
      <c r="AF926" t="s">
        <v>74</v>
      </c>
      <c r="AG926">
        <v>61</v>
      </c>
      <c r="AH926">
        <v>0</v>
      </c>
      <c r="AI926">
        <v>0</v>
      </c>
      <c r="AJ926">
        <v>3</v>
      </c>
      <c r="AK926">
        <v>37</v>
      </c>
      <c r="AL926" t="s">
        <v>681</v>
      </c>
      <c r="AM926" t="s">
        <v>682</v>
      </c>
      <c r="AN926" t="s">
        <v>683</v>
      </c>
      <c r="AO926" t="s">
        <v>10435</v>
      </c>
      <c r="AP926" t="s">
        <v>10436</v>
      </c>
      <c r="AQ926" t="s">
        <v>74</v>
      </c>
      <c r="AR926" t="s">
        <v>10437</v>
      </c>
      <c r="AS926" t="s">
        <v>10438</v>
      </c>
      <c r="AT926" t="s">
        <v>16127</v>
      </c>
      <c r="AU926">
        <v>2017</v>
      </c>
      <c r="AV926">
        <v>37</v>
      </c>
      <c r="AW926">
        <v>2</v>
      </c>
      <c r="AX926" t="s">
        <v>74</v>
      </c>
      <c r="AY926" t="s">
        <v>74</v>
      </c>
      <c r="AZ926" t="s">
        <v>74</v>
      </c>
      <c r="BA926" t="s">
        <v>74</v>
      </c>
      <c r="BB926">
        <v>861</v>
      </c>
      <c r="BC926">
        <v>869</v>
      </c>
      <c r="BD926" t="s">
        <v>74</v>
      </c>
      <c r="BE926" t="s">
        <v>17295</v>
      </c>
      <c r="BF926" t="str">
        <f>HYPERLINK("http://dx.doi.org/10.1002/joc.4745","http://dx.doi.org/10.1002/joc.4745")</f>
        <v>http://dx.doi.org/10.1002/joc.4745</v>
      </c>
      <c r="BG926" t="s">
        <v>74</v>
      </c>
      <c r="BH926" t="s">
        <v>74</v>
      </c>
      <c r="BI926">
        <v>9</v>
      </c>
      <c r="BJ926" t="s">
        <v>1261</v>
      </c>
      <c r="BK926" t="s">
        <v>103</v>
      </c>
      <c r="BL926" t="s">
        <v>1261</v>
      </c>
      <c r="BM926" t="s">
        <v>17296</v>
      </c>
      <c r="BN926" t="s">
        <v>74</v>
      </c>
      <c r="BO926" t="s">
        <v>74</v>
      </c>
      <c r="BP926" t="s">
        <v>74</v>
      </c>
      <c r="BQ926" t="s">
        <v>74</v>
      </c>
      <c r="BR926" t="s">
        <v>106</v>
      </c>
      <c r="BS926" t="s">
        <v>17297</v>
      </c>
      <c r="BT926" t="str">
        <f>HYPERLINK("https%3A%2F%2Fwww.webofscience.com%2Fwos%2Fwoscc%2Ffull-record%2FWOS:000393415100023","View Full Record in Web of Science")</f>
        <v>View Full Record in Web of Science</v>
      </c>
    </row>
    <row r="927" spans="1:72" x14ac:dyDescent="0.15">
      <c r="A927" t="s">
        <v>72</v>
      </c>
      <c r="B927" t="s">
        <v>17298</v>
      </c>
      <c r="C927" t="s">
        <v>74</v>
      </c>
      <c r="D927" t="s">
        <v>74</v>
      </c>
      <c r="E927" t="s">
        <v>74</v>
      </c>
      <c r="F927" t="s">
        <v>17299</v>
      </c>
      <c r="G927" t="s">
        <v>74</v>
      </c>
      <c r="H927" t="s">
        <v>74</v>
      </c>
      <c r="I927" t="s">
        <v>17300</v>
      </c>
      <c r="J927" t="s">
        <v>7775</v>
      </c>
      <c r="K927" t="s">
        <v>74</v>
      </c>
      <c r="L927" t="s">
        <v>74</v>
      </c>
      <c r="M927" t="s">
        <v>78</v>
      </c>
      <c r="N927" t="s">
        <v>79</v>
      </c>
      <c r="O927" t="s">
        <v>74</v>
      </c>
      <c r="P927" t="s">
        <v>74</v>
      </c>
      <c r="Q927" t="s">
        <v>74</v>
      </c>
      <c r="R927" t="s">
        <v>74</v>
      </c>
      <c r="S927" t="s">
        <v>74</v>
      </c>
      <c r="T927" t="s">
        <v>17301</v>
      </c>
      <c r="U927" t="s">
        <v>17302</v>
      </c>
      <c r="V927" t="s">
        <v>17303</v>
      </c>
      <c r="W927" t="s">
        <v>17304</v>
      </c>
      <c r="X927" t="s">
        <v>17305</v>
      </c>
      <c r="Y927" t="s">
        <v>6036</v>
      </c>
      <c r="Z927" t="s">
        <v>17306</v>
      </c>
      <c r="AA927" t="s">
        <v>17307</v>
      </c>
      <c r="AB927" t="s">
        <v>74</v>
      </c>
      <c r="AC927" t="s">
        <v>17308</v>
      </c>
      <c r="AD927" t="s">
        <v>17309</v>
      </c>
      <c r="AE927" t="s">
        <v>17310</v>
      </c>
      <c r="AF927" t="s">
        <v>74</v>
      </c>
      <c r="AG927">
        <v>21</v>
      </c>
      <c r="AH927">
        <v>16</v>
      </c>
      <c r="AI927">
        <v>20</v>
      </c>
      <c r="AJ927">
        <v>1</v>
      </c>
      <c r="AK927">
        <v>16</v>
      </c>
      <c r="AL927" t="s">
        <v>374</v>
      </c>
      <c r="AM927" t="s">
        <v>93</v>
      </c>
      <c r="AN927" t="s">
        <v>375</v>
      </c>
      <c r="AO927" t="s">
        <v>7788</v>
      </c>
      <c r="AP927" t="s">
        <v>7789</v>
      </c>
      <c r="AQ927" t="s">
        <v>74</v>
      </c>
      <c r="AR927" t="s">
        <v>7790</v>
      </c>
      <c r="AS927" t="s">
        <v>7791</v>
      </c>
      <c r="AT927" t="s">
        <v>16146</v>
      </c>
      <c r="AU927">
        <v>2017</v>
      </c>
      <c r="AV927">
        <v>59</v>
      </c>
      <c r="AW927">
        <v>3</v>
      </c>
      <c r="AX927">
        <v>1</v>
      </c>
      <c r="AY927" t="s">
        <v>74</v>
      </c>
      <c r="AZ927" t="s">
        <v>74</v>
      </c>
      <c r="BA927" t="s">
        <v>74</v>
      </c>
      <c r="BB927">
        <v>833</v>
      </c>
      <c r="BC927">
        <v>842</v>
      </c>
      <c r="BD927" t="s">
        <v>74</v>
      </c>
      <c r="BE927" t="s">
        <v>17311</v>
      </c>
      <c r="BF927" t="str">
        <f>HYPERLINK("http://dx.doi.org/10.1016/j.asr.2016.10.029","http://dx.doi.org/10.1016/j.asr.2016.10.029")</f>
        <v>http://dx.doi.org/10.1016/j.asr.2016.10.029</v>
      </c>
      <c r="BG927" t="s">
        <v>74</v>
      </c>
      <c r="BH927" t="s">
        <v>74</v>
      </c>
      <c r="BI927">
        <v>10</v>
      </c>
      <c r="BJ927" t="s">
        <v>7793</v>
      </c>
      <c r="BK927" t="s">
        <v>103</v>
      </c>
      <c r="BL927" t="s">
        <v>7794</v>
      </c>
      <c r="BM927" t="s">
        <v>17312</v>
      </c>
      <c r="BN927" t="s">
        <v>74</v>
      </c>
      <c r="BO927" t="s">
        <v>74</v>
      </c>
      <c r="BP927" t="s">
        <v>74</v>
      </c>
      <c r="BQ927" t="s">
        <v>74</v>
      </c>
      <c r="BR927" t="s">
        <v>106</v>
      </c>
      <c r="BS927" t="s">
        <v>17313</v>
      </c>
      <c r="BT927" t="str">
        <f>HYPERLINK("https%3A%2F%2Fwww.webofscience.com%2Fwos%2Fwoscc%2Ffull-record%2FWOS:000392683400010","View Full Record in Web of Science")</f>
        <v>View Full Record in Web of Science</v>
      </c>
    </row>
    <row r="928" spans="1:72" x14ac:dyDescent="0.15">
      <c r="A928" t="s">
        <v>72</v>
      </c>
      <c r="B928" t="s">
        <v>17314</v>
      </c>
      <c r="C928" t="s">
        <v>74</v>
      </c>
      <c r="D928" t="s">
        <v>74</v>
      </c>
      <c r="E928" t="s">
        <v>74</v>
      </c>
      <c r="F928" t="s">
        <v>17315</v>
      </c>
      <c r="G928" t="s">
        <v>74</v>
      </c>
      <c r="H928" t="s">
        <v>74</v>
      </c>
      <c r="I928" t="s">
        <v>17316</v>
      </c>
      <c r="J928" t="s">
        <v>17317</v>
      </c>
      <c r="K928" t="s">
        <v>74</v>
      </c>
      <c r="L928" t="s">
        <v>74</v>
      </c>
      <c r="M928" t="s">
        <v>78</v>
      </c>
      <c r="N928" t="s">
        <v>79</v>
      </c>
      <c r="O928" t="s">
        <v>74</v>
      </c>
      <c r="P928" t="s">
        <v>74</v>
      </c>
      <c r="Q928" t="s">
        <v>74</v>
      </c>
      <c r="R928" t="s">
        <v>74</v>
      </c>
      <c r="S928" t="s">
        <v>74</v>
      </c>
      <c r="T928" t="s">
        <v>17318</v>
      </c>
      <c r="U928" t="s">
        <v>17319</v>
      </c>
      <c r="V928" t="s">
        <v>17320</v>
      </c>
      <c r="W928" t="s">
        <v>17321</v>
      </c>
      <c r="X928" t="s">
        <v>17322</v>
      </c>
      <c r="Y928" t="s">
        <v>17323</v>
      </c>
      <c r="Z928" t="s">
        <v>8723</v>
      </c>
      <c r="AA928" t="s">
        <v>17324</v>
      </c>
      <c r="AB928" t="s">
        <v>17325</v>
      </c>
      <c r="AC928" t="s">
        <v>17326</v>
      </c>
      <c r="AD928" t="s">
        <v>17327</v>
      </c>
      <c r="AE928" t="s">
        <v>17328</v>
      </c>
      <c r="AF928" t="s">
        <v>74</v>
      </c>
      <c r="AG928">
        <v>96</v>
      </c>
      <c r="AH928">
        <v>45</v>
      </c>
      <c r="AI928">
        <v>51</v>
      </c>
      <c r="AJ928">
        <v>0</v>
      </c>
      <c r="AK928">
        <v>20</v>
      </c>
      <c r="AL928" t="s">
        <v>986</v>
      </c>
      <c r="AM928" t="s">
        <v>1191</v>
      </c>
      <c r="AN928" t="s">
        <v>1192</v>
      </c>
      <c r="AO928" t="s">
        <v>17329</v>
      </c>
      <c r="AP928" t="s">
        <v>17330</v>
      </c>
      <c r="AQ928" t="s">
        <v>74</v>
      </c>
      <c r="AR928" t="s">
        <v>17331</v>
      </c>
      <c r="AS928" t="s">
        <v>17332</v>
      </c>
      <c r="AT928" t="s">
        <v>16127</v>
      </c>
      <c r="AU928">
        <v>2017</v>
      </c>
      <c r="AV928">
        <v>162</v>
      </c>
      <c r="AW928">
        <v>2</v>
      </c>
      <c r="AX928" t="s">
        <v>74</v>
      </c>
      <c r="AY928" t="s">
        <v>74</v>
      </c>
      <c r="AZ928" t="s">
        <v>74</v>
      </c>
      <c r="BA928" t="s">
        <v>74</v>
      </c>
      <c r="BB928">
        <v>341</v>
      </c>
      <c r="BC928">
        <v>367</v>
      </c>
      <c r="BD928" t="s">
        <v>74</v>
      </c>
      <c r="BE928" t="s">
        <v>17333</v>
      </c>
      <c r="BF928" t="str">
        <f>HYPERLINK("http://dx.doi.org/10.1007/s10546-016-0192-3","http://dx.doi.org/10.1007/s10546-016-0192-3")</f>
        <v>http://dx.doi.org/10.1007/s10546-016-0192-3</v>
      </c>
      <c r="BG928" t="s">
        <v>74</v>
      </c>
      <c r="BH928" t="s">
        <v>74</v>
      </c>
      <c r="BI928">
        <v>27</v>
      </c>
      <c r="BJ928" t="s">
        <v>1261</v>
      </c>
      <c r="BK928" t="s">
        <v>103</v>
      </c>
      <c r="BL928" t="s">
        <v>1261</v>
      </c>
      <c r="BM928" t="s">
        <v>17334</v>
      </c>
      <c r="BN928" t="s">
        <v>74</v>
      </c>
      <c r="BO928" t="s">
        <v>74</v>
      </c>
      <c r="BP928" t="s">
        <v>74</v>
      </c>
      <c r="BQ928" t="s">
        <v>74</v>
      </c>
      <c r="BR928" t="s">
        <v>106</v>
      </c>
      <c r="BS928" t="s">
        <v>17335</v>
      </c>
      <c r="BT928" t="str">
        <f>HYPERLINK("https%3A%2F%2Fwww.webofscience.com%2Fwos%2Fwoscc%2Ffull-record%2FWOS:000392495200008","View Full Record in Web of Science")</f>
        <v>View Full Record in Web of Science</v>
      </c>
    </row>
    <row r="929" spans="1:72" x14ac:dyDescent="0.15">
      <c r="A929" t="s">
        <v>72</v>
      </c>
      <c r="B929" t="s">
        <v>17336</v>
      </c>
      <c r="C929" t="s">
        <v>74</v>
      </c>
      <c r="D929" t="s">
        <v>74</v>
      </c>
      <c r="E929" t="s">
        <v>74</v>
      </c>
      <c r="F929" t="s">
        <v>17337</v>
      </c>
      <c r="G929" t="s">
        <v>74</v>
      </c>
      <c r="H929" t="s">
        <v>74</v>
      </c>
      <c r="I929" t="s">
        <v>17338</v>
      </c>
      <c r="J929" t="s">
        <v>17339</v>
      </c>
      <c r="K929" t="s">
        <v>74</v>
      </c>
      <c r="L929" t="s">
        <v>74</v>
      </c>
      <c r="M929" t="s">
        <v>78</v>
      </c>
      <c r="N929" t="s">
        <v>79</v>
      </c>
      <c r="O929" t="s">
        <v>74</v>
      </c>
      <c r="P929" t="s">
        <v>74</v>
      </c>
      <c r="Q929" t="s">
        <v>74</v>
      </c>
      <c r="R929" t="s">
        <v>74</v>
      </c>
      <c r="S929" t="s">
        <v>74</v>
      </c>
      <c r="T929" t="s">
        <v>17340</v>
      </c>
      <c r="U929" t="s">
        <v>17341</v>
      </c>
      <c r="V929" t="s">
        <v>17342</v>
      </c>
      <c r="W929" t="s">
        <v>17343</v>
      </c>
      <c r="X929" t="s">
        <v>17344</v>
      </c>
      <c r="Y929" t="s">
        <v>17345</v>
      </c>
      <c r="Z929" t="s">
        <v>17346</v>
      </c>
      <c r="AA929" t="s">
        <v>17347</v>
      </c>
      <c r="AB929" t="s">
        <v>17348</v>
      </c>
      <c r="AC929" t="s">
        <v>17349</v>
      </c>
      <c r="AD929" t="s">
        <v>17350</v>
      </c>
      <c r="AE929" t="s">
        <v>17351</v>
      </c>
      <c r="AF929" t="s">
        <v>74</v>
      </c>
      <c r="AG929">
        <v>63</v>
      </c>
      <c r="AH929">
        <v>11</v>
      </c>
      <c r="AI929">
        <v>11</v>
      </c>
      <c r="AJ929">
        <v>1</v>
      </c>
      <c r="AK929">
        <v>32</v>
      </c>
      <c r="AL929" t="s">
        <v>986</v>
      </c>
      <c r="AM929" t="s">
        <v>430</v>
      </c>
      <c r="AN929" t="s">
        <v>1663</v>
      </c>
      <c r="AO929" t="s">
        <v>17352</v>
      </c>
      <c r="AP929" t="s">
        <v>17353</v>
      </c>
      <c r="AQ929" t="s">
        <v>74</v>
      </c>
      <c r="AR929" t="s">
        <v>17354</v>
      </c>
      <c r="AS929" t="s">
        <v>17355</v>
      </c>
      <c r="AT929" t="s">
        <v>16127</v>
      </c>
      <c r="AU929">
        <v>2017</v>
      </c>
      <c r="AV929">
        <v>100</v>
      </c>
      <c r="AW929">
        <v>2</v>
      </c>
      <c r="AX929" t="s">
        <v>74</v>
      </c>
      <c r="AY929" t="s">
        <v>74</v>
      </c>
      <c r="AZ929" t="s">
        <v>74</v>
      </c>
      <c r="BA929" t="s">
        <v>74</v>
      </c>
      <c r="BB929">
        <v>121</v>
      </c>
      <c r="BC929">
        <v>135</v>
      </c>
      <c r="BD929" t="s">
        <v>74</v>
      </c>
      <c r="BE929" t="s">
        <v>17356</v>
      </c>
      <c r="BF929" t="str">
        <f>HYPERLINK("http://dx.doi.org/10.1007/s10641-016-0565-y","http://dx.doi.org/10.1007/s10641-016-0565-y")</f>
        <v>http://dx.doi.org/10.1007/s10641-016-0565-y</v>
      </c>
      <c r="BG929" t="s">
        <v>74</v>
      </c>
      <c r="BH929" t="s">
        <v>74</v>
      </c>
      <c r="BI929">
        <v>15</v>
      </c>
      <c r="BJ929" t="s">
        <v>3276</v>
      </c>
      <c r="BK929" t="s">
        <v>103</v>
      </c>
      <c r="BL929" t="s">
        <v>3277</v>
      </c>
      <c r="BM929" t="s">
        <v>17357</v>
      </c>
      <c r="BN929" t="s">
        <v>74</v>
      </c>
      <c r="BO929" t="s">
        <v>74</v>
      </c>
      <c r="BP929" t="s">
        <v>74</v>
      </c>
      <c r="BQ929" t="s">
        <v>74</v>
      </c>
      <c r="BR929" t="s">
        <v>106</v>
      </c>
      <c r="BS929" t="s">
        <v>17358</v>
      </c>
      <c r="BT929" t="str">
        <f>HYPERLINK("https%3A%2F%2Fwww.webofscience.com%2Fwos%2Fwoscc%2Ffull-record%2FWOS:000392299100004","View Full Record in Web of Science")</f>
        <v>View Full Record in Web of Science</v>
      </c>
    </row>
    <row r="930" spans="1:72" x14ac:dyDescent="0.15">
      <c r="A930" t="s">
        <v>72</v>
      </c>
      <c r="B930" t="s">
        <v>17359</v>
      </c>
      <c r="C930" t="s">
        <v>74</v>
      </c>
      <c r="D930" t="s">
        <v>74</v>
      </c>
      <c r="E930" t="s">
        <v>74</v>
      </c>
      <c r="F930" t="s">
        <v>17360</v>
      </c>
      <c r="G930" t="s">
        <v>74</v>
      </c>
      <c r="H930" t="s">
        <v>74</v>
      </c>
      <c r="I930" t="s">
        <v>17361</v>
      </c>
      <c r="J930" t="s">
        <v>17362</v>
      </c>
      <c r="K930" t="s">
        <v>74</v>
      </c>
      <c r="L930" t="s">
        <v>74</v>
      </c>
      <c r="M930" t="s">
        <v>78</v>
      </c>
      <c r="N930" t="s">
        <v>79</v>
      </c>
      <c r="O930" t="s">
        <v>74</v>
      </c>
      <c r="P930" t="s">
        <v>74</v>
      </c>
      <c r="Q930" t="s">
        <v>74</v>
      </c>
      <c r="R930" t="s">
        <v>74</v>
      </c>
      <c r="S930" t="s">
        <v>74</v>
      </c>
      <c r="T930" t="s">
        <v>17363</v>
      </c>
      <c r="U930" t="s">
        <v>17364</v>
      </c>
      <c r="V930" t="s">
        <v>17365</v>
      </c>
      <c r="W930" t="s">
        <v>17366</v>
      </c>
      <c r="X930" t="s">
        <v>17367</v>
      </c>
      <c r="Y930" t="s">
        <v>17368</v>
      </c>
      <c r="Z930" t="s">
        <v>17369</v>
      </c>
      <c r="AA930" t="s">
        <v>17370</v>
      </c>
      <c r="AB930" t="s">
        <v>17371</v>
      </c>
      <c r="AC930" t="s">
        <v>17372</v>
      </c>
      <c r="AD930" t="s">
        <v>17373</v>
      </c>
      <c r="AE930" t="s">
        <v>17374</v>
      </c>
      <c r="AF930" t="s">
        <v>74</v>
      </c>
      <c r="AG930">
        <v>67</v>
      </c>
      <c r="AH930">
        <v>2</v>
      </c>
      <c r="AI930">
        <v>3</v>
      </c>
      <c r="AJ930">
        <v>0</v>
      </c>
      <c r="AK930">
        <v>21</v>
      </c>
      <c r="AL930" t="s">
        <v>17375</v>
      </c>
      <c r="AM930" t="s">
        <v>1509</v>
      </c>
      <c r="AN930" t="s">
        <v>17376</v>
      </c>
      <c r="AO930" t="s">
        <v>17377</v>
      </c>
      <c r="AP930" t="s">
        <v>17378</v>
      </c>
      <c r="AQ930" t="s">
        <v>74</v>
      </c>
      <c r="AR930" t="s">
        <v>17379</v>
      </c>
      <c r="AS930" t="s">
        <v>17380</v>
      </c>
      <c r="AT930" t="s">
        <v>16127</v>
      </c>
      <c r="AU930">
        <v>2017</v>
      </c>
      <c r="AV930">
        <v>21</v>
      </c>
      <c r="AW930">
        <v>1</v>
      </c>
      <c r="AX930" t="s">
        <v>74</v>
      </c>
      <c r="AY930" t="s">
        <v>74</v>
      </c>
      <c r="AZ930" t="s">
        <v>74</v>
      </c>
      <c r="BA930" t="s">
        <v>74</v>
      </c>
      <c r="BB930">
        <v>21</v>
      </c>
      <c r="BC930">
        <v>32</v>
      </c>
      <c r="BD930" t="s">
        <v>74</v>
      </c>
      <c r="BE930" t="s">
        <v>17381</v>
      </c>
      <c r="BF930" t="str">
        <f>HYPERLINK("http://dx.doi.org/10.1007/s12303-016-0037-6","http://dx.doi.org/10.1007/s12303-016-0037-6")</f>
        <v>http://dx.doi.org/10.1007/s12303-016-0037-6</v>
      </c>
      <c r="BG930" t="s">
        <v>74</v>
      </c>
      <c r="BH930" t="s">
        <v>74</v>
      </c>
      <c r="BI930">
        <v>12</v>
      </c>
      <c r="BJ930" t="s">
        <v>437</v>
      </c>
      <c r="BK930" t="s">
        <v>103</v>
      </c>
      <c r="BL930" t="s">
        <v>438</v>
      </c>
      <c r="BM930" t="s">
        <v>17382</v>
      </c>
      <c r="BN930" t="s">
        <v>74</v>
      </c>
      <c r="BO930" t="s">
        <v>74</v>
      </c>
      <c r="BP930" t="s">
        <v>74</v>
      </c>
      <c r="BQ930" t="s">
        <v>74</v>
      </c>
      <c r="BR930" t="s">
        <v>106</v>
      </c>
      <c r="BS930" t="s">
        <v>17383</v>
      </c>
      <c r="BT930" t="str">
        <f>HYPERLINK("https%3A%2F%2Fwww.webofscience.com%2Fwos%2Fwoscc%2Ffull-record%2FWOS:000392346500002","View Full Record in Web of Science")</f>
        <v>View Full Record in Web of Science</v>
      </c>
    </row>
    <row r="931" spans="1:72" x14ac:dyDescent="0.15">
      <c r="A931" t="s">
        <v>72</v>
      </c>
      <c r="B931" t="s">
        <v>17384</v>
      </c>
      <c r="C931" t="s">
        <v>74</v>
      </c>
      <c r="D931" t="s">
        <v>74</v>
      </c>
      <c r="E931" t="s">
        <v>74</v>
      </c>
      <c r="F931" t="s">
        <v>17385</v>
      </c>
      <c r="G931" t="s">
        <v>74</v>
      </c>
      <c r="H931" t="s">
        <v>74</v>
      </c>
      <c r="I931" t="s">
        <v>17386</v>
      </c>
      <c r="J931" t="s">
        <v>768</v>
      </c>
      <c r="K931" t="s">
        <v>74</v>
      </c>
      <c r="L931" t="s">
        <v>74</v>
      </c>
      <c r="M931" t="s">
        <v>78</v>
      </c>
      <c r="N931" t="s">
        <v>79</v>
      </c>
      <c r="O931" t="s">
        <v>74</v>
      </c>
      <c r="P931" t="s">
        <v>74</v>
      </c>
      <c r="Q931" t="s">
        <v>74</v>
      </c>
      <c r="R931" t="s">
        <v>74</v>
      </c>
      <c r="S931" t="s">
        <v>74</v>
      </c>
      <c r="T931" t="s">
        <v>17387</v>
      </c>
      <c r="U931" t="s">
        <v>17388</v>
      </c>
      <c r="V931" t="s">
        <v>17389</v>
      </c>
      <c r="W931" t="s">
        <v>17390</v>
      </c>
      <c r="X931" t="s">
        <v>17391</v>
      </c>
      <c r="Y931" t="s">
        <v>17392</v>
      </c>
      <c r="Z931" t="s">
        <v>17393</v>
      </c>
      <c r="AA931" t="s">
        <v>17394</v>
      </c>
      <c r="AB931" t="s">
        <v>17395</v>
      </c>
      <c r="AC931" t="s">
        <v>17396</v>
      </c>
      <c r="AD931" t="s">
        <v>17397</v>
      </c>
      <c r="AE931" t="s">
        <v>17398</v>
      </c>
      <c r="AF931" t="s">
        <v>74</v>
      </c>
      <c r="AG931">
        <v>48</v>
      </c>
      <c r="AH931">
        <v>4</v>
      </c>
      <c r="AI931">
        <v>4</v>
      </c>
      <c r="AJ931">
        <v>3</v>
      </c>
      <c r="AK931">
        <v>18</v>
      </c>
      <c r="AL931" t="s">
        <v>16877</v>
      </c>
      <c r="AM931" t="s">
        <v>682</v>
      </c>
      <c r="AN931" t="s">
        <v>683</v>
      </c>
      <c r="AO931" t="s">
        <v>780</v>
      </c>
      <c r="AP931" t="s">
        <v>781</v>
      </c>
      <c r="AQ931" t="s">
        <v>74</v>
      </c>
      <c r="AR931" t="s">
        <v>782</v>
      </c>
      <c r="AS931" t="s">
        <v>783</v>
      </c>
      <c r="AT931" t="s">
        <v>16127</v>
      </c>
      <c r="AU931">
        <v>2017</v>
      </c>
      <c r="AV931">
        <v>48</v>
      </c>
      <c r="AW931">
        <v>2</v>
      </c>
      <c r="AX931" t="s">
        <v>74</v>
      </c>
      <c r="AY931" t="s">
        <v>74</v>
      </c>
      <c r="AZ931" t="s">
        <v>74</v>
      </c>
      <c r="BA931" t="s">
        <v>74</v>
      </c>
      <c r="BB931">
        <v>608</v>
      </c>
      <c r="BC931">
        <v>617</v>
      </c>
      <c r="BD931" t="s">
        <v>74</v>
      </c>
      <c r="BE931" t="s">
        <v>17399</v>
      </c>
      <c r="BF931" t="str">
        <f>HYPERLINK("http://dx.doi.org/10.1111/are.12907","http://dx.doi.org/10.1111/are.12907")</f>
        <v>http://dx.doi.org/10.1111/are.12907</v>
      </c>
      <c r="BG931" t="s">
        <v>74</v>
      </c>
      <c r="BH931" t="s">
        <v>74</v>
      </c>
      <c r="BI931">
        <v>10</v>
      </c>
      <c r="BJ931" t="s">
        <v>785</v>
      </c>
      <c r="BK931" t="s">
        <v>103</v>
      </c>
      <c r="BL931" t="s">
        <v>785</v>
      </c>
      <c r="BM931" t="s">
        <v>17400</v>
      </c>
      <c r="BN931" t="s">
        <v>74</v>
      </c>
      <c r="BO931" t="s">
        <v>131</v>
      </c>
      <c r="BP931" t="s">
        <v>74</v>
      </c>
      <c r="BQ931" t="s">
        <v>74</v>
      </c>
      <c r="BR931" t="s">
        <v>106</v>
      </c>
      <c r="BS931" t="s">
        <v>17401</v>
      </c>
      <c r="BT931" t="str">
        <f>HYPERLINK("https%3A%2F%2Fwww.webofscience.com%2Fwos%2Fwoscc%2Ffull-record%2FWOS:000391960400021","View Full Record in Web of Science")</f>
        <v>View Full Record in Web of Science</v>
      </c>
    </row>
    <row r="932" spans="1:72" x14ac:dyDescent="0.15">
      <c r="A932" t="s">
        <v>17402</v>
      </c>
      <c r="B932" t="s">
        <v>17403</v>
      </c>
      <c r="C932" t="s">
        <v>74</v>
      </c>
      <c r="D932" t="s">
        <v>74</v>
      </c>
      <c r="E932" t="s">
        <v>74</v>
      </c>
      <c r="F932" t="s">
        <v>17404</v>
      </c>
      <c r="G932" t="s">
        <v>74</v>
      </c>
      <c r="H932" t="s">
        <v>74</v>
      </c>
      <c r="I932" t="s">
        <v>17405</v>
      </c>
      <c r="J932" t="s">
        <v>17406</v>
      </c>
      <c r="K932" t="s">
        <v>74</v>
      </c>
      <c r="L932" t="s">
        <v>74</v>
      </c>
      <c r="M932" t="s">
        <v>78</v>
      </c>
      <c r="N932" t="s">
        <v>17407</v>
      </c>
      <c r="O932" t="s">
        <v>17408</v>
      </c>
      <c r="P932" t="s">
        <v>17409</v>
      </c>
      <c r="Q932" t="s">
        <v>17410</v>
      </c>
      <c r="R932" t="s">
        <v>74</v>
      </c>
      <c r="S932" t="s">
        <v>74</v>
      </c>
      <c r="T932" t="s">
        <v>17411</v>
      </c>
      <c r="U932" t="s">
        <v>74</v>
      </c>
      <c r="V932" t="s">
        <v>17412</v>
      </c>
      <c r="W932" t="s">
        <v>17413</v>
      </c>
      <c r="X932" t="s">
        <v>17211</v>
      </c>
      <c r="Y932" t="s">
        <v>17414</v>
      </c>
      <c r="Z932" t="s">
        <v>74</v>
      </c>
      <c r="AA932" t="s">
        <v>17415</v>
      </c>
      <c r="AB932" t="s">
        <v>17416</v>
      </c>
      <c r="AC932" t="s">
        <v>17417</v>
      </c>
      <c r="AD932" t="s">
        <v>17418</v>
      </c>
      <c r="AE932" t="s">
        <v>17419</v>
      </c>
      <c r="AF932" t="s">
        <v>74</v>
      </c>
      <c r="AG932">
        <v>10</v>
      </c>
      <c r="AH932">
        <v>2</v>
      </c>
      <c r="AI932">
        <v>2</v>
      </c>
      <c r="AJ932">
        <v>0</v>
      </c>
      <c r="AK932">
        <v>2</v>
      </c>
      <c r="AL932" t="s">
        <v>17420</v>
      </c>
      <c r="AM932" t="s">
        <v>17421</v>
      </c>
      <c r="AN932" t="s">
        <v>17422</v>
      </c>
      <c r="AO932" t="s">
        <v>17423</v>
      </c>
      <c r="AP932" t="s">
        <v>17424</v>
      </c>
      <c r="AQ932" t="s">
        <v>74</v>
      </c>
      <c r="AR932" t="s">
        <v>17425</v>
      </c>
      <c r="AS932" t="s">
        <v>17426</v>
      </c>
      <c r="AT932" t="s">
        <v>16127</v>
      </c>
      <c r="AU932">
        <v>2017</v>
      </c>
      <c r="AV932">
        <v>23</v>
      </c>
      <c r="AW932">
        <v>2</v>
      </c>
      <c r="AX932" t="s">
        <v>74</v>
      </c>
      <c r="AY932" t="s">
        <v>74</v>
      </c>
      <c r="AZ932" t="s">
        <v>74</v>
      </c>
      <c r="BA932" t="s">
        <v>74</v>
      </c>
      <c r="BB932">
        <v>1264</v>
      </c>
      <c r="BC932">
        <v>1267</v>
      </c>
      <c r="BD932" t="s">
        <v>74</v>
      </c>
      <c r="BE932" t="s">
        <v>17427</v>
      </c>
      <c r="BF932" t="str">
        <f>HYPERLINK("http://dx.doi.org/10.1166/asl.2017.8380","http://dx.doi.org/10.1166/asl.2017.8380")</f>
        <v>http://dx.doi.org/10.1166/asl.2017.8380</v>
      </c>
      <c r="BG932" t="s">
        <v>74</v>
      </c>
      <c r="BH932" t="s">
        <v>74</v>
      </c>
      <c r="BI932">
        <v>4</v>
      </c>
      <c r="BJ932" t="s">
        <v>1617</v>
      </c>
      <c r="BK932" t="s">
        <v>17428</v>
      </c>
      <c r="BL932" t="s">
        <v>1618</v>
      </c>
      <c r="BM932" t="s">
        <v>17429</v>
      </c>
      <c r="BN932" t="s">
        <v>74</v>
      </c>
      <c r="BO932" t="s">
        <v>74</v>
      </c>
      <c r="BP932" t="s">
        <v>74</v>
      </c>
      <c r="BQ932" t="s">
        <v>74</v>
      </c>
      <c r="BR932" t="s">
        <v>106</v>
      </c>
      <c r="BS932" t="s">
        <v>17430</v>
      </c>
      <c r="BT932" t="str">
        <f>HYPERLINK("https%3A%2F%2Fwww.webofscience.com%2Fwos%2Fwoscc%2Ffull-record%2FWOS:000430814700134","View Full Record in Web of Science")</f>
        <v>View Full Record in Web of Science</v>
      </c>
    </row>
    <row r="933" spans="1:72" x14ac:dyDescent="0.15">
      <c r="A933" t="s">
        <v>17402</v>
      </c>
      <c r="B933" t="s">
        <v>17431</v>
      </c>
      <c r="C933" t="s">
        <v>74</v>
      </c>
      <c r="D933" t="s">
        <v>74</v>
      </c>
      <c r="E933" t="s">
        <v>74</v>
      </c>
      <c r="F933" t="s">
        <v>17432</v>
      </c>
      <c r="G933" t="s">
        <v>74</v>
      </c>
      <c r="H933" t="s">
        <v>74</v>
      </c>
      <c r="I933" t="s">
        <v>17433</v>
      </c>
      <c r="J933" t="s">
        <v>17406</v>
      </c>
      <c r="K933" t="s">
        <v>74</v>
      </c>
      <c r="L933" t="s">
        <v>74</v>
      </c>
      <c r="M933" t="s">
        <v>78</v>
      </c>
      <c r="N933" t="s">
        <v>17407</v>
      </c>
      <c r="O933" t="s">
        <v>17408</v>
      </c>
      <c r="P933" t="s">
        <v>17409</v>
      </c>
      <c r="Q933" t="s">
        <v>17410</v>
      </c>
      <c r="R933" t="s">
        <v>74</v>
      </c>
      <c r="S933" t="s">
        <v>74</v>
      </c>
      <c r="T933" t="s">
        <v>17434</v>
      </c>
      <c r="U933" t="s">
        <v>3047</v>
      </c>
      <c r="V933" t="s">
        <v>17435</v>
      </c>
      <c r="W933" t="s">
        <v>17436</v>
      </c>
      <c r="X933" t="s">
        <v>17437</v>
      </c>
      <c r="Y933" t="s">
        <v>17438</v>
      </c>
      <c r="Z933" t="s">
        <v>74</v>
      </c>
      <c r="AA933" t="s">
        <v>17415</v>
      </c>
      <c r="AB933" t="s">
        <v>17416</v>
      </c>
      <c r="AC933" t="s">
        <v>17439</v>
      </c>
      <c r="AD933" t="s">
        <v>17440</v>
      </c>
      <c r="AE933" t="s">
        <v>17441</v>
      </c>
      <c r="AF933" t="s">
        <v>74</v>
      </c>
      <c r="AG933">
        <v>7</v>
      </c>
      <c r="AH933">
        <v>0</v>
      </c>
      <c r="AI933">
        <v>1</v>
      </c>
      <c r="AJ933">
        <v>0</v>
      </c>
      <c r="AK933">
        <v>5</v>
      </c>
      <c r="AL933" t="s">
        <v>17420</v>
      </c>
      <c r="AM933" t="s">
        <v>17421</v>
      </c>
      <c r="AN933" t="s">
        <v>17422</v>
      </c>
      <c r="AO933" t="s">
        <v>17423</v>
      </c>
      <c r="AP933" t="s">
        <v>17424</v>
      </c>
      <c r="AQ933" t="s">
        <v>74</v>
      </c>
      <c r="AR933" t="s">
        <v>17425</v>
      </c>
      <c r="AS933" t="s">
        <v>17426</v>
      </c>
      <c r="AT933" t="s">
        <v>16127</v>
      </c>
      <c r="AU933">
        <v>2017</v>
      </c>
      <c r="AV933">
        <v>23</v>
      </c>
      <c r="AW933">
        <v>2</v>
      </c>
      <c r="AX933" t="s">
        <v>74</v>
      </c>
      <c r="AY933" t="s">
        <v>74</v>
      </c>
      <c r="AZ933" t="s">
        <v>74</v>
      </c>
      <c r="BA933" t="s">
        <v>74</v>
      </c>
      <c r="BB933">
        <v>1366</v>
      </c>
      <c r="BC933">
        <v>1369</v>
      </c>
      <c r="BD933" t="s">
        <v>74</v>
      </c>
      <c r="BE933" t="s">
        <v>17442</v>
      </c>
      <c r="BF933" t="str">
        <f>HYPERLINK("http://dx.doi.org/10.1166/asl.2017.8386","http://dx.doi.org/10.1166/asl.2017.8386")</f>
        <v>http://dx.doi.org/10.1166/asl.2017.8386</v>
      </c>
      <c r="BG933" t="s">
        <v>74</v>
      </c>
      <c r="BH933" t="s">
        <v>74</v>
      </c>
      <c r="BI933">
        <v>4</v>
      </c>
      <c r="BJ933" t="s">
        <v>1617</v>
      </c>
      <c r="BK933" t="s">
        <v>17428</v>
      </c>
      <c r="BL933" t="s">
        <v>1618</v>
      </c>
      <c r="BM933" t="s">
        <v>17429</v>
      </c>
      <c r="BN933" t="s">
        <v>74</v>
      </c>
      <c r="BO933" t="s">
        <v>74</v>
      </c>
      <c r="BP933" t="s">
        <v>74</v>
      </c>
      <c r="BQ933" t="s">
        <v>74</v>
      </c>
      <c r="BR933" t="s">
        <v>106</v>
      </c>
      <c r="BS933" t="s">
        <v>17443</v>
      </c>
      <c r="BT933" t="str">
        <f>HYPERLINK("https%3A%2F%2Fwww.webofscience.com%2Fwos%2Fwoscc%2Ffull-record%2FWOS:000430814700157","View Full Record in Web of Science")</f>
        <v>View Full Record in Web of Science</v>
      </c>
    </row>
    <row r="934" spans="1:72" x14ac:dyDescent="0.15">
      <c r="A934" t="s">
        <v>72</v>
      </c>
      <c r="B934" t="s">
        <v>17444</v>
      </c>
      <c r="C934" t="s">
        <v>74</v>
      </c>
      <c r="D934" t="s">
        <v>74</v>
      </c>
      <c r="E934" t="s">
        <v>74</v>
      </c>
      <c r="F934" t="s">
        <v>17445</v>
      </c>
      <c r="G934" t="s">
        <v>74</v>
      </c>
      <c r="H934" t="s">
        <v>74</v>
      </c>
      <c r="I934" t="s">
        <v>17446</v>
      </c>
      <c r="J934" t="s">
        <v>17447</v>
      </c>
      <c r="K934" t="s">
        <v>74</v>
      </c>
      <c r="L934" t="s">
        <v>74</v>
      </c>
      <c r="M934" t="s">
        <v>78</v>
      </c>
      <c r="N934" t="s">
        <v>518</v>
      </c>
      <c r="O934" t="s">
        <v>74</v>
      </c>
      <c r="P934" t="s">
        <v>74</v>
      </c>
      <c r="Q934" t="s">
        <v>74</v>
      </c>
      <c r="R934" t="s">
        <v>74</v>
      </c>
      <c r="S934" t="s">
        <v>74</v>
      </c>
      <c r="T934" t="s">
        <v>17448</v>
      </c>
      <c r="U934" t="s">
        <v>17449</v>
      </c>
      <c r="V934" t="s">
        <v>17450</v>
      </c>
      <c r="W934" t="s">
        <v>17451</v>
      </c>
      <c r="X934" t="s">
        <v>17452</v>
      </c>
      <c r="Y934" t="s">
        <v>17453</v>
      </c>
      <c r="Z934" t="s">
        <v>17454</v>
      </c>
      <c r="AA934" t="s">
        <v>17455</v>
      </c>
      <c r="AB934" t="s">
        <v>17456</v>
      </c>
      <c r="AC934" t="s">
        <v>17457</v>
      </c>
      <c r="AD934" t="s">
        <v>17458</v>
      </c>
      <c r="AE934" t="s">
        <v>17459</v>
      </c>
      <c r="AF934" t="s">
        <v>74</v>
      </c>
      <c r="AG934">
        <v>83</v>
      </c>
      <c r="AH934">
        <v>23</v>
      </c>
      <c r="AI934">
        <v>26</v>
      </c>
      <c r="AJ934">
        <v>3</v>
      </c>
      <c r="AK934">
        <v>93</v>
      </c>
      <c r="AL934" t="s">
        <v>3199</v>
      </c>
      <c r="AM934" t="s">
        <v>3200</v>
      </c>
      <c r="AN934" t="s">
        <v>3201</v>
      </c>
      <c r="AO934" t="s">
        <v>17460</v>
      </c>
      <c r="AP934" t="s">
        <v>17461</v>
      </c>
      <c r="AQ934" t="s">
        <v>74</v>
      </c>
      <c r="AR934" t="s">
        <v>17447</v>
      </c>
      <c r="AS934" t="s">
        <v>17462</v>
      </c>
      <c r="AT934" t="s">
        <v>16127</v>
      </c>
      <c r="AU934">
        <v>2017</v>
      </c>
      <c r="AV934">
        <v>49</v>
      </c>
      <c r="AW934">
        <v>2</v>
      </c>
      <c r="AX934" t="s">
        <v>74</v>
      </c>
      <c r="AY934" t="s">
        <v>74</v>
      </c>
      <c r="AZ934" t="s">
        <v>74</v>
      </c>
      <c r="BA934" t="s">
        <v>74</v>
      </c>
      <c r="BB934">
        <v>209</v>
      </c>
      <c r="BC934">
        <v>222</v>
      </c>
      <c r="BD934" t="s">
        <v>74</v>
      </c>
      <c r="BE934" t="s">
        <v>17463</v>
      </c>
      <c r="BF934" t="str">
        <f>HYPERLINK("http://dx.doi.org/10.1007/s00726-016-2368-z","http://dx.doi.org/10.1007/s00726-016-2368-z")</f>
        <v>http://dx.doi.org/10.1007/s00726-016-2368-z</v>
      </c>
      <c r="BG934" t="s">
        <v>74</v>
      </c>
      <c r="BH934" t="s">
        <v>74</v>
      </c>
      <c r="BI934">
        <v>14</v>
      </c>
      <c r="BJ934" t="s">
        <v>13075</v>
      </c>
      <c r="BK934" t="s">
        <v>103</v>
      </c>
      <c r="BL934" t="s">
        <v>13075</v>
      </c>
      <c r="BM934" t="s">
        <v>17464</v>
      </c>
      <c r="BN934">
        <v>27913993</v>
      </c>
      <c r="BO934" t="s">
        <v>105</v>
      </c>
      <c r="BP934" t="s">
        <v>74</v>
      </c>
      <c r="BQ934" t="s">
        <v>74</v>
      </c>
      <c r="BR934" t="s">
        <v>106</v>
      </c>
      <c r="BS934" t="s">
        <v>17465</v>
      </c>
      <c r="BT934" t="str">
        <f>HYPERLINK("https%3A%2F%2Fwww.webofscience.com%2Fwos%2Fwoscc%2Ffull-record%2FWOS:000395866000001","View Full Record in Web of Science")</f>
        <v>View Full Record in Web of Science</v>
      </c>
    </row>
    <row r="935" spans="1:72" x14ac:dyDescent="0.15">
      <c r="A935" t="s">
        <v>72</v>
      </c>
      <c r="B935" t="s">
        <v>2079</v>
      </c>
      <c r="C935" t="s">
        <v>74</v>
      </c>
      <c r="D935" t="s">
        <v>74</v>
      </c>
      <c r="E935" t="s">
        <v>74</v>
      </c>
      <c r="F935" t="s">
        <v>2080</v>
      </c>
      <c r="G935" t="s">
        <v>74</v>
      </c>
      <c r="H935" t="s">
        <v>74</v>
      </c>
      <c r="I935" t="s">
        <v>17466</v>
      </c>
      <c r="J935" t="s">
        <v>791</v>
      </c>
      <c r="K935" t="s">
        <v>74</v>
      </c>
      <c r="L935" t="s">
        <v>74</v>
      </c>
      <c r="M935" t="s">
        <v>78</v>
      </c>
      <c r="N935" t="s">
        <v>2082</v>
      </c>
      <c r="O935" t="s">
        <v>74</v>
      </c>
      <c r="P935" t="s">
        <v>74</v>
      </c>
      <c r="Q935" t="s">
        <v>74</v>
      </c>
      <c r="R935" t="s">
        <v>74</v>
      </c>
      <c r="S935" t="s">
        <v>74</v>
      </c>
      <c r="T935" t="s">
        <v>74</v>
      </c>
      <c r="U935" t="s">
        <v>74</v>
      </c>
      <c r="V935" t="s">
        <v>74</v>
      </c>
      <c r="W935" t="s">
        <v>74</v>
      </c>
      <c r="X935" t="s">
        <v>74</v>
      </c>
      <c r="Y935" t="s">
        <v>74</v>
      </c>
      <c r="Z935" t="s">
        <v>74</v>
      </c>
      <c r="AA935" t="s">
        <v>74</v>
      </c>
      <c r="AB935" t="s">
        <v>74</v>
      </c>
      <c r="AC935" t="s">
        <v>74</v>
      </c>
      <c r="AD935" t="s">
        <v>74</v>
      </c>
      <c r="AE935" t="s">
        <v>74</v>
      </c>
      <c r="AF935" t="s">
        <v>74</v>
      </c>
      <c r="AG935">
        <v>0</v>
      </c>
      <c r="AH935">
        <v>0</v>
      </c>
      <c r="AI935">
        <v>0</v>
      </c>
      <c r="AJ935">
        <v>0</v>
      </c>
      <c r="AK935">
        <v>1</v>
      </c>
      <c r="AL935" t="s">
        <v>803</v>
      </c>
      <c r="AM935" t="s">
        <v>430</v>
      </c>
      <c r="AN935" t="s">
        <v>804</v>
      </c>
      <c r="AO935" t="s">
        <v>805</v>
      </c>
      <c r="AP935" t="s">
        <v>806</v>
      </c>
      <c r="AQ935" t="s">
        <v>74</v>
      </c>
      <c r="AR935" t="s">
        <v>807</v>
      </c>
      <c r="AS935" t="s">
        <v>808</v>
      </c>
      <c r="AT935" t="s">
        <v>16127</v>
      </c>
      <c r="AU935">
        <v>2017</v>
      </c>
      <c r="AV935">
        <v>29</v>
      </c>
      <c r="AW935">
        <v>1</v>
      </c>
      <c r="AX935" t="s">
        <v>74</v>
      </c>
      <c r="AY935" t="s">
        <v>74</v>
      </c>
      <c r="AZ935" t="s">
        <v>74</v>
      </c>
      <c r="BA935" t="s">
        <v>74</v>
      </c>
      <c r="BB935">
        <v>1</v>
      </c>
      <c r="BC935">
        <v>1</v>
      </c>
      <c r="BD935" t="s">
        <v>74</v>
      </c>
      <c r="BE935" t="s">
        <v>17467</v>
      </c>
      <c r="BF935" t="str">
        <f>HYPERLINK("http://dx.doi.org/10.1017/S0954102016000651","http://dx.doi.org/10.1017/S0954102016000651")</f>
        <v>http://dx.doi.org/10.1017/S0954102016000651</v>
      </c>
      <c r="BG935" t="s">
        <v>74</v>
      </c>
      <c r="BH935" t="s">
        <v>74</v>
      </c>
      <c r="BI935">
        <v>1</v>
      </c>
      <c r="BJ935" t="s">
        <v>810</v>
      </c>
      <c r="BK935" t="s">
        <v>103</v>
      </c>
      <c r="BL935" t="s">
        <v>811</v>
      </c>
      <c r="BM935" t="s">
        <v>16129</v>
      </c>
      <c r="BN935" t="s">
        <v>74</v>
      </c>
      <c r="BO935" t="s">
        <v>412</v>
      </c>
      <c r="BP935" t="s">
        <v>74</v>
      </c>
      <c r="BQ935" t="s">
        <v>74</v>
      </c>
      <c r="BR935" t="s">
        <v>106</v>
      </c>
      <c r="BS935" t="s">
        <v>17468</v>
      </c>
      <c r="BT935" t="str">
        <f>HYPERLINK("https%3A%2F%2Fwww.webofscience.com%2Fwos%2Fwoscc%2Ffull-record%2FWOS:000396346500001","View Full Record in Web of Science")</f>
        <v>View Full Record in Web of Science</v>
      </c>
    </row>
    <row r="936" spans="1:72" x14ac:dyDescent="0.15">
      <c r="A936" t="s">
        <v>72</v>
      </c>
      <c r="B936" t="s">
        <v>17469</v>
      </c>
      <c r="C936" t="s">
        <v>74</v>
      </c>
      <c r="D936" t="s">
        <v>74</v>
      </c>
      <c r="E936" t="s">
        <v>74</v>
      </c>
      <c r="F936" t="s">
        <v>17470</v>
      </c>
      <c r="G936" t="s">
        <v>74</v>
      </c>
      <c r="H936" t="s">
        <v>74</v>
      </c>
      <c r="I936" t="s">
        <v>17471</v>
      </c>
      <c r="J936" t="s">
        <v>791</v>
      </c>
      <c r="K936" t="s">
        <v>74</v>
      </c>
      <c r="L936" t="s">
        <v>74</v>
      </c>
      <c r="M936" t="s">
        <v>78</v>
      </c>
      <c r="N936" t="s">
        <v>79</v>
      </c>
      <c r="O936" t="s">
        <v>74</v>
      </c>
      <c r="P936" t="s">
        <v>74</v>
      </c>
      <c r="Q936" t="s">
        <v>74</v>
      </c>
      <c r="R936" t="s">
        <v>74</v>
      </c>
      <c r="S936" t="s">
        <v>74</v>
      </c>
      <c r="T936" t="s">
        <v>17472</v>
      </c>
      <c r="U936" t="s">
        <v>17473</v>
      </c>
      <c r="V936" t="s">
        <v>17474</v>
      </c>
      <c r="W936" t="s">
        <v>17475</v>
      </c>
      <c r="X936" t="s">
        <v>17476</v>
      </c>
      <c r="Y936" t="s">
        <v>17477</v>
      </c>
      <c r="Z936" t="s">
        <v>14716</v>
      </c>
      <c r="AA936" t="s">
        <v>14717</v>
      </c>
      <c r="AB936" t="s">
        <v>17478</v>
      </c>
      <c r="AC936" t="s">
        <v>17479</v>
      </c>
      <c r="AD936" t="s">
        <v>17480</v>
      </c>
      <c r="AE936" t="s">
        <v>17481</v>
      </c>
      <c r="AF936" t="s">
        <v>74</v>
      </c>
      <c r="AG936">
        <v>55</v>
      </c>
      <c r="AH936">
        <v>28</v>
      </c>
      <c r="AI936">
        <v>31</v>
      </c>
      <c r="AJ936">
        <v>0</v>
      </c>
      <c r="AK936">
        <v>12</v>
      </c>
      <c r="AL936" t="s">
        <v>803</v>
      </c>
      <c r="AM936" t="s">
        <v>430</v>
      </c>
      <c r="AN936" t="s">
        <v>804</v>
      </c>
      <c r="AO936" t="s">
        <v>805</v>
      </c>
      <c r="AP936" t="s">
        <v>806</v>
      </c>
      <c r="AQ936" t="s">
        <v>74</v>
      </c>
      <c r="AR936" t="s">
        <v>807</v>
      </c>
      <c r="AS936" t="s">
        <v>808</v>
      </c>
      <c r="AT936" t="s">
        <v>16127</v>
      </c>
      <c r="AU936">
        <v>2017</v>
      </c>
      <c r="AV936">
        <v>29</v>
      </c>
      <c r="AW936">
        <v>1</v>
      </c>
      <c r="AX936" t="s">
        <v>74</v>
      </c>
      <c r="AY936" t="s">
        <v>74</v>
      </c>
      <c r="AZ936" t="s">
        <v>74</v>
      </c>
      <c r="BA936" t="s">
        <v>74</v>
      </c>
      <c r="BB936">
        <v>47</v>
      </c>
      <c r="BC936">
        <v>60</v>
      </c>
      <c r="BD936" t="s">
        <v>74</v>
      </c>
      <c r="BE936" t="s">
        <v>17482</v>
      </c>
      <c r="BF936" t="str">
        <f>HYPERLINK("http://dx.doi.org/10.1017/S0954102016000341","http://dx.doi.org/10.1017/S0954102016000341")</f>
        <v>http://dx.doi.org/10.1017/S0954102016000341</v>
      </c>
      <c r="BG936" t="s">
        <v>74</v>
      </c>
      <c r="BH936" t="s">
        <v>74</v>
      </c>
      <c r="BI936">
        <v>14</v>
      </c>
      <c r="BJ936" t="s">
        <v>810</v>
      </c>
      <c r="BK936" t="s">
        <v>103</v>
      </c>
      <c r="BL936" t="s">
        <v>811</v>
      </c>
      <c r="BM936" t="s">
        <v>16129</v>
      </c>
      <c r="BN936" t="s">
        <v>74</v>
      </c>
      <c r="BO936" t="s">
        <v>1538</v>
      </c>
      <c r="BP936" t="s">
        <v>74</v>
      </c>
      <c r="BQ936" t="s">
        <v>74</v>
      </c>
      <c r="BR936" t="s">
        <v>106</v>
      </c>
      <c r="BS936" t="s">
        <v>17483</v>
      </c>
      <c r="BT936" t="str">
        <f>HYPERLINK("https%3A%2F%2Fwww.webofscience.com%2Fwos%2Fwoscc%2Ffull-record%2FWOS:000396346500006","View Full Record in Web of Science")</f>
        <v>View Full Record in Web of Science</v>
      </c>
    </row>
    <row r="937" spans="1:72" x14ac:dyDescent="0.15">
      <c r="A937" t="s">
        <v>72</v>
      </c>
      <c r="B937" t="s">
        <v>17484</v>
      </c>
      <c r="C937" t="s">
        <v>74</v>
      </c>
      <c r="D937" t="s">
        <v>74</v>
      </c>
      <c r="E937" t="s">
        <v>74</v>
      </c>
      <c r="F937" t="s">
        <v>17485</v>
      </c>
      <c r="G937" t="s">
        <v>74</v>
      </c>
      <c r="H937" t="s">
        <v>74</v>
      </c>
      <c r="I937" t="s">
        <v>17486</v>
      </c>
      <c r="J937" t="s">
        <v>791</v>
      </c>
      <c r="K937" t="s">
        <v>74</v>
      </c>
      <c r="L937" t="s">
        <v>74</v>
      </c>
      <c r="M937" t="s">
        <v>78</v>
      </c>
      <c r="N937" t="s">
        <v>79</v>
      </c>
      <c r="O937" t="s">
        <v>74</v>
      </c>
      <c r="P937" t="s">
        <v>74</v>
      </c>
      <c r="Q937" t="s">
        <v>74</v>
      </c>
      <c r="R937" t="s">
        <v>74</v>
      </c>
      <c r="S937" t="s">
        <v>74</v>
      </c>
      <c r="T937" t="s">
        <v>17487</v>
      </c>
      <c r="U937" t="s">
        <v>17488</v>
      </c>
      <c r="V937" t="s">
        <v>17489</v>
      </c>
      <c r="W937" t="s">
        <v>17490</v>
      </c>
      <c r="X937" t="s">
        <v>17491</v>
      </c>
      <c r="Y937" t="s">
        <v>17492</v>
      </c>
      <c r="Z937" t="s">
        <v>17493</v>
      </c>
      <c r="AA937" t="s">
        <v>17494</v>
      </c>
      <c r="AB937" t="s">
        <v>17495</v>
      </c>
      <c r="AC937" t="s">
        <v>17496</v>
      </c>
      <c r="AD937" t="s">
        <v>17497</v>
      </c>
      <c r="AE937" t="s">
        <v>17498</v>
      </c>
      <c r="AF937" t="s">
        <v>74</v>
      </c>
      <c r="AG937">
        <v>27</v>
      </c>
      <c r="AH937">
        <v>8</v>
      </c>
      <c r="AI937">
        <v>8</v>
      </c>
      <c r="AJ937">
        <v>0</v>
      </c>
      <c r="AK937">
        <v>9</v>
      </c>
      <c r="AL937" t="s">
        <v>803</v>
      </c>
      <c r="AM937" t="s">
        <v>430</v>
      </c>
      <c r="AN937" t="s">
        <v>804</v>
      </c>
      <c r="AO937" t="s">
        <v>805</v>
      </c>
      <c r="AP937" t="s">
        <v>806</v>
      </c>
      <c r="AQ937" t="s">
        <v>74</v>
      </c>
      <c r="AR937" t="s">
        <v>807</v>
      </c>
      <c r="AS937" t="s">
        <v>808</v>
      </c>
      <c r="AT937" t="s">
        <v>16127</v>
      </c>
      <c r="AU937">
        <v>2017</v>
      </c>
      <c r="AV937">
        <v>29</v>
      </c>
      <c r="AW937">
        <v>1</v>
      </c>
      <c r="AX937" t="s">
        <v>74</v>
      </c>
      <c r="AY937" t="s">
        <v>74</v>
      </c>
      <c r="AZ937" t="s">
        <v>74</v>
      </c>
      <c r="BA937" t="s">
        <v>74</v>
      </c>
      <c r="BB937">
        <v>83</v>
      </c>
      <c r="BC937">
        <v>93</v>
      </c>
      <c r="BD937" t="s">
        <v>74</v>
      </c>
      <c r="BE937" t="s">
        <v>17499</v>
      </c>
      <c r="BF937" t="str">
        <f>HYPERLINK("http://dx.doi.org/10.1017/S0954102016000444","http://dx.doi.org/10.1017/S0954102016000444")</f>
        <v>http://dx.doi.org/10.1017/S0954102016000444</v>
      </c>
      <c r="BG937" t="s">
        <v>74</v>
      </c>
      <c r="BH937" t="s">
        <v>74</v>
      </c>
      <c r="BI937">
        <v>11</v>
      </c>
      <c r="BJ937" t="s">
        <v>810</v>
      </c>
      <c r="BK937" t="s">
        <v>103</v>
      </c>
      <c r="BL937" t="s">
        <v>811</v>
      </c>
      <c r="BM937" t="s">
        <v>16129</v>
      </c>
      <c r="BN937" t="s">
        <v>74</v>
      </c>
      <c r="BO937" t="s">
        <v>1100</v>
      </c>
      <c r="BP937" t="s">
        <v>74</v>
      </c>
      <c r="BQ937" t="s">
        <v>74</v>
      </c>
      <c r="BR937" t="s">
        <v>106</v>
      </c>
      <c r="BS937" t="s">
        <v>17500</v>
      </c>
      <c r="BT937" t="str">
        <f>HYPERLINK("https%3A%2F%2Fwww.webofscience.com%2Fwos%2Fwoscc%2Ffull-record%2FWOS:000396346500009","View Full Record in Web of Science")</f>
        <v>View Full Record in Web of Science</v>
      </c>
    </row>
    <row r="938" spans="1:72" x14ac:dyDescent="0.15">
      <c r="A938" t="s">
        <v>72</v>
      </c>
      <c r="B938" t="s">
        <v>17501</v>
      </c>
      <c r="C938" t="s">
        <v>74</v>
      </c>
      <c r="D938" t="s">
        <v>74</v>
      </c>
      <c r="E938" t="s">
        <v>74</v>
      </c>
      <c r="F938" t="s">
        <v>17502</v>
      </c>
      <c r="G938" t="s">
        <v>74</v>
      </c>
      <c r="H938" t="s">
        <v>74</v>
      </c>
      <c r="I938" t="s">
        <v>17503</v>
      </c>
      <c r="J938" t="s">
        <v>17504</v>
      </c>
      <c r="K938" t="s">
        <v>74</v>
      </c>
      <c r="L938" t="s">
        <v>74</v>
      </c>
      <c r="M938" t="s">
        <v>78</v>
      </c>
      <c r="N938" t="s">
        <v>79</v>
      </c>
      <c r="O938" t="s">
        <v>74</v>
      </c>
      <c r="P938" t="s">
        <v>74</v>
      </c>
      <c r="Q938" t="s">
        <v>74</v>
      </c>
      <c r="R938" t="s">
        <v>74</v>
      </c>
      <c r="S938" t="s">
        <v>74</v>
      </c>
      <c r="T938" t="s">
        <v>17505</v>
      </c>
      <c r="U938" t="s">
        <v>17506</v>
      </c>
      <c r="V938" t="s">
        <v>17507</v>
      </c>
      <c r="W938" t="s">
        <v>17508</v>
      </c>
      <c r="X938" t="s">
        <v>17509</v>
      </c>
      <c r="Y938" t="s">
        <v>17510</v>
      </c>
      <c r="Z938" t="s">
        <v>17511</v>
      </c>
      <c r="AA938" t="s">
        <v>17512</v>
      </c>
      <c r="AB938" t="s">
        <v>17513</v>
      </c>
      <c r="AC938" t="s">
        <v>17514</v>
      </c>
      <c r="AD938" t="s">
        <v>17514</v>
      </c>
      <c r="AE938" t="s">
        <v>17515</v>
      </c>
      <c r="AF938" t="s">
        <v>74</v>
      </c>
      <c r="AG938">
        <v>32</v>
      </c>
      <c r="AH938">
        <v>19</v>
      </c>
      <c r="AI938">
        <v>25</v>
      </c>
      <c r="AJ938">
        <v>3</v>
      </c>
      <c r="AK938">
        <v>33</v>
      </c>
      <c r="AL938" t="s">
        <v>986</v>
      </c>
      <c r="AM938" t="s">
        <v>1191</v>
      </c>
      <c r="AN938" t="s">
        <v>1192</v>
      </c>
      <c r="AO938" t="s">
        <v>17516</v>
      </c>
      <c r="AP938" t="s">
        <v>17517</v>
      </c>
      <c r="AQ938" t="s">
        <v>74</v>
      </c>
      <c r="AR938" t="s">
        <v>17518</v>
      </c>
      <c r="AS938" t="s">
        <v>17519</v>
      </c>
      <c r="AT938" t="s">
        <v>16127</v>
      </c>
      <c r="AU938">
        <v>2017</v>
      </c>
      <c r="AV938">
        <v>25</v>
      </c>
      <c r="AW938">
        <v>1</v>
      </c>
      <c r="AX938" t="s">
        <v>74</v>
      </c>
      <c r="AY938" t="s">
        <v>74</v>
      </c>
      <c r="AZ938" t="s">
        <v>74</v>
      </c>
      <c r="BA938" t="s">
        <v>74</v>
      </c>
      <c r="BB938">
        <v>485</v>
      </c>
      <c r="BC938">
        <v>498</v>
      </c>
      <c r="BD938" t="s">
        <v>74</v>
      </c>
      <c r="BE938" t="s">
        <v>17520</v>
      </c>
      <c r="BF938" t="str">
        <f>HYPERLINK("http://dx.doi.org/10.1007/s10499-016-0045-6","http://dx.doi.org/10.1007/s10499-016-0045-6")</f>
        <v>http://dx.doi.org/10.1007/s10499-016-0045-6</v>
      </c>
      <c r="BG938" t="s">
        <v>74</v>
      </c>
      <c r="BH938" t="s">
        <v>74</v>
      </c>
      <c r="BI938">
        <v>14</v>
      </c>
      <c r="BJ938" t="s">
        <v>785</v>
      </c>
      <c r="BK938" t="s">
        <v>103</v>
      </c>
      <c r="BL938" t="s">
        <v>785</v>
      </c>
      <c r="BM938" t="s">
        <v>17521</v>
      </c>
      <c r="BN938" t="s">
        <v>74</v>
      </c>
      <c r="BO938" t="s">
        <v>74</v>
      </c>
      <c r="BP938" t="s">
        <v>74</v>
      </c>
      <c r="BQ938" t="s">
        <v>74</v>
      </c>
      <c r="BR938" t="s">
        <v>106</v>
      </c>
      <c r="BS938" t="s">
        <v>17522</v>
      </c>
      <c r="BT938" t="str">
        <f>HYPERLINK("https%3A%2F%2Fwww.webofscience.com%2Fwos%2Fwoscc%2Ffull-record%2FWOS:000394249000034","View Full Record in Web of Science")</f>
        <v>View Full Record in Web of Science</v>
      </c>
    </row>
    <row r="939" spans="1:72" x14ac:dyDescent="0.15">
      <c r="A939" t="s">
        <v>72</v>
      </c>
      <c r="B939" t="s">
        <v>17523</v>
      </c>
      <c r="C939" t="s">
        <v>74</v>
      </c>
      <c r="D939" t="s">
        <v>74</v>
      </c>
      <c r="E939" t="s">
        <v>74</v>
      </c>
      <c r="F939" t="s">
        <v>17524</v>
      </c>
      <c r="G939" t="s">
        <v>74</v>
      </c>
      <c r="H939" t="s">
        <v>74</v>
      </c>
      <c r="I939" t="s">
        <v>17525</v>
      </c>
      <c r="J939" t="s">
        <v>17526</v>
      </c>
      <c r="K939" t="s">
        <v>74</v>
      </c>
      <c r="L939" t="s">
        <v>74</v>
      </c>
      <c r="M939" t="s">
        <v>78</v>
      </c>
      <c r="N939" t="s">
        <v>79</v>
      </c>
      <c r="O939" t="s">
        <v>74</v>
      </c>
      <c r="P939" t="s">
        <v>74</v>
      </c>
      <c r="Q939" t="s">
        <v>74</v>
      </c>
      <c r="R939" t="s">
        <v>74</v>
      </c>
      <c r="S939" t="s">
        <v>74</v>
      </c>
      <c r="T939" t="s">
        <v>17527</v>
      </c>
      <c r="U939" t="s">
        <v>17528</v>
      </c>
      <c r="V939" t="s">
        <v>17529</v>
      </c>
      <c r="W939" t="s">
        <v>17530</v>
      </c>
      <c r="X939" t="s">
        <v>17531</v>
      </c>
      <c r="Y939" t="s">
        <v>17532</v>
      </c>
      <c r="Z939" t="s">
        <v>2401</v>
      </c>
      <c r="AA939" t="s">
        <v>2402</v>
      </c>
      <c r="AB939" t="s">
        <v>17533</v>
      </c>
      <c r="AC939" t="s">
        <v>17534</v>
      </c>
      <c r="AD939" t="s">
        <v>11672</v>
      </c>
      <c r="AE939" t="s">
        <v>17535</v>
      </c>
      <c r="AF939" t="s">
        <v>74</v>
      </c>
      <c r="AG939">
        <v>27</v>
      </c>
      <c r="AH939">
        <v>28</v>
      </c>
      <c r="AI939">
        <v>28</v>
      </c>
      <c r="AJ939">
        <v>3</v>
      </c>
      <c r="AK939">
        <v>45</v>
      </c>
      <c r="AL939" t="s">
        <v>681</v>
      </c>
      <c r="AM939" t="s">
        <v>682</v>
      </c>
      <c r="AN939" t="s">
        <v>683</v>
      </c>
      <c r="AO939" t="s">
        <v>17536</v>
      </c>
      <c r="AP939" t="s">
        <v>17537</v>
      </c>
      <c r="AQ939" t="s">
        <v>74</v>
      </c>
      <c r="AR939" t="s">
        <v>17538</v>
      </c>
      <c r="AS939" t="s">
        <v>17539</v>
      </c>
      <c r="AT939" t="s">
        <v>16127</v>
      </c>
      <c r="AU939">
        <v>2017</v>
      </c>
      <c r="AV939">
        <v>27</v>
      </c>
      <c r="AW939">
        <v>1</v>
      </c>
      <c r="AX939" t="s">
        <v>74</v>
      </c>
      <c r="AY939" t="s">
        <v>74</v>
      </c>
      <c r="AZ939" t="s">
        <v>74</v>
      </c>
      <c r="BA939" t="s">
        <v>74</v>
      </c>
      <c r="BB939">
        <v>158</v>
      </c>
      <c r="BC939">
        <v>164</v>
      </c>
      <c r="BD939" t="s">
        <v>74</v>
      </c>
      <c r="BE939" t="s">
        <v>17540</v>
      </c>
      <c r="BF939" t="str">
        <f>HYPERLINK("http://dx.doi.org/10.1002/aqc.2625","http://dx.doi.org/10.1002/aqc.2625")</f>
        <v>http://dx.doi.org/10.1002/aqc.2625</v>
      </c>
      <c r="BG939" t="s">
        <v>74</v>
      </c>
      <c r="BH939" t="s">
        <v>74</v>
      </c>
      <c r="BI939">
        <v>7</v>
      </c>
      <c r="BJ939" t="s">
        <v>17541</v>
      </c>
      <c r="BK939" t="s">
        <v>103</v>
      </c>
      <c r="BL939" t="s">
        <v>17542</v>
      </c>
      <c r="BM939" t="s">
        <v>17543</v>
      </c>
      <c r="BN939" t="s">
        <v>74</v>
      </c>
      <c r="BO939" t="s">
        <v>4773</v>
      </c>
      <c r="BP939" t="s">
        <v>74</v>
      </c>
      <c r="BQ939" t="s">
        <v>74</v>
      </c>
      <c r="BR939" t="s">
        <v>106</v>
      </c>
      <c r="BS939" t="s">
        <v>17544</v>
      </c>
      <c r="BT939" t="str">
        <f>HYPERLINK("https%3A%2F%2Fwww.webofscience.com%2Fwos%2Fwoscc%2Ffull-record%2FWOS:000394898200013","View Full Record in Web of Science")</f>
        <v>View Full Record in Web of Science</v>
      </c>
    </row>
    <row r="940" spans="1:72" x14ac:dyDescent="0.15">
      <c r="A940" t="s">
        <v>72</v>
      </c>
      <c r="B940" t="s">
        <v>17545</v>
      </c>
      <c r="C940" t="s">
        <v>74</v>
      </c>
      <c r="D940" t="s">
        <v>74</v>
      </c>
      <c r="E940" t="s">
        <v>74</v>
      </c>
      <c r="F940" t="s">
        <v>17546</v>
      </c>
      <c r="G940" t="s">
        <v>74</v>
      </c>
      <c r="H940" t="s">
        <v>74</v>
      </c>
      <c r="I940" t="s">
        <v>17547</v>
      </c>
      <c r="J940" t="s">
        <v>5526</v>
      </c>
      <c r="K940" t="s">
        <v>74</v>
      </c>
      <c r="L940" t="s">
        <v>74</v>
      </c>
      <c r="M940" t="s">
        <v>78</v>
      </c>
      <c r="N940" t="s">
        <v>79</v>
      </c>
      <c r="O940" t="s">
        <v>74</v>
      </c>
      <c r="P940" t="s">
        <v>74</v>
      </c>
      <c r="Q940" t="s">
        <v>74</v>
      </c>
      <c r="R940" t="s">
        <v>74</v>
      </c>
      <c r="S940" t="s">
        <v>74</v>
      </c>
      <c r="T940" t="s">
        <v>74</v>
      </c>
      <c r="U940" t="s">
        <v>17548</v>
      </c>
      <c r="V940" t="s">
        <v>17549</v>
      </c>
      <c r="W940" t="s">
        <v>17550</v>
      </c>
      <c r="X940" t="s">
        <v>17551</v>
      </c>
      <c r="Y940" t="s">
        <v>17552</v>
      </c>
      <c r="Z940" t="s">
        <v>17553</v>
      </c>
      <c r="AA940" t="s">
        <v>17554</v>
      </c>
      <c r="AB940" t="s">
        <v>17555</v>
      </c>
      <c r="AC940" t="s">
        <v>17556</v>
      </c>
      <c r="AD940" t="s">
        <v>17557</v>
      </c>
      <c r="AE940" t="s">
        <v>17558</v>
      </c>
      <c r="AF940" t="s">
        <v>74</v>
      </c>
      <c r="AG940">
        <v>44</v>
      </c>
      <c r="AH940">
        <v>15</v>
      </c>
      <c r="AI940">
        <v>15</v>
      </c>
      <c r="AJ940">
        <v>0</v>
      </c>
      <c r="AK940">
        <v>25</v>
      </c>
      <c r="AL940" t="s">
        <v>5572</v>
      </c>
      <c r="AM940" t="s">
        <v>5573</v>
      </c>
      <c r="AN940" t="s">
        <v>5574</v>
      </c>
      <c r="AO940" t="s">
        <v>5533</v>
      </c>
      <c r="AP940" t="s">
        <v>5534</v>
      </c>
      <c r="AQ940" t="s">
        <v>74</v>
      </c>
      <c r="AR940" t="s">
        <v>5535</v>
      </c>
      <c r="AS940" t="s">
        <v>5536</v>
      </c>
      <c r="AT940" t="s">
        <v>16127</v>
      </c>
      <c r="AU940">
        <v>2017</v>
      </c>
      <c r="AV940">
        <v>49</v>
      </c>
      <c r="AW940">
        <v>1</v>
      </c>
      <c r="AX940" t="s">
        <v>74</v>
      </c>
      <c r="AY940" t="s">
        <v>74</v>
      </c>
      <c r="AZ940" t="s">
        <v>74</v>
      </c>
      <c r="BA940" t="s">
        <v>74</v>
      </c>
      <c r="BB940">
        <v>13</v>
      </c>
      <c r="BC940">
        <v>27</v>
      </c>
      <c r="BD940" t="s">
        <v>74</v>
      </c>
      <c r="BE940" t="s">
        <v>17559</v>
      </c>
      <c r="BF940" t="str">
        <f>HYPERLINK("http://dx.doi.org/10.1657/AAAR0016-034","http://dx.doi.org/10.1657/AAAR0016-034")</f>
        <v>http://dx.doi.org/10.1657/AAAR0016-034</v>
      </c>
      <c r="BG940" t="s">
        <v>74</v>
      </c>
      <c r="BH940" t="s">
        <v>74</v>
      </c>
      <c r="BI940">
        <v>15</v>
      </c>
      <c r="BJ940" t="s">
        <v>5538</v>
      </c>
      <c r="BK940" t="s">
        <v>103</v>
      </c>
      <c r="BL940" t="s">
        <v>5539</v>
      </c>
      <c r="BM940" t="s">
        <v>16249</v>
      </c>
      <c r="BN940" t="s">
        <v>74</v>
      </c>
      <c r="BO940" t="s">
        <v>412</v>
      </c>
      <c r="BP940" t="s">
        <v>74</v>
      </c>
      <c r="BQ940" t="s">
        <v>74</v>
      </c>
      <c r="BR940" t="s">
        <v>106</v>
      </c>
      <c r="BS940" t="s">
        <v>17560</v>
      </c>
      <c r="BT940" t="str">
        <f>HYPERLINK("https%3A%2F%2Fwww.webofscience.com%2Fwos%2Fwoscc%2Ffull-record%2FWOS:000394918000002","View Full Record in Web of Science")</f>
        <v>View Full Record in Web of Science</v>
      </c>
    </row>
    <row r="941" spans="1:72" x14ac:dyDescent="0.15">
      <c r="A941" t="s">
        <v>72</v>
      </c>
      <c r="B941" t="s">
        <v>17561</v>
      </c>
      <c r="C941" t="s">
        <v>74</v>
      </c>
      <c r="D941" t="s">
        <v>74</v>
      </c>
      <c r="E941" t="s">
        <v>74</v>
      </c>
      <c r="F941" t="s">
        <v>17562</v>
      </c>
      <c r="G941" t="s">
        <v>74</v>
      </c>
      <c r="H941" t="s">
        <v>74</v>
      </c>
      <c r="I941" t="s">
        <v>17563</v>
      </c>
      <c r="J941" t="s">
        <v>5526</v>
      </c>
      <c r="K941" t="s">
        <v>74</v>
      </c>
      <c r="L941" t="s">
        <v>74</v>
      </c>
      <c r="M941" t="s">
        <v>78</v>
      </c>
      <c r="N941" t="s">
        <v>79</v>
      </c>
      <c r="O941" t="s">
        <v>74</v>
      </c>
      <c r="P941" t="s">
        <v>74</v>
      </c>
      <c r="Q941" t="s">
        <v>74</v>
      </c>
      <c r="R941" t="s">
        <v>74</v>
      </c>
      <c r="S941" t="s">
        <v>74</v>
      </c>
      <c r="T941" t="s">
        <v>74</v>
      </c>
      <c r="U941" t="s">
        <v>74</v>
      </c>
      <c r="V941" t="s">
        <v>17564</v>
      </c>
      <c r="W941" t="s">
        <v>17565</v>
      </c>
      <c r="X941" t="s">
        <v>17566</v>
      </c>
      <c r="Y941" t="s">
        <v>17567</v>
      </c>
      <c r="Z941" t="s">
        <v>17568</v>
      </c>
      <c r="AA941" t="s">
        <v>17569</v>
      </c>
      <c r="AB941" t="s">
        <v>17570</v>
      </c>
      <c r="AC941" t="s">
        <v>74</v>
      </c>
      <c r="AD941" t="s">
        <v>74</v>
      </c>
      <c r="AE941" t="s">
        <v>74</v>
      </c>
      <c r="AF941" t="s">
        <v>74</v>
      </c>
      <c r="AG941">
        <v>16</v>
      </c>
      <c r="AH941">
        <v>12</v>
      </c>
      <c r="AI941">
        <v>17</v>
      </c>
      <c r="AJ941">
        <v>2</v>
      </c>
      <c r="AK941">
        <v>33</v>
      </c>
      <c r="AL941" t="s">
        <v>5572</v>
      </c>
      <c r="AM941" t="s">
        <v>5573</v>
      </c>
      <c r="AN941" t="s">
        <v>5574</v>
      </c>
      <c r="AO941" t="s">
        <v>5533</v>
      </c>
      <c r="AP941" t="s">
        <v>5534</v>
      </c>
      <c r="AQ941" t="s">
        <v>74</v>
      </c>
      <c r="AR941" t="s">
        <v>5535</v>
      </c>
      <c r="AS941" t="s">
        <v>5536</v>
      </c>
      <c r="AT941" t="s">
        <v>16127</v>
      </c>
      <c r="AU941">
        <v>2017</v>
      </c>
      <c r="AV941">
        <v>49</v>
      </c>
      <c r="AW941">
        <v>1</v>
      </c>
      <c r="AX941" t="s">
        <v>74</v>
      </c>
      <c r="AY941" t="s">
        <v>74</v>
      </c>
      <c r="AZ941" t="s">
        <v>74</v>
      </c>
      <c r="BA941" t="s">
        <v>74</v>
      </c>
      <c r="BB941">
        <v>81</v>
      </c>
      <c r="BC941">
        <v>100</v>
      </c>
      <c r="BD941" t="s">
        <v>74</v>
      </c>
      <c r="BE941" t="s">
        <v>17571</v>
      </c>
      <c r="BF941" t="str">
        <f>HYPERLINK("http://dx.doi.org/10.1657/AAAR0016-022","http://dx.doi.org/10.1657/AAAR0016-022")</f>
        <v>http://dx.doi.org/10.1657/AAAR0016-022</v>
      </c>
      <c r="BG941" t="s">
        <v>74</v>
      </c>
      <c r="BH941" t="s">
        <v>74</v>
      </c>
      <c r="BI941">
        <v>20</v>
      </c>
      <c r="BJ941" t="s">
        <v>5538</v>
      </c>
      <c r="BK941" t="s">
        <v>103</v>
      </c>
      <c r="BL941" t="s">
        <v>5539</v>
      </c>
      <c r="BM941" t="s">
        <v>16249</v>
      </c>
      <c r="BN941" t="s">
        <v>74</v>
      </c>
      <c r="BO941" t="s">
        <v>5576</v>
      </c>
      <c r="BP941" t="s">
        <v>74</v>
      </c>
      <c r="BQ941" t="s">
        <v>74</v>
      </c>
      <c r="BR941" t="s">
        <v>106</v>
      </c>
      <c r="BS941" t="s">
        <v>17572</v>
      </c>
      <c r="BT941" t="str">
        <f>HYPERLINK("https%3A%2F%2Fwww.webofscience.com%2Fwos%2Fwoscc%2Ffull-record%2FWOS:000394918000007","View Full Record in Web of Science")</f>
        <v>View Full Record in Web of Science</v>
      </c>
    </row>
    <row r="942" spans="1:72" x14ac:dyDescent="0.15">
      <c r="A942" t="s">
        <v>72</v>
      </c>
      <c r="B942" t="s">
        <v>17573</v>
      </c>
      <c r="C942" t="s">
        <v>74</v>
      </c>
      <c r="D942" t="s">
        <v>74</v>
      </c>
      <c r="E942" t="s">
        <v>74</v>
      </c>
      <c r="F942" t="s">
        <v>17574</v>
      </c>
      <c r="G942" t="s">
        <v>74</v>
      </c>
      <c r="H942" t="s">
        <v>74</v>
      </c>
      <c r="I942" t="s">
        <v>17575</v>
      </c>
      <c r="J942" t="s">
        <v>5170</v>
      </c>
      <c r="K942" t="s">
        <v>74</v>
      </c>
      <c r="L942" t="s">
        <v>74</v>
      </c>
      <c r="M942" t="s">
        <v>78</v>
      </c>
      <c r="N942" t="s">
        <v>79</v>
      </c>
      <c r="O942" t="s">
        <v>74</v>
      </c>
      <c r="P942" t="s">
        <v>74</v>
      </c>
      <c r="Q942" t="s">
        <v>74</v>
      </c>
      <c r="R942" t="s">
        <v>74</v>
      </c>
      <c r="S942" t="s">
        <v>74</v>
      </c>
      <c r="T942" t="s">
        <v>17576</v>
      </c>
      <c r="U942" t="s">
        <v>17577</v>
      </c>
      <c r="V942" t="s">
        <v>17578</v>
      </c>
      <c r="W942" t="s">
        <v>17579</v>
      </c>
      <c r="X942" t="s">
        <v>17580</v>
      </c>
      <c r="Y942" t="s">
        <v>17581</v>
      </c>
      <c r="Z942" t="s">
        <v>17582</v>
      </c>
      <c r="AA942" t="s">
        <v>74</v>
      </c>
      <c r="AB942" t="s">
        <v>74</v>
      </c>
      <c r="AC942" t="s">
        <v>17583</v>
      </c>
      <c r="AD942" t="s">
        <v>17584</v>
      </c>
      <c r="AE942" t="s">
        <v>17585</v>
      </c>
      <c r="AF942" t="s">
        <v>74</v>
      </c>
      <c r="AG942">
        <v>58</v>
      </c>
      <c r="AH942">
        <v>9</v>
      </c>
      <c r="AI942">
        <v>10</v>
      </c>
      <c r="AJ942">
        <v>1</v>
      </c>
      <c r="AK942">
        <v>11</v>
      </c>
      <c r="AL942" t="s">
        <v>5182</v>
      </c>
      <c r="AM942" t="s">
        <v>1509</v>
      </c>
      <c r="AN942" t="s">
        <v>5183</v>
      </c>
      <c r="AO942" t="s">
        <v>5184</v>
      </c>
      <c r="AP942" t="s">
        <v>5185</v>
      </c>
      <c r="AQ942" t="s">
        <v>74</v>
      </c>
      <c r="AR942" t="s">
        <v>5186</v>
      </c>
      <c r="AS942" t="s">
        <v>5187</v>
      </c>
      <c r="AT942" t="s">
        <v>16127</v>
      </c>
      <c r="AU942">
        <v>2017</v>
      </c>
      <c r="AV942">
        <v>53</v>
      </c>
      <c r="AW942">
        <v>1</v>
      </c>
      <c r="AX942" t="s">
        <v>74</v>
      </c>
      <c r="AY942" t="s">
        <v>74</v>
      </c>
      <c r="AZ942" t="s">
        <v>74</v>
      </c>
      <c r="BA942" t="s">
        <v>74</v>
      </c>
      <c r="BB942">
        <v>85</v>
      </c>
      <c r="BC942">
        <v>100</v>
      </c>
      <c r="BD942" t="s">
        <v>74</v>
      </c>
      <c r="BE942" t="s">
        <v>17586</v>
      </c>
      <c r="BF942" t="str">
        <f>HYPERLINK("http://dx.doi.org/10.1007/s13143-017-0007-6","http://dx.doi.org/10.1007/s13143-017-0007-6")</f>
        <v>http://dx.doi.org/10.1007/s13143-017-0007-6</v>
      </c>
      <c r="BG942" t="s">
        <v>74</v>
      </c>
      <c r="BH942" t="s">
        <v>74</v>
      </c>
      <c r="BI942">
        <v>16</v>
      </c>
      <c r="BJ942" t="s">
        <v>1261</v>
      </c>
      <c r="BK942" t="s">
        <v>103</v>
      </c>
      <c r="BL942" t="s">
        <v>1261</v>
      </c>
      <c r="BM942" t="s">
        <v>17587</v>
      </c>
      <c r="BN942" t="s">
        <v>74</v>
      </c>
      <c r="BO942" t="s">
        <v>74</v>
      </c>
      <c r="BP942" t="s">
        <v>74</v>
      </c>
      <c r="BQ942" t="s">
        <v>74</v>
      </c>
      <c r="BR942" t="s">
        <v>106</v>
      </c>
      <c r="BS942" t="s">
        <v>17588</v>
      </c>
      <c r="BT942" t="str">
        <f>HYPERLINK("https%3A%2F%2Fwww.webofscience.com%2Fwos%2Fwoscc%2Ffull-record%2FWOS:000397134000009","View Full Record in Web of Science")</f>
        <v>View Full Record in Web of Science</v>
      </c>
    </row>
    <row r="943" spans="1:72" x14ac:dyDescent="0.15">
      <c r="A943" t="s">
        <v>72</v>
      </c>
      <c r="B943" t="s">
        <v>17589</v>
      </c>
      <c r="C943" t="s">
        <v>74</v>
      </c>
      <c r="D943" t="s">
        <v>74</v>
      </c>
      <c r="E943" t="s">
        <v>74</v>
      </c>
      <c r="F943" t="s">
        <v>17590</v>
      </c>
      <c r="G943" t="s">
        <v>74</v>
      </c>
      <c r="H943" t="s">
        <v>74</v>
      </c>
      <c r="I943" t="s">
        <v>17591</v>
      </c>
      <c r="J943" t="s">
        <v>17592</v>
      </c>
      <c r="K943" t="s">
        <v>74</v>
      </c>
      <c r="L943" t="s">
        <v>74</v>
      </c>
      <c r="M943" t="s">
        <v>78</v>
      </c>
      <c r="N943" t="s">
        <v>79</v>
      </c>
      <c r="O943" t="s">
        <v>74</v>
      </c>
      <c r="P943" t="s">
        <v>74</v>
      </c>
      <c r="Q943" t="s">
        <v>74</v>
      </c>
      <c r="R943" t="s">
        <v>74</v>
      </c>
      <c r="S943" t="s">
        <v>74</v>
      </c>
      <c r="T943" t="s">
        <v>17593</v>
      </c>
      <c r="U943" t="s">
        <v>17594</v>
      </c>
      <c r="V943" t="s">
        <v>17595</v>
      </c>
      <c r="W943" t="s">
        <v>17596</v>
      </c>
      <c r="X943" t="s">
        <v>17597</v>
      </c>
      <c r="Y943" t="s">
        <v>17598</v>
      </c>
      <c r="Z943" t="s">
        <v>17599</v>
      </c>
      <c r="AA943" t="s">
        <v>17600</v>
      </c>
      <c r="AB943" t="s">
        <v>17601</v>
      </c>
      <c r="AC943" t="s">
        <v>17602</v>
      </c>
      <c r="AD943" t="s">
        <v>17603</v>
      </c>
      <c r="AE943" t="s">
        <v>17604</v>
      </c>
      <c r="AF943" t="s">
        <v>74</v>
      </c>
      <c r="AG943">
        <v>54</v>
      </c>
      <c r="AH943">
        <v>63</v>
      </c>
      <c r="AI943">
        <v>68</v>
      </c>
      <c r="AJ943">
        <v>15</v>
      </c>
      <c r="AK943">
        <v>246</v>
      </c>
      <c r="AL943" t="s">
        <v>656</v>
      </c>
      <c r="AM943" t="s">
        <v>93</v>
      </c>
      <c r="AN943" t="s">
        <v>657</v>
      </c>
      <c r="AO943" t="s">
        <v>17605</v>
      </c>
      <c r="AP943" t="s">
        <v>17606</v>
      </c>
      <c r="AQ943" t="s">
        <v>74</v>
      </c>
      <c r="AR943" t="s">
        <v>17607</v>
      </c>
      <c r="AS943" t="s">
        <v>17608</v>
      </c>
      <c r="AT943" t="s">
        <v>16127</v>
      </c>
      <c r="AU943">
        <v>2017</v>
      </c>
      <c r="AV943">
        <v>150</v>
      </c>
      <c r="AW943" t="s">
        <v>74</v>
      </c>
      <c r="AX943" t="s">
        <v>74</v>
      </c>
      <c r="AY943" t="s">
        <v>74</v>
      </c>
      <c r="AZ943" t="s">
        <v>74</v>
      </c>
      <c r="BA943" t="s">
        <v>74</v>
      </c>
      <c r="BB943">
        <v>407</v>
      </c>
      <c r="BC943">
        <v>416</v>
      </c>
      <c r="BD943" t="s">
        <v>74</v>
      </c>
      <c r="BE943" t="s">
        <v>17609</v>
      </c>
      <c r="BF943" t="str">
        <f>HYPERLINK("http://dx.doi.org/10.1016/j.atmosenv.2016.11.036","http://dx.doi.org/10.1016/j.atmosenv.2016.11.036")</f>
        <v>http://dx.doi.org/10.1016/j.atmosenv.2016.11.036</v>
      </c>
      <c r="BG943" t="s">
        <v>74</v>
      </c>
      <c r="BH943" t="s">
        <v>74</v>
      </c>
      <c r="BI943">
        <v>10</v>
      </c>
      <c r="BJ943" t="s">
        <v>3614</v>
      </c>
      <c r="BK943" t="s">
        <v>103</v>
      </c>
      <c r="BL943" t="s">
        <v>3615</v>
      </c>
      <c r="BM943" t="s">
        <v>17610</v>
      </c>
      <c r="BN943" t="s">
        <v>74</v>
      </c>
      <c r="BO943" t="s">
        <v>74</v>
      </c>
      <c r="BP943" t="s">
        <v>74</v>
      </c>
      <c r="BQ943" t="s">
        <v>74</v>
      </c>
      <c r="BR943" t="s">
        <v>106</v>
      </c>
      <c r="BS943" t="s">
        <v>17611</v>
      </c>
      <c r="BT943" t="str">
        <f>HYPERLINK("https%3A%2F%2Fwww.webofscience.com%2Fwos%2Fwoscc%2Ffull-record%2FWOS:000392770700039","View Full Record in Web of Science")</f>
        <v>View Full Record in Web of Science</v>
      </c>
    </row>
    <row r="944" spans="1:72" x14ac:dyDescent="0.15">
      <c r="A944" t="s">
        <v>72</v>
      </c>
      <c r="B944" t="s">
        <v>17612</v>
      </c>
      <c r="C944" t="s">
        <v>74</v>
      </c>
      <c r="D944" t="s">
        <v>74</v>
      </c>
      <c r="E944" t="s">
        <v>74</v>
      </c>
      <c r="F944" t="s">
        <v>17613</v>
      </c>
      <c r="G944" t="s">
        <v>74</v>
      </c>
      <c r="H944" t="s">
        <v>74</v>
      </c>
      <c r="I944" t="s">
        <v>17614</v>
      </c>
      <c r="J944" t="s">
        <v>17615</v>
      </c>
      <c r="K944" t="s">
        <v>74</v>
      </c>
      <c r="L944" t="s">
        <v>74</v>
      </c>
      <c r="M944" t="s">
        <v>78</v>
      </c>
      <c r="N944" t="s">
        <v>79</v>
      </c>
      <c r="O944" t="s">
        <v>74</v>
      </c>
      <c r="P944" t="s">
        <v>74</v>
      </c>
      <c r="Q944" t="s">
        <v>74</v>
      </c>
      <c r="R944" t="s">
        <v>74</v>
      </c>
      <c r="S944" t="s">
        <v>74</v>
      </c>
      <c r="T944" t="s">
        <v>17616</v>
      </c>
      <c r="U944" t="s">
        <v>17617</v>
      </c>
      <c r="V944" t="s">
        <v>17618</v>
      </c>
      <c r="W944" t="s">
        <v>17619</v>
      </c>
      <c r="X944" t="s">
        <v>17620</v>
      </c>
      <c r="Y944" t="s">
        <v>17621</v>
      </c>
      <c r="Z944" t="s">
        <v>17622</v>
      </c>
      <c r="AA944" t="s">
        <v>17623</v>
      </c>
      <c r="AB944" t="s">
        <v>17624</v>
      </c>
      <c r="AC944" t="s">
        <v>17625</v>
      </c>
      <c r="AD944" t="s">
        <v>17626</v>
      </c>
      <c r="AE944" t="s">
        <v>17627</v>
      </c>
      <c r="AF944" t="s">
        <v>74</v>
      </c>
      <c r="AG944">
        <v>71</v>
      </c>
      <c r="AH944">
        <v>59</v>
      </c>
      <c r="AI944">
        <v>60</v>
      </c>
      <c r="AJ944">
        <v>1</v>
      </c>
      <c r="AK944">
        <v>57</v>
      </c>
      <c r="AL944" t="s">
        <v>92</v>
      </c>
      <c r="AM944" t="s">
        <v>93</v>
      </c>
      <c r="AN944" t="s">
        <v>94</v>
      </c>
      <c r="AO944" t="s">
        <v>17628</v>
      </c>
      <c r="AP944" t="s">
        <v>17629</v>
      </c>
      <c r="AQ944" t="s">
        <v>74</v>
      </c>
      <c r="AR944" t="s">
        <v>17615</v>
      </c>
      <c r="AS944" t="s">
        <v>17630</v>
      </c>
      <c r="AT944" t="s">
        <v>16127</v>
      </c>
      <c r="AU944">
        <v>2017</v>
      </c>
      <c r="AV944">
        <v>67</v>
      </c>
      <c r="AW944">
        <v>2</v>
      </c>
      <c r="AX944" t="s">
        <v>74</v>
      </c>
      <c r="AY944" t="s">
        <v>74</v>
      </c>
      <c r="AZ944" t="s">
        <v>74</v>
      </c>
      <c r="BA944" t="s">
        <v>74</v>
      </c>
      <c r="BB944">
        <v>134</v>
      </c>
      <c r="BC944">
        <v>146</v>
      </c>
      <c r="BD944" t="s">
        <v>74</v>
      </c>
      <c r="BE944" t="s">
        <v>17631</v>
      </c>
      <c r="BF944" t="str">
        <f>HYPERLINK("http://dx.doi.org/10.1093/biosci/biw180","http://dx.doi.org/10.1093/biosci/biw180")</f>
        <v>http://dx.doi.org/10.1093/biosci/biw180</v>
      </c>
      <c r="BG944" t="s">
        <v>74</v>
      </c>
      <c r="BH944" t="s">
        <v>74</v>
      </c>
      <c r="BI944">
        <v>13</v>
      </c>
      <c r="BJ944" t="s">
        <v>2828</v>
      </c>
      <c r="BK944" t="s">
        <v>103</v>
      </c>
      <c r="BL944" t="s">
        <v>2829</v>
      </c>
      <c r="BM944" t="s">
        <v>17632</v>
      </c>
      <c r="BN944">
        <v>28596615</v>
      </c>
      <c r="BO944" t="s">
        <v>2390</v>
      </c>
      <c r="BP944" t="s">
        <v>74</v>
      </c>
      <c r="BQ944" t="s">
        <v>74</v>
      </c>
      <c r="BR944" t="s">
        <v>106</v>
      </c>
      <c r="BS944" t="s">
        <v>17633</v>
      </c>
      <c r="BT944" t="str">
        <f>HYPERLINK("https%3A%2F%2Fwww.webofscience.com%2Fwos%2Fwoscc%2Ffull-record%2FWOS:000396895800007","View Full Record in Web of Science")</f>
        <v>View Full Record in Web of Science</v>
      </c>
    </row>
    <row r="945" spans="1:72" x14ac:dyDescent="0.15">
      <c r="A945" t="s">
        <v>72</v>
      </c>
      <c r="B945" t="s">
        <v>17634</v>
      </c>
      <c r="C945" t="s">
        <v>74</v>
      </c>
      <c r="D945" t="s">
        <v>74</v>
      </c>
      <c r="E945" t="s">
        <v>74</v>
      </c>
      <c r="F945" t="s">
        <v>17635</v>
      </c>
      <c r="G945" t="s">
        <v>74</v>
      </c>
      <c r="H945" t="s">
        <v>74</v>
      </c>
      <c r="I945" t="s">
        <v>17636</v>
      </c>
      <c r="J945" t="s">
        <v>7205</v>
      </c>
      <c r="K945" t="s">
        <v>74</v>
      </c>
      <c r="L945" t="s">
        <v>74</v>
      </c>
      <c r="M945" t="s">
        <v>78</v>
      </c>
      <c r="N945" t="s">
        <v>79</v>
      </c>
      <c r="O945" t="s">
        <v>74</v>
      </c>
      <c r="P945" t="s">
        <v>74</v>
      </c>
      <c r="Q945" t="s">
        <v>74</v>
      </c>
      <c r="R945" t="s">
        <v>74</v>
      </c>
      <c r="S945" t="s">
        <v>74</v>
      </c>
      <c r="T945" t="s">
        <v>17637</v>
      </c>
      <c r="U945" t="s">
        <v>17638</v>
      </c>
      <c r="V945" t="s">
        <v>17639</v>
      </c>
      <c r="W945" t="s">
        <v>17640</v>
      </c>
      <c r="X945" t="s">
        <v>17641</v>
      </c>
      <c r="Y945" t="s">
        <v>17642</v>
      </c>
      <c r="Z945" t="s">
        <v>17643</v>
      </c>
      <c r="AA945" t="s">
        <v>17644</v>
      </c>
      <c r="AB945" t="s">
        <v>17645</v>
      </c>
      <c r="AC945" t="s">
        <v>17646</v>
      </c>
      <c r="AD945" t="s">
        <v>17647</v>
      </c>
      <c r="AE945" t="s">
        <v>17648</v>
      </c>
      <c r="AF945" t="s">
        <v>74</v>
      </c>
      <c r="AG945">
        <v>74</v>
      </c>
      <c r="AH945">
        <v>34</v>
      </c>
      <c r="AI945">
        <v>35</v>
      </c>
      <c r="AJ945">
        <v>0</v>
      </c>
      <c r="AK945">
        <v>26</v>
      </c>
      <c r="AL945" t="s">
        <v>317</v>
      </c>
      <c r="AM945" t="s">
        <v>318</v>
      </c>
      <c r="AN945" t="s">
        <v>319</v>
      </c>
      <c r="AO945" t="s">
        <v>7218</v>
      </c>
      <c r="AP945" t="s">
        <v>7219</v>
      </c>
      <c r="AQ945" t="s">
        <v>74</v>
      </c>
      <c r="AR945" t="s">
        <v>7205</v>
      </c>
      <c r="AS945" t="s">
        <v>7220</v>
      </c>
      <c r="AT945" t="s">
        <v>16127</v>
      </c>
      <c r="AU945">
        <v>2017</v>
      </c>
      <c r="AV945">
        <v>149</v>
      </c>
      <c r="AW945" t="s">
        <v>74</v>
      </c>
      <c r="AX945">
        <v>2</v>
      </c>
      <c r="AY945" t="s">
        <v>74</v>
      </c>
      <c r="AZ945" t="s">
        <v>100</v>
      </c>
      <c r="BA945" t="s">
        <v>74</v>
      </c>
      <c r="BB945">
        <v>538</v>
      </c>
      <c r="BC945">
        <v>547</v>
      </c>
      <c r="BD945" t="s">
        <v>74</v>
      </c>
      <c r="BE945" t="s">
        <v>17649</v>
      </c>
      <c r="BF945" t="str">
        <f>HYPERLINK("http://dx.doi.org/10.1016/j.catena.2016.06.002","http://dx.doi.org/10.1016/j.catena.2016.06.002")</f>
        <v>http://dx.doi.org/10.1016/j.catena.2016.06.002</v>
      </c>
      <c r="BG945" t="s">
        <v>74</v>
      </c>
      <c r="BH945" t="s">
        <v>74</v>
      </c>
      <c r="BI945">
        <v>10</v>
      </c>
      <c r="BJ945" t="s">
        <v>7222</v>
      </c>
      <c r="BK945" t="s">
        <v>103</v>
      </c>
      <c r="BL945" t="s">
        <v>7223</v>
      </c>
      <c r="BM945" t="s">
        <v>17650</v>
      </c>
      <c r="BN945" t="s">
        <v>74</v>
      </c>
      <c r="BO945" t="s">
        <v>74</v>
      </c>
      <c r="BP945" t="s">
        <v>74</v>
      </c>
      <c r="BQ945" t="s">
        <v>74</v>
      </c>
      <c r="BR945" t="s">
        <v>106</v>
      </c>
      <c r="BS945" t="s">
        <v>17651</v>
      </c>
      <c r="BT945" t="str">
        <f>HYPERLINK("https%3A%2F%2Fwww.webofscience.com%2Fwos%2Fwoscc%2Ffull-record%2FWOS:000390733900004","View Full Record in Web of Science")</f>
        <v>View Full Record in Web of Science</v>
      </c>
    </row>
    <row r="946" spans="1:72" x14ac:dyDescent="0.15">
      <c r="A946" t="s">
        <v>72</v>
      </c>
      <c r="B946" t="s">
        <v>17652</v>
      </c>
      <c r="C946" t="s">
        <v>74</v>
      </c>
      <c r="D946" t="s">
        <v>74</v>
      </c>
      <c r="E946" t="s">
        <v>74</v>
      </c>
      <c r="F946" t="s">
        <v>17653</v>
      </c>
      <c r="G946" t="s">
        <v>74</v>
      </c>
      <c r="H946" t="s">
        <v>74</v>
      </c>
      <c r="I946" t="s">
        <v>17654</v>
      </c>
      <c r="J946" t="s">
        <v>7205</v>
      </c>
      <c r="K946" t="s">
        <v>74</v>
      </c>
      <c r="L946" t="s">
        <v>74</v>
      </c>
      <c r="M946" t="s">
        <v>78</v>
      </c>
      <c r="N946" t="s">
        <v>79</v>
      </c>
      <c r="O946" t="s">
        <v>74</v>
      </c>
      <c r="P946" t="s">
        <v>74</v>
      </c>
      <c r="Q946" t="s">
        <v>74</v>
      </c>
      <c r="R946" t="s">
        <v>74</v>
      </c>
      <c r="S946" t="s">
        <v>74</v>
      </c>
      <c r="T946" t="s">
        <v>17655</v>
      </c>
      <c r="U946" t="s">
        <v>17656</v>
      </c>
      <c r="V946" t="s">
        <v>17657</v>
      </c>
      <c r="W946" t="s">
        <v>17658</v>
      </c>
      <c r="X946" t="s">
        <v>17659</v>
      </c>
      <c r="Y946" t="s">
        <v>17660</v>
      </c>
      <c r="Z946" t="s">
        <v>13822</v>
      </c>
      <c r="AA946" t="s">
        <v>17661</v>
      </c>
      <c r="AB946" t="s">
        <v>17662</v>
      </c>
      <c r="AC946" t="s">
        <v>17663</v>
      </c>
      <c r="AD946" t="s">
        <v>17664</v>
      </c>
      <c r="AE946" t="s">
        <v>17665</v>
      </c>
      <c r="AF946" t="s">
        <v>74</v>
      </c>
      <c r="AG946">
        <v>69</v>
      </c>
      <c r="AH946">
        <v>38</v>
      </c>
      <c r="AI946">
        <v>38</v>
      </c>
      <c r="AJ946">
        <v>0</v>
      </c>
      <c r="AK946">
        <v>21</v>
      </c>
      <c r="AL946" t="s">
        <v>317</v>
      </c>
      <c r="AM946" t="s">
        <v>318</v>
      </c>
      <c r="AN946" t="s">
        <v>319</v>
      </c>
      <c r="AO946" t="s">
        <v>7218</v>
      </c>
      <c r="AP946" t="s">
        <v>7219</v>
      </c>
      <c r="AQ946" t="s">
        <v>74</v>
      </c>
      <c r="AR946" t="s">
        <v>7205</v>
      </c>
      <c r="AS946" t="s">
        <v>7220</v>
      </c>
      <c r="AT946" t="s">
        <v>16127</v>
      </c>
      <c r="AU946">
        <v>2017</v>
      </c>
      <c r="AV946">
        <v>149</v>
      </c>
      <c r="AW946" t="s">
        <v>74</v>
      </c>
      <c r="AX946">
        <v>2</v>
      </c>
      <c r="AY946" t="s">
        <v>74</v>
      </c>
      <c r="AZ946" t="s">
        <v>100</v>
      </c>
      <c r="BA946" t="s">
        <v>74</v>
      </c>
      <c r="BB946">
        <v>548</v>
      </c>
      <c r="BC946">
        <v>559</v>
      </c>
      <c r="BD946" t="s">
        <v>74</v>
      </c>
      <c r="BE946" t="s">
        <v>17666</v>
      </c>
      <c r="BF946" t="str">
        <f>HYPERLINK("http://dx.doi.org/10.1016/j.catena.2016.07.011","http://dx.doi.org/10.1016/j.catena.2016.07.011")</f>
        <v>http://dx.doi.org/10.1016/j.catena.2016.07.011</v>
      </c>
      <c r="BG946" t="s">
        <v>74</v>
      </c>
      <c r="BH946" t="s">
        <v>74</v>
      </c>
      <c r="BI946">
        <v>12</v>
      </c>
      <c r="BJ946" t="s">
        <v>7222</v>
      </c>
      <c r="BK946" t="s">
        <v>103</v>
      </c>
      <c r="BL946" t="s">
        <v>7223</v>
      </c>
      <c r="BM946" t="s">
        <v>17650</v>
      </c>
      <c r="BN946" t="s">
        <v>74</v>
      </c>
      <c r="BO946" t="s">
        <v>231</v>
      </c>
      <c r="BP946" t="s">
        <v>74</v>
      </c>
      <c r="BQ946" t="s">
        <v>74</v>
      </c>
      <c r="BR946" t="s">
        <v>106</v>
      </c>
      <c r="BS946" t="s">
        <v>17667</v>
      </c>
      <c r="BT946" t="str">
        <f>HYPERLINK("https%3A%2F%2Fwww.webofscience.com%2Fwos%2Fwoscc%2Ffull-record%2FWOS:000390733900005","View Full Record in Web of Science")</f>
        <v>View Full Record in Web of Science</v>
      </c>
    </row>
    <row r="947" spans="1:72" x14ac:dyDescent="0.15">
      <c r="A947" t="s">
        <v>72</v>
      </c>
      <c r="B947" t="s">
        <v>17668</v>
      </c>
      <c r="C947" t="s">
        <v>74</v>
      </c>
      <c r="D947" t="s">
        <v>74</v>
      </c>
      <c r="E947" t="s">
        <v>74</v>
      </c>
      <c r="F947" t="s">
        <v>17669</v>
      </c>
      <c r="G947" t="s">
        <v>74</v>
      </c>
      <c r="H947" t="s">
        <v>74</v>
      </c>
      <c r="I947" t="s">
        <v>17670</v>
      </c>
      <c r="J947" t="s">
        <v>7205</v>
      </c>
      <c r="K947" t="s">
        <v>74</v>
      </c>
      <c r="L947" t="s">
        <v>74</v>
      </c>
      <c r="M947" t="s">
        <v>78</v>
      </c>
      <c r="N947" t="s">
        <v>79</v>
      </c>
      <c r="O947" t="s">
        <v>74</v>
      </c>
      <c r="P947" t="s">
        <v>74</v>
      </c>
      <c r="Q947" t="s">
        <v>74</v>
      </c>
      <c r="R947" t="s">
        <v>74</v>
      </c>
      <c r="S947" t="s">
        <v>74</v>
      </c>
      <c r="T947" t="s">
        <v>17671</v>
      </c>
      <c r="U947" t="s">
        <v>17672</v>
      </c>
      <c r="V947" t="s">
        <v>17673</v>
      </c>
      <c r="W947" t="s">
        <v>17674</v>
      </c>
      <c r="X947" t="s">
        <v>17675</v>
      </c>
      <c r="Y947" t="s">
        <v>17676</v>
      </c>
      <c r="Z947" t="s">
        <v>17677</v>
      </c>
      <c r="AA947" t="s">
        <v>17678</v>
      </c>
      <c r="AB947" t="s">
        <v>17679</v>
      </c>
      <c r="AC947" t="s">
        <v>17680</v>
      </c>
      <c r="AD947" t="s">
        <v>17681</v>
      </c>
      <c r="AE947" t="s">
        <v>17682</v>
      </c>
      <c r="AF947" t="s">
        <v>74</v>
      </c>
      <c r="AG947">
        <v>106</v>
      </c>
      <c r="AH947">
        <v>39</v>
      </c>
      <c r="AI947">
        <v>41</v>
      </c>
      <c r="AJ947">
        <v>0</v>
      </c>
      <c r="AK947">
        <v>56</v>
      </c>
      <c r="AL947" t="s">
        <v>317</v>
      </c>
      <c r="AM947" t="s">
        <v>318</v>
      </c>
      <c r="AN947" t="s">
        <v>319</v>
      </c>
      <c r="AO947" t="s">
        <v>7218</v>
      </c>
      <c r="AP947" t="s">
        <v>7219</v>
      </c>
      <c r="AQ947" t="s">
        <v>74</v>
      </c>
      <c r="AR947" t="s">
        <v>7205</v>
      </c>
      <c r="AS947" t="s">
        <v>7220</v>
      </c>
      <c r="AT947" t="s">
        <v>16127</v>
      </c>
      <c r="AU947">
        <v>2017</v>
      </c>
      <c r="AV947">
        <v>149</v>
      </c>
      <c r="AW947" t="s">
        <v>74</v>
      </c>
      <c r="AX947">
        <v>2</v>
      </c>
      <c r="AY947" t="s">
        <v>74</v>
      </c>
      <c r="AZ947" t="s">
        <v>100</v>
      </c>
      <c r="BA947" t="s">
        <v>74</v>
      </c>
      <c r="BB947">
        <v>560</v>
      </c>
      <c r="BC947">
        <v>571</v>
      </c>
      <c r="BD947" t="s">
        <v>74</v>
      </c>
      <c r="BE947" t="s">
        <v>17683</v>
      </c>
      <c r="BF947" t="str">
        <f>HYPERLINK("http://dx.doi.org/10.1016/j.catena.2016.08.027","http://dx.doi.org/10.1016/j.catena.2016.08.027")</f>
        <v>http://dx.doi.org/10.1016/j.catena.2016.08.027</v>
      </c>
      <c r="BG947" t="s">
        <v>74</v>
      </c>
      <c r="BH947" t="s">
        <v>74</v>
      </c>
      <c r="BI947">
        <v>12</v>
      </c>
      <c r="BJ947" t="s">
        <v>7222</v>
      </c>
      <c r="BK947" t="s">
        <v>103</v>
      </c>
      <c r="BL947" t="s">
        <v>7223</v>
      </c>
      <c r="BM947" t="s">
        <v>17650</v>
      </c>
      <c r="BN947" t="s">
        <v>74</v>
      </c>
      <c r="BO947" t="s">
        <v>231</v>
      </c>
      <c r="BP947" t="s">
        <v>74</v>
      </c>
      <c r="BQ947" t="s">
        <v>74</v>
      </c>
      <c r="BR947" t="s">
        <v>106</v>
      </c>
      <c r="BS947" t="s">
        <v>17684</v>
      </c>
      <c r="BT947" t="str">
        <f>HYPERLINK("https%3A%2F%2Fwww.webofscience.com%2Fwos%2Fwoscc%2Ffull-record%2FWOS:000390733900006","View Full Record in Web of Science")</f>
        <v>View Full Record in Web of Science</v>
      </c>
    </row>
    <row r="948" spans="1:72" x14ac:dyDescent="0.15">
      <c r="A948" t="s">
        <v>72</v>
      </c>
      <c r="B948" t="s">
        <v>17685</v>
      </c>
      <c r="C948" t="s">
        <v>74</v>
      </c>
      <c r="D948" t="s">
        <v>74</v>
      </c>
      <c r="E948" t="s">
        <v>74</v>
      </c>
      <c r="F948" t="s">
        <v>17686</v>
      </c>
      <c r="G948" t="s">
        <v>74</v>
      </c>
      <c r="H948" t="s">
        <v>74</v>
      </c>
      <c r="I948" t="s">
        <v>17687</v>
      </c>
      <c r="J948" t="s">
        <v>7205</v>
      </c>
      <c r="K948" t="s">
        <v>74</v>
      </c>
      <c r="L948" t="s">
        <v>74</v>
      </c>
      <c r="M948" t="s">
        <v>78</v>
      </c>
      <c r="N948" t="s">
        <v>79</v>
      </c>
      <c r="O948" t="s">
        <v>74</v>
      </c>
      <c r="P948" t="s">
        <v>74</v>
      </c>
      <c r="Q948" t="s">
        <v>74</v>
      </c>
      <c r="R948" t="s">
        <v>74</v>
      </c>
      <c r="S948" t="s">
        <v>74</v>
      </c>
      <c r="T948" t="s">
        <v>17688</v>
      </c>
      <c r="U948" t="s">
        <v>17689</v>
      </c>
      <c r="V948" t="s">
        <v>17690</v>
      </c>
      <c r="W948" t="s">
        <v>17691</v>
      </c>
      <c r="X948" t="s">
        <v>17692</v>
      </c>
      <c r="Y948" t="s">
        <v>17693</v>
      </c>
      <c r="Z948" t="s">
        <v>17694</v>
      </c>
      <c r="AA948" t="s">
        <v>17695</v>
      </c>
      <c r="AB948" t="s">
        <v>17696</v>
      </c>
      <c r="AC948" t="s">
        <v>17697</v>
      </c>
      <c r="AD948" t="s">
        <v>17698</v>
      </c>
      <c r="AE948" t="s">
        <v>17699</v>
      </c>
      <c r="AF948" t="s">
        <v>74</v>
      </c>
      <c r="AG948">
        <v>43</v>
      </c>
      <c r="AH948">
        <v>23</v>
      </c>
      <c r="AI948">
        <v>23</v>
      </c>
      <c r="AJ948">
        <v>0</v>
      </c>
      <c r="AK948">
        <v>42</v>
      </c>
      <c r="AL948" t="s">
        <v>317</v>
      </c>
      <c r="AM948" t="s">
        <v>318</v>
      </c>
      <c r="AN948" t="s">
        <v>319</v>
      </c>
      <c r="AO948" t="s">
        <v>7218</v>
      </c>
      <c r="AP948" t="s">
        <v>7219</v>
      </c>
      <c r="AQ948" t="s">
        <v>74</v>
      </c>
      <c r="AR948" t="s">
        <v>7205</v>
      </c>
      <c r="AS948" t="s">
        <v>7220</v>
      </c>
      <c r="AT948" t="s">
        <v>16127</v>
      </c>
      <c r="AU948">
        <v>2017</v>
      </c>
      <c r="AV948">
        <v>149</v>
      </c>
      <c r="AW948" t="s">
        <v>74</v>
      </c>
      <c r="AX948">
        <v>2</v>
      </c>
      <c r="AY948" t="s">
        <v>74</v>
      </c>
      <c r="AZ948" t="s">
        <v>100</v>
      </c>
      <c r="BA948" t="s">
        <v>74</v>
      </c>
      <c r="BB948">
        <v>582</v>
      </c>
      <c r="BC948">
        <v>591</v>
      </c>
      <c r="BD948" t="s">
        <v>74</v>
      </c>
      <c r="BE948" t="s">
        <v>17700</v>
      </c>
      <c r="BF948" t="str">
        <f>HYPERLINK("http://dx.doi.org/10.1016/j.catena.2016.07.021","http://dx.doi.org/10.1016/j.catena.2016.07.021")</f>
        <v>http://dx.doi.org/10.1016/j.catena.2016.07.021</v>
      </c>
      <c r="BG948" t="s">
        <v>74</v>
      </c>
      <c r="BH948" t="s">
        <v>74</v>
      </c>
      <c r="BI948">
        <v>10</v>
      </c>
      <c r="BJ948" t="s">
        <v>7222</v>
      </c>
      <c r="BK948" t="s">
        <v>103</v>
      </c>
      <c r="BL948" t="s">
        <v>7223</v>
      </c>
      <c r="BM948" t="s">
        <v>17650</v>
      </c>
      <c r="BN948" t="s">
        <v>74</v>
      </c>
      <c r="BO948" t="s">
        <v>74</v>
      </c>
      <c r="BP948" t="s">
        <v>74</v>
      </c>
      <c r="BQ948" t="s">
        <v>74</v>
      </c>
      <c r="BR948" t="s">
        <v>106</v>
      </c>
      <c r="BS948" t="s">
        <v>17701</v>
      </c>
      <c r="BT948" t="str">
        <f>HYPERLINK("https%3A%2F%2Fwww.webofscience.com%2Fwos%2Fwoscc%2Ffull-record%2FWOS:000390733900008","View Full Record in Web of Science")</f>
        <v>View Full Record in Web of Science</v>
      </c>
    </row>
    <row r="949" spans="1:72" x14ac:dyDescent="0.15">
      <c r="A949" t="s">
        <v>72</v>
      </c>
      <c r="B949" t="s">
        <v>17702</v>
      </c>
      <c r="C949" t="s">
        <v>74</v>
      </c>
      <c r="D949" t="s">
        <v>74</v>
      </c>
      <c r="E949" t="s">
        <v>74</v>
      </c>
      <c r="F949" t="s">
        <v>17703</v>
      </c>
      <c r="G949" t="s">
        <v>74</v>
      </c>
      <c r="H949" t="s">
        <v>74</v>
      </c>
      <c r="I949" t="s">
        <v>17704</v>
      </c>
      <c r="J949" t="s">
        <v>7205</v>
      </c>
      <c r="K949" t="s">
        <v>74</v>
      </c>
      <c r="L949" t="s">
        <v>74</v>
      </c>
      <c r="M949" t="s">
        <v>78</v>
      </c>
      <c r="N949" t="s">
        <v>79</v>
      </c>
      <c r="O949" t="s">
        <v>74</v>
      </c>
      <c r="P949" t="s">
        <v>74</v>
      </c>
      <c r="Q949" t="s">
        <v>74</v>
      </c>
      <c r="R949" t="s">
        <v>74</v>
      </c>
      <c r="S949" t="s">
        <v>74</v>
      </c>
      <c r="T949" t="s">
        <v>17705</v>
      </c>
      <c r="U949" t="s">
        <v>17706</v>
      </c>
      <c r="V949" t="s">
        <v>17707</v>
      </c>
      <c r="W949" t="s">
        <v>17708</v>
      </c>
      <c r="X949" t="s">
        <v>17709</v>
      </c>
      <c r="Y949" t="s">
        <v>17710</v>
      </c>
      <c r="Z949" t="s">
        <v>17711</v>
      </c>
      <c r="AA949" t="s">
        <v>17712</v>
      </c>
      <c r="AB949" t="s">
        <v>17713</v>
      </c>
      <c r="AC949" t="s">
        <v>17714</v>
      </c>
      <c r="AD949" t="s">
        <v>17715</v>
      </c>
      <c r="AE949" t="s">
        <v>17716</v>
      </c>
      <c r="AF949" t="s">
        <v>74</v>
      </c>
      <c r="AG949">
        <v>55</v>
      </c>
      <c r="AH949">
        <v>38</v>
      </c>
      <c r="AI949">
        <v>38</v>
      </c>
      <c r="AJ949">
        <v>0</v>
      </c>
      <c r="AK949">
        <v>27</v>
      </c>
      <c r="AL949" t="s">
        <v>317</v>
      </c>
      <c r="AM949" t="s">
        <v>318</v>
      </c>
      <c r="AN949" t="s">
        <v>319</v>
      </c>
      <c r="AO949" t="s">
        <v>7218</v>
      </c>
      <c r="AP949" t="s">
        <v>7219</v>
      </c>
      <c r="AQ949" t="s">
        <v>74</v>
      </c>
      <c r="AR949" t="s">
        <v>7205</v>
      </c>
      <c r="AS949" t="s">
        <v>7220</v>
      </c>
      <c r="AT949" t="s">
        <v>16127</v>
      </c>
      <c r="AU949">
        <v>2017</v>
      </c>
      <c r="AV949">
        <v>149</v>
      </c>
      <c r="AW949" t="s">
        <v>74</v>
      </c>
      <c r="AX949">
        <v>2</v>
      </c>
      <c r="AY949" t="s">
        <v>74</v>
      </c>
      <c r="AZ949" t="s">
        <v>100</v>
      </c>
      <c r="BA949" t="s">
        <v>74</v>
      </c>
      <c r="BB949">
        <v>592</v>
      </c>
      <c r="BC949">
        <v>602</v>
      </c>
      <c r="BD949" t="s">
        <v>74</v>
      </c>
      <c r="BE949" t="s">
        <v>17717</v>
      </c>
      <c r="BF949" t="str">
        <f>HYPERLINK("http://dx.doi.org/10.1016/j.catena.2016.06.020","http://dx.doi.org/10.1016/j.catena.2016.06.020")</f>
        <v>http://dx.doi.org/10.1016/j.catena.2016.06.020</v>
      </c>
      <c r="BG949" t="s">
        <v>74</v>
      </c>
      <c r="BH949" t="s">
        <v>74</v>
      </c>
      <c r="BI949">
        <v>11</v>
      </c>
      <c r="BJ949" t="s">
        <v>7222</v>
      </c>
      <c r="BK949" t="s">
        <v>103</v>
      </c>
      <c r="BL949" t="s">
        <v>7223</v>
      </c>
      <c r="BM949" t="s">
        <v>17650</v>
      </c>
      <c r="BN949" t="s">
        <v>74</v>
      </c>
      <c r="BO949" t="s">
        <v>74</v>
      </c>
      <c r="BP949" t="s">
        <v>74</v>
      </c>
      <c r="BQ949" t="s">
        <v>74</v>
      </c>
      <c r="BR949" t="s">
        <v>106</v>
      </c>
      <c r="BS949" t="s">
        <v>17718</v>
      </c>
      <c r="BT949" t="str">
        <f>HYPERLINK("https%3A%2F%2Fwww.webofscience.com%2Fwos%2Fwoscc%2Ffull-record%2FWOS:000390733900009","View Full Record in Web of Science")</f>
        <v>View Full Record in Web of Science</v>
      </c>
    </row>
    <row r="950" spans="1:72" x14ac:dyDescent="0.15">
      <c r="A950" t="s">
        <v>72</v>
      </c>
      <c r="B950" t="s">
        <v>17719</v>
      </c>
      <c r="C950" t="s">
        <v>74</v>
      </c>
      <c r="D950" t="s">
        <v>74</v>
      </c>
      <c r="E950" t="s">
        <v>74</v>
      </c>
      <c r="F950" t="s">
        <v>17720</v>
      </c>
      <c r="G950" t="s">
        <v>74</v>
      </c>
      <c r="H950" t="s">
        <v>74</v>
      </c>
      <c r="I950" t="s">
        <v>17721</v>
      </c>
      <c r="J950" t="s">
        <v>17722</v>
      </c>
      <c r="K950" t="s">
        <v>74</v>
      </c>
      <c r="L950" t="s">
        <v>74</v>
      </c>
      <c r="M950" t="s">
        <v>78</v>
      </c>
      <c r="N950" t="s">
        <v>79</v>
      </c>
      <c r="O950" t="s">
        <v>74</v>
      </c>
      <c r="P950" t="s">
        <v>74</v>
      </c>
      <c r="Q950" t="s">
        <v>74</v>
      </c>
      <c r="R950" t="s">
        <v>74</v>
      </c>
      <c r="S950" t="s">
        <v>74</v>
      </c>
      <c r="T950" t="s">
        <v>17723</v>
      </c>
      <c r="U950" t="s">
        <v>17724</v>
      </c>
      <c r="V950" t="s">
        <v>17725</v>
      </c>
      <c r="W950" t="s">
        <v>17726</v>
      </c>
      <c r="X950" t="s">
        <v>17727</v>
      </c>
      <c r="Y950" t="s">
        <v>17728</v>
      </c>
      <c r="Z950" t="s">
        <v>17729</v>
      </c>
      <c r="AA950" t="s">
        <v>17730</v>
      </c>
      <c r="AB950" t="s">
        <v>17731</v>
      </c>
      <c r="AC950" t="s">
        <v>74</v>
      </c>
      <c r="AD950" t="s">
        <v>74</v>
      </c>
      <c r="AE950" t="s">
        <v>74</v>
      </c>
      <c r="AF950" t="s">
        <v>74</v>
      </c>
      <c r="AG950">
        <v>45</v>
      </c>
      <c r="AH950">
        <v>52</v>
      </c>
      <c r="AI950">
        <v>54</v>
      </c>
      <c r="AJ950">
        <v>0</v>
      </c>
      <c r="AK950">
        <v>27</v>
      </c>
      <c r="AL950" t="s">
        <v>17254</v>
      </c>
      <c r="AM950" t="s">
        <v>17255</v>
      </c>
      <c r="AN950" t="s">
        <v>17256</v>
      </c>
      <c r="AO950" t="s">
        <v>17732</v>
      </c>
      <c r="AP950" t="s">
        <v>17733</v>
      </c>
      <c r="AQ950" t="s">
        <v>74</v>
      </c>
      <c r="AR950" t="s">
        <v>17734</v>
      </c>
      <c r="AS950" t="s">
        <v>17735</v>
      </c>
      <c r="AT950" t="s">
        <v>16146</v>
      </c>
      <c r="AU950">
        <v>2017</v>
      </c>
      <c r="AV950">
        <v>263</v>
      </c>
      <c r="AW950" t="s">
        <v>74</v>
      </c>
      <c r="AX950" t="s">
        <v>74</v>
      </c>
      <c r="AY950" t="s">
        <v>74</v>
      </c>
      <c r="AZ950" t="s">
        <v>74</v>
      </c>
      <c r="BA950" t="s">
        <v>74</v>
      </c>
      <c r="BB950">
        <v>36</v>
      </c>
      <c r="BC950">
        <v>45</v>
      </c>
      <c r="BD950" t="s">
        <v>74</v>
      </c>
      <c r="BE950" t="s">
        <v>17736</v>
      </c>
      <c r="BF950" t="str">
        <f>HYPERLINK("http://dx.doi.org/10.1016/j.cbi.2016.12.007","http://dx.doi.org/10.1016/j.cbi.2016.12.007")</f>
        <v>http://dx.doi.org/10.1016/j.cbi.2016.12.007</v>
      </c>
      <c r="BG950" t="s">
        <v>74</v>
      </c>
      <c r="BH950" t="s">
        <v>74</v>
      </c>
      <c r="BI950">
        <v>10</v>
      </c>
      <c r="BJ950" t="s">
        <v>17737</v>
      </c>
      <c r="BK950" t="s">
        <v>103</v>
      </c>
      <c r="BL950" t="s">
        <v>17737</v>
      </c>
      <c r="BM950" t="s">
        <v>17738</v>
      </c>
      <c r="BN950">
        <v>28012710</v>
      </c>
      <c r="BO950" t="s">
        <v>74</v>
      </c>
      <c r="BP950" t="s">
        <v>74</v>
      </c>
      <c r="BQ950" t="s">
        <v>74</v>
      </c>
      <c r="BR950" t="s">
        <v>106</v>
      </c>
      <c r="BS950" t="s">
        <v>17739</v>
      </c>
      <c r="BT950" t="str">
        <f>HYPERLINK("https%3A%2F%2Fwww.webofscience.com%2Fwos%2Fwoscc%2Ffull-record%2FWOS:000394070500005","View Full Record in Web of Science")</f>
        <v>View Full Record in Web of Science</v>
      </c>
    </row>
    <row r="951" spans="1:72" x14ac:dyDescent="0.15">
      <c r="A951" t="s">
        <v>72</v>
      </c>
      <c r="B951" t="s">
        <v>17740</v>
      </c>
      <c r="C951" t="s">
        <v>74</v>
      </c>
      <c r="D951" t="s">
        <v>74</v>
      </c>
      <c r="E951" t="s">
        <v>74</v>
      </c>
      <c r="F951" t="s">
        <v>17741</v>
      </c>
      <c r="G951" t="s">
        <v>74</v>
      </c>
      <c r="H951" t="s">
        <v>74</v>
      </c>
      <c r="I951" t="s">
        <v>17742</v>
      </c>
      <c r="J951" t="s">
        <v>895</v>
      </c>
      <c r="K951" t="s">
        <v>74</v>
      </c>
      <c r="L951" t="s">
        <v>74</v>
      </c>
      <c r="M951" t="s">
        <v>78</v>
      </c>
      <c r="N951" t="s">
        <v>79</v>
      </c>
      <c r="O951" t="s">
        <v>74</v>
      </c>
      <c r="P951" t="s">
        <v>74</v>
      </c>
      <c r="Q951" t="s">
        <v>74</v>
      </c>
      <c r="R951" t="s">
        <v>74</v>
      </c>
      <c r="S951" t="s">
        <v>74</v>
      </c>
      <c r="T951" t="s">
        <v>17743</v>
      </c>
      <c r="U951" t="s">
        <v>17744</v>
      </c>
      <c r="V951" t="s">
        <v>17745</v>
      </c>
      <c r="W951" t="s">
        <v>17746</v>
      </c>
      <c r="X951" t="s">
        <v>17747</v>
      </c>
      <c r="Y951" t="s">
        <v>17748</v>
      </c>
      <c r="Z951" t="s">
        <v>17749</v>
      </c>
      <c r="AA951" t="s">
        <v>17750</v>
      </c>
      <c r="AB951" t="s">
        <v>17751</v>
      </c>
      <c r="AC951" t="s">
        <v>17752</v>
      </c>
      <c r="AD951" t="s">
        <v>17753</v>
      </c>
      <c r="AE951" t="s">
        <v>17754</v>
      </c>
      <c r="AF951" t="s">
        <v>74</v>
      </c>
      <c r="AG951">
        <v>93</v>
      </c>
      <c r="AH951">
        <v>21</v>
      </c>
      <c r="AI951">
        <v>22</v>
      </c>
      <c r="AJ951">
        <v>1</v>
      </c>
      <c r="AK951">
        <v>63</v>
      </c>
      <c r="AL951" t="s">
        <v>656</v>
      </c>
      <c r="AM951" t="s">
        <v>93</v>
      </c>
      <c r="AN951" t="s">
        <v>657</v>
      </c>
      <c r="AO951" t="s">
        <v>911</v>
      </c>
      <c r="AP951" t="s">
        <v>912</v>
      </c>
      <c r="AQ951" t="s">
        <v>74</v>
      </c>
      <c r="AR951" t="s">
        <v>913</v>
      </c>
      <c r="AS951" t="s">
        <v>914</v>
      </c>
      <c r="AT951" t="s">
        <v>16127</v>
      </c>
      <c r="AU951">
        <v>2017</v>
      </c>
      <c r="AV951">
        <v>136</v>
      </c>
      <c r="AW951" t="s">
        <v>74</v>
      </c>
      <c r="AX951" t="s">
        <v>74</v>
      </c>
      <c r="AY951" t="s">
        <v>74</v>
      </c>
      <c r="AZ951" t="s">
        <v>100</v>
      </c>
      <c r="BA951" t="s">
        <v>74</v>
      </c>
      <c r="BB951">
        <v>59</v>
      </c>
      <c r="BC951">
        <v>72</v>
      </c>
      <c r="BD951" t="s">
        <v>74</v>
      </c>
      <c r="BE951" t="s">
        <v>17755</v>
      </c>
      <c r="BF951" t="str">
        <f>HYPERLINK("http://dx.doi.org/10.1016/j.dsr2.2016.12.008","http://dx.doi.org/10.1016/j.dsr2.2016.12.008")</f>
        <v>http://dx.doi.org/10.1016/j.dsr2.2016.12.008</v>
      </c>
      <c r="BG951" t="s">
        <v>74</v>
      </c>
      <c r="BH951" t="s">
        <v>74</v>
      </c>
      <c r="BI951">
        <v>14</v>
      </c>
      <c r="BJ951" t="s">
        <v>127</v>
      </c>
      <c r="BK951" t="s">
        <v>103</v>
      </c>
      <c r="BL951" t="s">
        <v>127</v>
      </c>
      <c r="BM951" t="s">
        <v>17756</v>
      </c>
      <c r="BN951" t="s">
        <v>74</v>
      </c>
      <c r="BO951" t="s">
        <v>74</v>
      </c>
      <c r="BP951" t="s">
        <v>74</v>
      </c>
      <c r="BQ951" t="s">
        <v>74</v>
      </c>
      <c r="BR951" t="s">
        <v>106</v>
      </c>
      <c r="BS951" t="s">
        <v>17757</v>
      </c>
      <c r="BT951" t="str">
        <f>HYPERLINK("https%3A%2F%2Fwww.webofscience.com%2Fwos%2Fwoscc%2Ffull-record%2FWOS:000395228700005","View Full Record in Web of Science")</f>
        <v>View Full Record in Web of Science</v>
      </c>
    </row>
    <row r="952" spans="1:72" x14ac:dyDescent="0.15">
      <c r="A952" t="s">
        <v>72</v>
      </c>
      <c r="B952" t="s">
        <v>17758</v>
      </c>
      <c r="C952" t="s">
        <v>74</v>
      </c>
      <c r="D952" t="s">
        <v>74</v>
      </c>
      <c r="E952" t="s">
        <v>74</v>
      </c>
      <c r="F952" t="s">
        <v>17759</v>
      </c>
      <c r="G952" t="s">
        <v>74</v>
      </c>
      <c r="H952" t="s">
        <v>74</v>
      </c>
      <c r="I952" t="s">
        <v>17760</v>
      </c>
      <c r="J952" t="s">
        <v>3239</v>
      </c>
      <c r="K952" t="s">
        <v>74</v>
      </c>
      <c r="L952" t="s">
        <v>74</v>
      </c>
      <c r="M952" t="s">
        <v>78</v>
      </c>
      <c r="N952" t="s">
        <v>79</v>
      </c>
      <c r="O952" t="s">
        <v>74</v>
      </c>
      <c r="P952" t="s">
        <v>74</v>
      </c>
      <c r="Q952" t="s">
        <v>74</v>
      </c>
      <c r="R952" t="s">
        <v>74</v>
      </c>
      <c r="S952" t="s">
        <v>74</v>
      </c>
      <c r="T952" t="s">
        <v>17761</v>
      </c>
      <c r="U952" t="s">
        <v>17762</v>
      </c>
      <c r="V952" t="s">
        <v>17763</v>
      </c>
      <c r="W952" t="s">
        <v>17764</v>
      </c>
      <c r="X952" t="s">
        <v>17765</v>
      </c>
      <c r="Y952" t="s">
        <v>17766</v>
      </c>
      <c r="Z952" t="s">
        <v>17767</v>
      </c>
      <c r="AA952" t="s">
        <v>17768</v>
      </c>
      <c r="AB952" t="s">
        <v>17769</v>
      </c>
      <c r="AC952" t="s">
        <v>17770</v>
      </c>
      <c r="AD952" t="s">
        <v>17771</v>
      </c>
      <c r="AE952" t="s">
        <v>17772</v>
      </c>
      <c r="AF952" t="s">
        <v>74</v>
      </c>
      <c r="AG952">
        <v>51</v>
      </c>
      <c r="AH952">
        <v>24</v>
      </c>
      <c r="AI952">
        <v>25</v>
      </c>
      <c r="AJ952">
        <v>2</v>
      </c>
      <c r="AK952">
        <v>30</v>
      </c>
      <c r="AL952" t="s">
        <v>317</v>
      </c>
      <c r="AM952" t="s">
        <v>318</v>
      </c>
      <c r="AN952" t="s">
        <v>319</v>
      </c>
      <c r="AO952" t="s">
        <v>3251</v>
      </c>
      <c r="AP952" t="s">
        <v>3252</v>
      </c>
      <c r="AQ952" t="s">
        <v>74</v>
      </c>
      <c r="AR952" t="s">
        <v>3253</v>
      </c>
      <c r="AS952" t="s">
        <v>3254</v>
      </c>
      <c r="AT952" t="s">
        <v>16146</v>
      </c>
      <c r="AU952">
        <v>2017</v>
      </c>
      <c r="AV952">
        <v>459</v>
      </c>
      <c r="AW952" t="s">
        <v>74</v>
      </c>
      <c r="AX952" t="s">
        <v>74</v>
      </c>
      <c r="AY952" t="s">
        <v>74</v>
      </c>
      <c r="AZ952" t="s">
        <v>74</v>
      </c>
      <c r="BA952" t="s">
        <v>74</v>
      </c>
      <c r="BB952">
        <v>136</v>
      </c>
      <c r="BC952">
        <v>144</v>
      </c>
      <c r="BD952" t="s">
        <v>74</v>
      </c>
      <c r="BE952" t="s">
        <v>17773</v>
      </c>
      <c r="BF952" t="str">
        <f>HYPERLINK("http://dx.doi.org/10.1016/j.epsl.2016.11.006","http://dx.doi.org/10.1016/j.epsl.2016.11.006")</f>
        <v>http://dx.doi.org/10.1016/j.epsl.2016.11.006</v>
      </c>
      <c r="BG952" t="s">
        <v>74</v>
      </c>
      <c r="BH952" t="s">
        <v>74</v>
      </c>
      <c r="BI952">
        <v>9</v>
      </c>
      <c r="BJ952" t="s">
        <v>176</v>
      </c>
      <c r="BK952" t="s">
        <v>103</v>
      </c>
      <c r="BL952" t="s">
        <v>176</v>
      </c>
      <c r="BM952" t="s">
        <v>17774</v>
      </c>
      <c r="BN952" t="s">
        <v>74</v>
      </c>
      <c r="BO952" t="s">
        <v>74</v>
      </c>
      <c r="BP952" t="s">
        <v>74</v>
      </c>
      <c r="BQ952" t="s">
        <v>74</v>
      </c>
      <c r="BR952" t="s">
        <v>106</v>
      </c>
      <c r="BS952" t="s">
        <v>17775</v>
      </c>
      <c r="BT952" t="str">
        <f>HYPERLINK("https%3A%2F%2Fwww.webofscience.com%2Fwos%2Fwoscc%2Ffull-record%2FWOS:000393006500013","View Full Record in Web of Science")</f>
        <v>View Full Record in Web of Science</v>
      </c>
    </row>
    <row r="953" spans="1:72" x14ac:dyDescent="0.15">
      <c r="A953" t="s">
        <v>72</v>
      </c>
      <c r="B953" t="s">
        <v>17776</v>
      </c>
      <c r="C953" t="s">
        <v>74</v>
      </c>
      <c r="D953" t="s">
        <v>74</v>
      </c>
      <c r="E953" t="s">
        <v>74</v>
      </c>
      <c r="F953" t="s">
        <v>17777</v>
      </c>
      <c r="G953" t="s">
        <v>74</v>
      </c>
      <c r="H953" t="s">
        <v>74</v>
      </c>
      <c r="I953" t="s">
        <v>17778</v>
      </c>
      <c r="J953" t="s">
        <v>1204</v>
      </c>
      <c r="K953" t="s">
        <v>74</v>
      </c>
      <c r="L953" t="s">
        <v>74</v>
      </c>
      <c r="M953" t="s">
        <v>78</v>
      </c>
      <c r="N953" t="s">
        <v>79</v>
      </c>
      <c r="O953" t="s">
        <v>74</v>
      </c>
      <c r="P953" t="s">
        <v>74</v>
      </c>
      <c r="Q953" t="s">
        <v>74</v>
      </c>
      <c r="R953" t="s">
        <v>74</v>
      </c>
      <c r="S953" t="s">
        <v>74</v>
      </c>
      <c r="T953" t="s">
        <v>17779</v>
      </c>
      <c r="U953" t="s">
        <v>17780</v>
      </c>
      <c r="V953" t="s">
        <v>17781</v>
      </c>
      <c r="W953" t="s">
        <v>17782</v>
      </c>
      <c r="X953" t="s">
        <v>17783</v>
      </c>
      <c r="Y953" t="s">
        <v>17784</v>
      </c>
      <c r="Z953" t="s">
        <v>17785</v>
      </c>
      <c r="AA953" t="s">
        <v>17786</v>
      </c>
      <c r="AB953" t="s">
        <v>17787</v>
      </c>
      <c r="AC953" t="s">
        <v>17788</v>
      </c>
      <c r="AD953" t="s">
        <v>17789</v>
      </c>
      <c r="AE953" t="s">
        <v>17790</v>
      </c>
      <c r="AF953" t="s">
        <v>74</v>
      </c>
      <c r="AG953">
        <v>50</v>
      </c>
      <c r="AH953">
        <v>109</v>
      </c>
      <c r="AI953">
        <v>130</v>
      </c>
      <c r="AJ953">
        <v>5</v>
      </c>
      <c r="AK953">
        <v>68</v>
      </c>
      <c r="AL953" t="s">
        <v>681</v>
      </c>
      <c r="AM953" t="s">
        <v>682</v>
      </c>
      <c r="AN953" t="s">
        <v>683</v>
      </c>
      <c r="AO953" t="s">
        <v>1217</v>
      </c>
      <c r="AP953" t="s">
        <v>74</v>
      </c>
      <c r="AQ953" t="s">
        <v>74</v>
      </c>
      <c r="AR953" t="s">
        <v>1218</v>
      </c>
      <c r="AS953" t="s">
        <v>1219</v>
      </c>
      <c r="AT953" t="s">
        <v>16127</v>
      </c>
      <c r="AU953">
        <v>2017</v>
      </c>
      <c r="AV953">
        <v>7</v>
      </c>
      <c r="AW953">
        <v>3</v>
      </c>
      <c r="AX953" t="s">
        <v>74</v>
      </c>
      <c r="AY953" t="s">
        <v>74</v>
      </c>
      <c r="AZ953" t="s">
        <v>74</v>
      </c>
      <c r="BA953" t="s">
        <v>74</v>
      </c>
      <c r="BB953">
        <v>873</v>
      </c>
      <c r="BC953">
        <v>883</v>
      </c>
      <c r="BD953" t="s">
        <v>74</v>
      </c>
      <c r="BE953" t="s">
        <v>17791</v>
      </c>
      <c r="BF953" t="str">
        <f>HYPERLINK("http://dx.doi.org/10.1002/ece3.2667","http://dx.doi.org/10.1002/ece3.2667")</f>
        <v>http://dx.doi.org/10.1002/ece3.2667</v>
      </c>
      <c r="BG953" t="s">
        <v>74</v>
      </c>
      <c r="BH953" t="s">
        <v>74</v>
      </c>
      <c r="BI953">
        <v>11</v>
      </c>
      <c r="BJ953" t="s">
        <v>1221</v>
      </c>
      <c r="BK953" t="s">
        <v>103</v>
      </c>
      <c r="BL953" t="s">
        <v>1222</v>
      </c>
      <c r="BM953" t="s">
        <v>17792</v>
      </c>
      <c r="BN953">
        <v>28168024</v>
      </c>
      <c r="BO953" t="s">
        <v>3679</v>
      </c>
      <c r="BP953" t="s">
        <v>74</v>
      </c>
      <c r="BQ953" t="s">
        <v>74</v>
      </c>
      <c r="BR953" t="s">
        <v>106</v>
      </c>
      <c r="BS953" t="s">
        <v>17793</v>
      </c>
      <c r="BT953" t="str">
        <f>HYPERLINK("https%3A%2F%2Fwww.webofscience.com%2Fwos%2Fwoscc%2Ffull-record%2FWOS:000394504100009","View Full Record in Web of Science")</f>
        <v>View Full Record in Web of Science</v>
      </c>
    </row>
    <row r="954" spans="1:72" x14ac:dyDescent="0.15">
      <c r="A954" t="s">
        <v>72</v>
      </c>
      <c r="B954" t="s">
        <v>17794</v>
      </c>
      <c r="C954" t="s">
        <v>74</v>
      </c>
      <c r="D954" t="s">
        <v>74</v>
      </c>
      <c r="E954" t="s">
        <v>74</v>
      </c>
      <c r="F954" t="s">
        <v>17795</v>
      </c>
      <c r="G954" t="s">
        <v>74</v>
      </c>
      <c r="H954" t="s">
        <v>74</v>
      </c>
      <c r="I954" t="s">
        <v>17796</v>
      </c>
      <c r="J954" t="s">
        <v>17797</v>
      </c>
      <c r="K954" t="s">
        <v>74</v>
      </c>
      <c r="L954" t="s">
        <v>74</v>
      </c>
      <c r="M954" t="s">
        <v>78</v>
      </c>
      <c r="N954" t="s">
        <v>79</v>
      </c>
      <c r="O954" t="s">
        <v>74</v>
      </c>
      <c r="P954" t="s">
        <v>74</v>
      </c>
      <c r="Q954" t="s">
        <v>74</v>
      </c>
      <c r="R954" t="s">
        <v>74</v>
      </c>
      <c r="S954" t="s">
        <v>74</v>
      </c>
      <c r="T954" t="s">
        <v>17798</v>
      </c>
      <c r="U954" t="s">
        <v>17799</v>
      </c>
      <c r="V954" t="s">
        <v>17800</v>
      </c>
      <c r="W954" t="s">
        <v>17801</v>
      </c>
      <c r="X954" t="s">
        <v>17802</v>
      </c>
      <c r="Y954" t="s">
        <v>17803</v>
      </c>
      <c r="Z954" t="s">
        <v>17804</v>
      </c>
      <c r="AA954" t="s">
        <v>17805</v>
      </c>
      <c r="AB954" t="s">
        <v>17806</v>
      </c>
      <c r="AC954" t="s">
        <v>17807</v>
      </c>
      <c r="AD954" t="s">
        <v>17808</v>
      </c>
      <c r="AE954" t="s">
        <v>17809</v>
      </c>
      <c r="AF954" t="s">
        <v>74</v>
      </c>
      <c r="AG954">
        <v>42</v>
      </c>
      <c r="AH954">
        <v>9</v>
      </c>
      <c r="AI954">
        <v>10</v>
      </c>
      <c r="AJ954">
        <v>0</v>
      </c>
      <c r="AK954">
        <v>27</v>
      </c>
      <c r="AL954" t="s">
        <v>3295</v>
      </c>
      <c r="AM954" t="s">
        <v>3296</v>
      </c>
      <c r="AN954" t="s">
        <v>3297</v>
      </c>
      <c r="AO954" t="s">
        <v>17810</v>
      </c>
      <c r="AP954" t="s">
        <v>17811</v>
      </c>
      <c r="AQ954" t="s">
        <v>74</v>
      </c>
      <c r="AR954" t="s">
        <v>17812</v>
      </c>
      <c r="AS954" t="s">
        <v>17813</v>
      </c>
      <c r="AT954" t="s">
        <v>16127</v>
      </c>
      <c r="AU954">
        <v>2017</v>
      </c>
      <c r="AV954">
        <v>136</v>
      </c>
      <c r="AW954" t="s">
        <v>74</v>
      </c>
      <c r="AX954" t="s">
        <v>74</v>
      </c>
      <c r="AY954" t="s">
        <v>74</v>
      </c>
      <c r="AZ954" t="s">
        <v>74</v>
      </c>
      <c r="BA954" t="s">
        <v>74</v>
      </c>
      <c r="BB954">
        <v>70</v>
      </c>
      <c r="BC954">
        <v>77</v>
      </c>
      <c r="BD954" t="s">
        <v>74</v>
      </c>
      <c r="BE954" t="s">
        <v>17814</v>
      </c>
      <c r="BF954" t="str">
        <f>HYPERLINK("http://dx.doi.org/10.1016/j.ecoenv.2016.10.025","http://dx.doi.org/10.1016/j.ecoenv.2016.10.025")</f>
        <v>http://dx.doi.org/10.1016/j.ecoenv.2016.10.025</v>
      </c>
      <c r="BG954" t="s">
        <v>74</v>
      </c>
      <c r="BH954" t="s">
        <v>74</v>
      </c>
      <c r="BI954">
        <v>8</v>
      </c>
      <c r="BJ954" t="s">
        <v>761</v>
      </c>
      <c r="BK954" t="s">
        <v>103</v>
      </c>
      <c r="BL954" t="s">
        <v>762</v>
      </c>
      <c r="BM954" t="s">
        <v>17815</v>
      </c>
      <c r="BN954">
        <v>27816837</v>
      </c>
      <c r="BO954" t="s">
        <v>74</v>
      </c>
      <c r="BP954" t="s">
        <v>74</v>
      </c>
      <c r="BQ954" t="s">
        <v>74</v>
      </c>
      <c r="BR954" t="s">
        <v>106</v>
      </c>
      <c r="BS954" t="s">
        <v>17816</v>
      </c>
      <c r="BT954" t="str">
        <f>HYPERLINK("https%3A%2F%2Fwww.webofscience.com%2Fwos%2Fwoscc%2Ffull-record%2FWOS:000390977600010","View Full Record in Web of Science")</f>
        <v>View Full Record in Web of Science</v>
      </c>
    </row>
    <row r="955" spans="1:72" x14ac:dyDescent="0.15">
      <c r="A955" t="s">
        <v>72</v>
      </c>
      <c r="B955" t="s">
        <v>17817</v>
      </c>
      <c r="C955" t="s">
        <v>74</v>
      </c>
      <c r="D955" t="s">
        <v>74</v>
      </c>
      <c r="E955" t="s">
        <v>74</v>
      </c>
      <c r="F955" t="s">
        <v>17818</v>
      </c>
      <c r="G955" t="s">
        <v>74</v>
      </c>
      <c r="H955" t="s">
        <v>74</v>
      </c>
      <c r="I955" t="s">
        <v>17819</v>
      </c>
      <c r="J955" t="s">
        <v>951</v>
      </c>
      <c r="K955" t="s">
        <v>74</v>
      </c>
      <c r="L955" t="s">
        <v>74</v>
      </c>
      <c r="M955" t="s">
        <v>78</v>
      </c>
      <c r="N955" t="s">
        <v>79</v>
      </c>
      <c r="O955" t="s">
        <v>74</v>
      </c>
      <c r="P955" t="s">
        <v>74</v>
      </c>
      <c r="Q955" t="s">
        <v>74</v>
      </c>
      <c r="R955" t="s">
        <v>74</v>
      </c>
      <c r="S955" t="s">
        <v>74</v>
      </c>
      <c r="T955" t="s">
        <v>74</v>
      </c>
      <c r="U955" t="s">
        <v>17820</v>
      </c>
      <c r="V955" t="s">
        <v>17821</v>
      </c>
      <c r="W955" t="s">
        <v>17822</v>
      </c>
      <c r="X955" t="s">
        <v>17823</v>
      </c>
      <c r="Y955" t="s">
        <v>17824</v>
      </c>
      <c r="Z955" t="s">
        <v>17825</v>
      </c>
      <c r="AA955" t="s">
        <v>9585</v>
      </c>
      <c r="AB955" t="s">
        <v>17826</v>
      </c>
      <c r="AC955" t="s">
        <v>17827</v>
      </c>
      <c r="AD955" t="s">
        <v>17828</v>
      </c>
      <c r="AE955" t="s">
        <v>17829</v>
      </c>
      <c r="AF955" t="s">
        <v>74</v>
      </c>
      <c r="AG955">
        <v>63</v>
      </c>
      <c r="AH955">
        <v>49</v>
      </c>
      <c r="AI955">
        <v>54</v>
      </c>
      <c r="AJ955">
        <v>1</v>
      </c>
      <c r="AK955">
        <v>91</v>
      </c>
      <c r="AL955" t="s">
        <v>681</v>
      </c>
      <c r="AM955" t="s">
        <v>682</v>
      </c>
      <c r="AN955" t="s">
        <v>683</v>
      </c>
      <c r="AO955" t="s">
        <v>963</v>
      </c>
      <c r="AP955" t="s">
        <v>964</v>
      </c>
      <c r="AQ955" t="s">
        <v>74</v>
      </c>
      <c r="AR955" t="s">
        <v>965</v>
      </c>
      <c r="AS955" t="s">
        <v>966</v>
      </c>
      <c r="AT955" t="s">
        <v>16127</v>
      </c>
      <c r="AU955">
        <v>2017</v>
      </c>
      <c r="AV955">
        <v>19</v>
      </c>
      <c r="AW955">
        <v>2</v>
      </c>
      <c r="AX955" t="s">
        <v>74</v>
      </c>
      <c r="AY955" t="s">
        <v>74</v>
      </c>
      <c r="AZ955" t="s">
        <v>74</v>
      </c>
      <c r="BA955" t="s">
        <v>74</v>
      </c>
      <c r="BB955">
        <v>443</v>
      </c>
      <c r="BC955">
        <v>458</v>
      </c>
      <c r="BD955" t="s">
        <v>74</v>
      </c>
      <c r="BE955" t="s">
        <v>17830</v>
      </c>
      <c r="BF955" t="str">
        <f>HYPERLINK("http://dx.doi.org/10.1111/1462-2920.13353","http://dx.doi.org/10.1111/1462-2920.13353")</f>
        <v>http://dx.doi.org/10.1111/1462-2920.13353</v>
      </c>
      <c r="BG955" t="s">
        <v>74</v>
      </c>
      <c r="BH955" t="s">
        <v>74</v>
      </c>
      <c r="BI955">
        <v>16</v>
      </c>
      <c r="BJ955" t="s">
        <v>410</v>
      </c>
      <c r="BK955" t="s">
        <v>103</v>
      </c>
      <c r="BL955" t="s">
        <v>410</v>
      </c>
      <c r="BM955" t="s">
        <v>16393</v>
      </c>
      <c r="BN955">
        <v>27129741</v>
      </c>
      <c r="BO955" t="s">
        <v>74</v>
      </c>
      <c r="BP955" t="s">
        <v>74</v>
      </c>
      <c r="BQ955" t="s">
        <v>74</v>
      </c>
      <c r="BR955" t="s">
        <v>106</v>
      </c>
      <c r="BS955" t="s">
        <v>17831</v>
      </c>
      <c r="BT955" t="str">
        <f>HYPERLINK("https%3A%2F%2Fwww.webofscience.com%2Fwos%2Fwoscc%2Ffull-record%2FWOS:000394973000009","View Full Record in Web of Science")</f>
        <v>View Full Record in Web of Science</v>
      </c>
    </row>
    <row r="956" spans="1:72" x14ac:dyDescent="0.15">
      <c r="A956" t="s">
        <v>72</v>
      </c>
      <c r="B956" t="s">
        <v>17832</v>
      </c>
      <c r="C956" t="s">
        <v>74</v>
      </c>
      <c r="D956" t="s">
        <v>74</v>
      </c>
      <c r="E956" t="s">
        <v>74</v>
      </c>
      <c r="F956" t="s">
        <v>17833</v>
      </c>
      <c r="G956" t="s">
        <v>74</v>
      </c>
      <c r="H956" t="s">
        <v>74</v>
      </c>
      <c r="I956" t="s">
        <v>17834</v>
      </c>
      <c r="J956" t="s">
        <v>951</v>
      </c>
      <c r="K956" t="s">
        <v>74</v>
      </c>
      <c r="L956" t="s">
        <v>74</v>
      </c>
      <c r="M956" t="s">
        <v>78</v>
      </c>
      <c r="N956" t="s">
        <v>79</v>
      </c>
      <c r="O956" t="s">
        <v>74</v>
      </c>
      <c r="P956" t="s">
        <v>74</v>
      </c>
      <c r="Q956" t="s">
        <v>74</v>
      </c>
      <c r="R956" t="s">
        <v>74</v>
      </c>
      <c r="S956" t="s">
        <v>74</v>
      </c>
      <c r="T956" t="s">
        <v>74</v>
      </c>
      <c r="U956" t="s">
        <v>17835</v>
      </c>
      <c r="V956" t="s">
        <v>17836</v>
      </c>
      <c r="W956" t="s">
        <v>17837</v>
      </c>
      <c r="X956" t="s">
        <v>17838</v>
      </c>
      <c r="Y956" t="s">
        <v>17839</v>
      </c>
      <c r="Z956" t="s">
        <v>17840</v>
      </c>
      <c r="AA956" t="s">
        <v>74</v>
      </c>
      <c r="AB956" t="s">
        <v>6303</v>
      </c>
      <c r="AC956" t="s">
        <v>17841</v>
      </c>
      <c r="AD956" t="s">
        <v>17842</v>
      </c>
      <c r="AE956" t="s">
        <v>17843</v>
      </c>
      <c r="AF956" t="s">
        <v>74</v>
      </c>
      <c r="AG956">
        <v>87</v>
      </c>
      <c r="AH956">
        <v>13</v>
      </c>
      <c r="AI956">
        <v>14</v>
      </c>
      <c r="AJ956">
        <v>2</v>
      </c>
      <c r="AK956">
        <v>39</v>
      </c>
      <c r="AL956" t="s">
        <v>681</v>
      </c>
      <c r="AM956" t="s">
        <v>682</v>
      </c>
      <c r="AN956" t="s">
        <v>683</v>
      </c>
      <c r="AO956" t="s">
        <v>963</v>
      </c>
      <c r="AP956" t="s">
        <v>964</v>
      </c>
      <c r="AQ956" t="s">
        <v>74</v>
      </c>
      <c r="AR956" t="s">
        <v>965</v>
      </c>
      <c r="AS956" t="s">
        <v>966</v>
      </c>
      <c r="AT956" t="s">
        <v>16127</v>
      </c>
      <c r="AU956">
        <v>2017</v>
      </c>
      <c r="AV956">
        <v>19</v>
      </c>
      <c r="AW956">
        <v>2</v>
      </c>
      <c r="AX956" t="s">
        <v>74</v>
      </c>
      <c r="AY956" t="s">
        <v>74</v>
      </c>
      <c r="AZ956" t="s">
        <v>74</v>
      </c>
      <c r="BA956" t="s">
        <v>74</v>
      </c>
      <c r="BB956">
        <v>740</v>
      </c>
      <c r="BC956">
        <v>755</v>
      </c>
      <c r="BD956" t="s">
        <v>74</v>
      </c>
      <c r="BE956" t="s">
        <v>17844</v>
      </c>
      <c r="BF956" t="str">
        <f>HYPERLINK("http://dx.doi.org/10.1111/1462-2920.13627","http://dx.doi.org/10.1111/1462-2920.13627")</f>
        <v>http://dx.doi.org/10.1111/1462-2920.13627</v>
      </c>
      <c r="BG956" t="s">
        <v>74</v>
      </c>
      <c r="BH956" t="s">
        <v>74</v>
      </c>
      <c r="BI956">
        <v>16</v>
      </c>
      <c r="BJ956" t="s">
        <v>410</v>
      </c>
      <c r="BK956" t="s">
        <v>103</v>
      </c>
      <c r="BL956" t="s">
        <v>410</v>
      </c>
      <c r="BM956" t="s">
        <v>16393</v>
      </c>
      <c r="BN956">
        <v>27902869</v>
      </c>
      <c r="BO956" t="s">
        <v>1100</v>
      </c>
      <c r="BP956" t="s">
        <v>74</v>
      </c>
      <c r="BQ956" t="s">
        <v>74</v>
      </c>
      <c r="BR956" t="s">
        <v>106</v>
      </c>
      <c r="BS956" t="s">
        <v>17845</v>
      </c>
      <c r="BT956" t="str">
        <f>HYPERLINK("https%3A%2F%2Fwww.webofscience.com%2Fwos%2Fwoscc%2Ffull-record%2FWOS:000394973000030","View Full Record in Web of Science")</f>
        <v>View Full Record in Web of Science</v>
      </c>
    </row>
    <row r="957" spans="1:72" x14ac:dyDescent="0.15">
      <c r="A957" t="s">
        <v>72</v>
      </c>
      <c r="B957" t="s">
        <v>17846</v>
      </c>
      <c r="C957" t="s">
        <v>74</v>
      </c>
      <c r="D957" t="s">
        <v>74</v>
      </c>
      <c r="E957" t="s">
        <v>74</v>
      </c>
      <c r="F957" t="s">
        <v>17847</v>
      </c>
      <c r="G957" t="s">
        <v>74</v>
      </c>
      <c r="H957" t="s">
        <v>74</v>
      </c>
      <c r="I957" t="s">
        <v>17848</v>
      </c>
      <c r="J957" t="s">
        <v>17849</v>
      </c>
      <c r="K957" t="s">
        <v>74</v>
      </c>
      <c r="L957" t="s">
        <v>74</v>
      </c>
      <c r="M957" t="s">
        <v>78</v>
      </c>
      <c r="N957" t="s">
        <v>79</v>
      </c>
      <c r="O957" t="s">
        <v>74</v>
      </c>
      <c r="P957" t="s">
        <v>74</v>
      </c>
      <c r="Q957" t="s">
        <v>74</v>
      </c>
      <c r="R957" t="s">
        <v>74</v>
      </c>
      <c r="S957" t="s">
        <v>74</v>
      </c>
      <c r="T957" t="s">
        <v>17850</v>
      </c>
      <c r="U957" t="s">
        <v>17851</v>
      </c>
      <c r="V957" t="s">
        <v>17852</v>
      </c>
      <c r="W957" t="s">
        <v>17853</v>
      </c>
      <c r="X957" t="s">
        <v>17854</v>
      </c>
      <c r="Y957" t="s">
        <v>17855</v>
      </c>
      <c r="Z957" t="s">
        <v>17856</v>
      </c>
      <c r="AA957" t="s">
        <v>17857</v>
      </c>
      <c r="AB957" t="s">
        <v>17858</v>
      </c>
      <c r="AC957" t="s">
        <v>17859</v>
      </c>
      <c r="AD957" t="s">
        <v>17859</v>
      </c>
      <c r="AE957" t="s">
        <v>17860</v>
      </c>
      <c r="AF957" t="s">
        <v>74</v>
      </c>
      <c r="AG957">
        <v>77</v>
      </c>
      <c r="AH957">
        <v>17</v>
      </c>
      <c r="AI957">
        <v>18</v>
      </c>
      <c r="AJ957">
        <v>0</v>
      </c>
      <c r="AK957">
        <v>47</v>
      </c>
      <c r="AL957" t="s">
        <v>3295</v>
      </c>
      <c r="AM957" t="s">
        <v>3296</v>
      </c>
      <c r="AN957" t="s">
        <v>3297</v>
      </c>
      <c r="AO957" t="s">
        <v>17861</v>
      </c>
      <c r="AP957" t="s">
        <v>17862</v>
      </c>
      <c r="AQ957" t="s">
        <v>74</v>
      </c>
      <c r="AR957" t="s">
        <v>17863</v>
      </c>
      <c r="AS957" t="s">
        <v>17864</v>
      </c>
      <c r="AT957" t="s">
        <v>16127</v>
      </c>
      <c r="AU957">
        <v>2017</v>
      </c>
      <c r="AV957">
        <v>153</v>
      </c>
      <c r="AW957" t="s">
        <v>74</v>
      </c>
      <c r="AX957" t="s">
        <v>74</v>
      </c>
      <c r="AY957" t="s">
        <v>74</v>
      </c>
      <c r="AZ957" t="s">
        <v>74</v>
      </c>
      <c r="BA957" t="s">
        <v>74</v>
      </c>
      <c r="BB957">
        <v>171</v>
      </c>
      <c r="BC957">
        <v>180</v>
      </c>
      <c r="BD957" t="s">
        <v>74</v>
      </c>
      <c r="BE957" t="s">
        <v>17865</v>
      </c>
      <c r="BF957" t="str">
        <f>HYPERLINK("http://dx.doi.org/10.1016/j.envres.2016.12.007","http://dx.doi.org/10.1016/j.envres.2016.12.007")</f>
        <v>http://dx.doi.org/10.1016/j.envres.2016.12.007</v>
      </c>
      <c r="BG957" t="s">
        <v>74</v>
      </c>
      <c r="BH957" t="s">
        <v>74</v>
      </c>
      <c r="BI957">
        <v>10</v>
      </c>
      <c r="BJ957" t="s">
        <v>10739</v>
      </c>
      <c r="BK957" t="s">
        <v>103</v>
      </c>
      <c r="BL957" t="s">
        <v>10740</v>
      </c>
      <c r="BM957" t="s">
        <v>17866</v>
      </c>
      <c r="BN957">
        <v>27984761</v>
      </c>
      <c r="BO957" t="s">
        <v>74</v>
      </c>
      <c r="BP957" t="s">
        <v>74</v>
      </c>
      <c r="BQ957" t="s">
        <v>74</v>
      </c>
      <c r="BR957" t="s">
        <v>106</v>
      </c>
      <c r="BS957" t="s">
        <v>17867</v>
      </c>
      <c r="BT957" t="str">
        <f>HYPERLINK("https%3A%2F%2Fwww.webofscience.com%2Fwos%2Fwoscc%2Ffull-record%2FWOS:000392366500022","View Full Record in Web of Science")</f>
        <v>View Full Record in Web of Science</v>
      </c>
    </row>
    <row r="958" spans="1:72" x14ac:dyDescent="0.15">
      <c r="A958" t="s">
        <v>72</v>
      </c>
      <c r="B958" t="s">
        <v>17868</v>
      </c>
      <c r="C958" t="s">
        <v>74</v>
      </c>
      <c r="D958" t="s">
        <v>74</v>
      </c>
      <c r="E958" t="s">
        <v>74</v>
      </c>
      <c r="F958" t="s">
        <v>17869</v>
      </c>
      <c r="G958" t="s">
        <v>74</v>
      </c>
      <c r="H958" t="s">
        <v>74</v>
      </c>
      <c r="I958" t="s">
        <v>17870</v>
      </c>
      <c r="J958" t="s">
        <v>3418</v>
      </c>
      <c r="K958" t="s">
        <v>74</v>
      </c>
      <c r="L958" t="s">
        <v>74</v>
      </c>
      <c r="M958" t="s">
        <v>78</v>
      </c>
      <c r="N958" t="s">
        <v>79</v>
      </c>
      <c r="O958" t="s">
        <v>74</v>
      </c>
      <c r="P958" t="s">
        <v>74</v>
      </c>
      <c r="Q958" t="s">
        <v>74</v>
      </c>
      <c r="R958" t="s">
        <v>74</v>
      </c>
      <c r="S958" t="s">
        <v>74</v>
      </c>
      <c r="T958" t="s">
        <v>17871</v>
      </c>
      <c r="U958" t="s">
        <v>17872</v>
      </c>
      <c r="V958" t="s">
        <v>17873</v>
      </c>
      <c r="W958" t="s">
        <v>17874</v>
      </c>
      <c r="X958" t="s">
        <v>17875</v>
      </c>
      <c r="Y958" t="s">
        <v>17876</v>
      </c>
      <c r="Z958" t="s">
        <v>17877</v>
      </c>
      <c r="AA958" t="s">
        <v>17878</v>
      </c>
      <c r="AB958" t="s">
        <v>17879</v>
      </c>
      <c r="AC958" t="s">
        <v>74</v>
      </c>
      <c r="AD958" t="s">
        <v>74</v>
      </c>
      <c r="AE958" t="s">
        <v>74</v>
      </c>
      <c r="AF958" t="s">
        <v>74</v>
      </c>
      <c r="AG958">
        <v>35</v>
      </c>
      <c r="AH958">
        <v>5</v>
      </c>
      <c r="AI958">
        <v>5</v>
      </c>
      <c r="AJ958">
        <v>1</v>
      </c>
      <c r="AK958">
        <v>28</v>
      </c>
      <c r="AL958" t="s">
        <v>317</v>
      </c>
      <c r="AM958" t="s">
        <v>318</v>
      </c>
      <c r="AN958" t="s">
        <v>319</v>
      </c>
      <c r="AO958" t="s">
        <v>3431</v>
      </c>
      <c r="AP958" t="s">
        <v>3432</v>
      </c>
      <c r="AQ958" t="s">
        <v>74</v>
      </c>
      <c r="AR958" t="s">
        <v>3433</v>
      </c>
      <c r="AS958" t="s">
        <v>3434</v>
      </c>
      <c r="AT958" t="s">
        <v>16127</v>
      </c>
      <c r="AU958">
        <v>2017</v>
      </c>
      <c r="AV958">
        <v>186</v>
      </c>
      <c r="AW958" t="s">
        <v>74</v>
      </c>
      <c r="AX958">
        <v>1</v>
      </c>
      <c r="AY958" t="s">
        <v>74</v>
      </c>
      <c r="AZ958" t="s">
        <v>74</v>
      </c>
      <c r="BA958" t="s">
        <v>74</v>
      </c>
      <c r="BB958">
        <v>65</v>
      </c>
      <c r="BC958">
        <v>81</v>
      </c>
      <c r="BD958" t="s">
        <v>74</v>
      </c>
      <c r="BE958" t="s">
        <v>17880</v>
      </c>
      <c r="BF958" t="str">
        <f>HYPERLINK("http://dx.doi.org/10.1016/j.fishres.2016.07.022","http://dx.doi.org/10.1016/j.fishres.2016.07.022")</f>
        <v>http://dx.doi.org/10.1016/j.fishres.2016.07.022</v>
      </c>
      <c r="BG958" t="s">
        <v>74</v>
      </c>
      <c r="BH958" t="s">
        <v>74</v>
      </c>
      <c r="BI958">
        <v>17</v>
      </c>
      <c r="BJ958" t="s">
        <v>785</v>
      </c>
      <c r="BK958" t="s">
        <v>103</v>
      </c>
      <c r="BL958" t="s">
        <v>785</v>
      </c>
      <c r="BM958" t="s">
        <v>17881</v>
      </c>
      <c r="BN958" t="s">
        <v>74</v>
      </c>
      <c r="BO958" t="s">
        <v>74</v>
      </c>
      <c r="BP958" t="s">
        <v>74</v>
      </c>
      <c r="BQ958" t="s">
        <v>74</v>
      </c>
      <c r="BR958" t="s">
        <v>106</v>
      </c>
      <c r="BS958" t="s">
        <v>17882</v>
      </c>
      <c r="BT958" t="str">
        <f>HYPERLINK("https%3A%2F%2Fwww.webofscience.com%2Fwos%2Fwoscc%2Ffull-record%2FWOS:000390494900008","View Full Record in Web of Science")</f>
        <v>View Full Record in Web of Science</v>
      </c>
    </row>
    <row r="959" spans="1:72" x14ac:dyDescent="0.15">
      <c r="A959" t="s">
        <v>72</v>
      </c>
      <c r="B959" t="s">
        <v>17883</v>
      </c>
      <c r="C959" t="s">
        <v>74</v>
      </c>
      <c r="D959" t="s">
        <v>74</v>
      </c>
      <c r="E959" t="s">
        <v>74</v>
      </c>
      <c r="F959" t="s">
        <v>17884</v>
      </c>
      <c r="G959" t="s">
        <v>74</v>
      </c>
      <c r="H959" t="s">
        <v>74</v>
      </c>
      <c r="I959" t="s">
        <v>17885</v>
      </c>
      <c r="J959" t="s">
        <v>3418</v>
      </c>
      <c r="K959" t="s">
        <v>74</v>
      </c>
      <c r="L959" t="s">
        <v>74</v>
      </c>
      <c r="M959" t="s">
        <v>78</v>
      </c>
      <c r="N959" t="s">
        <v>79</v>
      </c>
      <c r="O959" t="s">
        <v>74</v>
      </c>
      <c r="P959" t="s">
        <v>74</v>
      </c>
      <c r="Q959" t="s">
        <v>74</v>
      </c>
      <c r="R959" t="s">
        <v>74</v>
      </c>
      <c r="S959" t="s">
        <v>74</v>
      </c>
      <c r="T959" t="s">
        <v>17886</v>
      </c>
      <c r="U959" t="s">
        <v>17887</v>
      </c>
      <c r="V959" t="s">
        <v>17888</v>
      </c>
      <c r="W959" t="s">
        <v>17889</v>
      </c>
      <c r="X959" t="s">
        <v>17890</v>
      </c>
      <c r="Y959" t="s">
        <v>17891</v>
      </c>
      <c r="Z959" t="s">
        <v>17892</v>
      </c>
      <c r="AA959" t="s">
        <v>17893</v>
      </c>
      <c r="AB959" t="s">
        <v>17894</v>
      </c>
      <c r="AC959" t="s">
        <v>17895</v>
      </c>
      <c r="AD959" t="s">
        <v>17896</v>
      </c>
      <c r="AE959" t="s">
        <v>17897</v>
      </c>
      <c r="AF959" t="s">
        <v>74</v>
      </c>
      <c r="AG959">
        <v>62</v>
      </c>
      <c r="AH959">
        <v>5</v>
      </c>
      <c r="AI959">
        <v>5</v>
      </c>
      <c r="AJ959">
        <v>0</v>
      </c>
      <c r="AK959">
        <v>24</v>
      </c>
      <c r="AL959" t="s">
        <v>317</v>
      </c>
      <c r="AM959" t="s">
        <v>318</v>
      </c>
      <c r="AN959" t="s">
        <v>319</v>
      </c>
      <c r="AO959" t="s">
        <v>3431</v>
      </c>
      <c r="AP959" t="s">
        <v>3432</v>
      </c>
      <c r="AQ959" t="s">
        <v>74</v>
      </c>
      <c r="AR959" t="s">
        <v>3433</v>
      </c>
      <c r="AS959" t="s">
        <v>3434</v>
      </c>
      <c r="AT959" t="s">
        <v>16127</v>
      </c>
      <c r="AU959">
        <v>2017</v>
      </c>
      <c r="AV959">
        <v>186</v>
      </c>
      <c r="AW959" t="s">
        <v>74</v>
      </c>
      <c r="AX959">
        <v>1</v>
      </c>
      <c r="AY959" t="s">
        <v>74</v>
      </c>
      <c r="AZ959" t="s">
        <v>74</v>
      </c>
      <c r="BA959" t="s">
        <v>74</v>
      </c>
      <c r="BB959">
        <v>223</v>
      </c>
      <c r="BC959">
        <v>236</v>
      </c>
      <c r="BD959" t="s">
        <v>74</v>
      </c>
      <c r="BE959" t="s">
        <v>17898</v>
      </c>
      <c r="BF959" t="str">
        <f>HYPERLINK("http://dx.doi.org/10.1016/j.fishres.2016.08.029","http://dx.doi.org/10.1016/j.fishres.2016.08.029")</f>
        <v>http://dx.doi.org/10.1016/j.fishres.2016.08.029</v>
      </c>
      <c r="BG959" t="s">
        <v>74</v>
      </c>
      <c r="BH959" t="s">
        <v>74</v>
      </c>
      <c r="BI959">
        <v>14</v>
      </c>
      <c r="BJ959" t="s">
        <v>785</v>
      </c>
      <c r="BK959" t="s">
        <v>103</v>
      </c>
      <c r="BL959" t="s">
        <v>785</v>
      </c>
      <c r="BM959" t="s">
        <v>17881</v>
      </c>
      <c r="BN959" t="s">
        <v>74</v>
      </c>
      <c r="BO959" t="s">
        <v>74</v>
      </c>
      <c r="BP959" t="s">
        <v>74</v>
      </c>
      <c r="BQ959" t="s">
        <v>74</v>
      </c>
      <c r="BR959" t="s">
        <v>106</v>
      </c>
      <c r="BS959" t="s">
        <v>17899</v>
      </c>
      <c r="BT959" t="str">
        <f>HYPERLINK("https%3A%2F%2Fwww.webofscience.com%2Fwos%2Fwoscc%2Ffull-record%2FWOS:000390494900023","View Full Record in Web of Science")</f>
        <v>View Full Record in Web of Science</v>
      </c>
    </row>
    <row r="960" spans="1:72" x14ac:dyDescent="0.15">
      <c r="A960" t="s">
        <v>72</v>
      </c>
      <c r="B960" t="s">
        <v>17900</v>
      </c>
      <c r="C960" t="s">
        <v>74</v>
      </c>
      <c r="D960" t="s">
        <v>74</v>
      </c>
      <c r="E960" t="s">
        <v>74</v>
      </c>
      <c r="F960" t="s">
        <v>17901</v>
      </c>
      <c r="G960" t="s">
        <v>74</v>
      </c>
      <c r="H960" t="s">
        <v>74</v>
      </c>
      <c r="I960" t="s">
        <v>17902</v>
      </c>
      <c r="J960" t="s">
        <v>17903</v>
      </c>
      <c r="K960" t="s">
        <v>74</v>
      </c>
      <c r="L960" t="s">
        <v>74</v>
      </c>
      <c r="M960" t="s">
        <v>78</v>
      </c>
      <c r="N960" t="s">
        <v>79</v>
      </c>
      <c r="O960" t="s">
        <v>74</v>
      </c>
      <c r="P960" t="s">
        <v>74</v>
      </c>
      <c r="Q960" t="s">
        <v>74</v>
      </c>
      <c r="R960" t="s">
        <v>74</v>
      </c>
      <c r="S960" t="s">
        <v>74</v>
      </c>
      <c r="T960" t="s">
        <v>17904</v>
      </c>
      <c r="U960" t="s">
        <v>17905</v>
      </c>
      <c r="V960" t="s">
        <v>17906</v>
      </c>
      <c r="W960" t="s">
        <v>17907</v>
      </c>
      <c r="X960" t="s">
        <v>6453</v>
      </c>
      <c r="Y960" t="s">
        <v>17908</v>
      </c>
      <c r="Z960" t="s">
        <v>6455</v>
      </c>
      <c r="AA960" t="s">
        <v>17909</v>
      </c>
      <c r="AB960" t="s">
        <v>6457</v>
      </c>
      <c r="AC960" t="s">
        <v>17910</v>
      </c>
      <c r="AD960" t="s">
        <v>17911</v>
      </c>
      <c r="AE960" t="s">
        <v>17912</v>
      </c>
      <c r="AF960" t="s">
        <v>74</v>
      </c>
      <c r="AG960">
        <v>65</v>
      </c>
      <c r="AH960">
        <v>52</v>
      </c>
      <c r="AI960">
        <v>60</v>
      </c>
      <c r="AJ960">
        <v>1</v>
      </c>
      <c r="AK960">
        <v>34</v>
      </c>
      <c r="AL960" t="s">
        <v>681</v>
      </c>
      <c r="AM960" t="s">
        <v>682</v>
      </c>
      <c r="AN960" t="s">
        <v>683</v>
      </c>
      <c r="AO960" t="s">
        <v>17913</v>
      </c>
      <c r="AP960" t="s">
        <v>17914</v>
      </c>
      <c r="AQ960" t="s">
        <v>74</v>
      </c>
      <c r="AR960" t="s">
        <v>17915</v>
      </c>
      <c r="AS960" t="s">
        <v>17916</v>
      </c>
      <c r="AT960" t="s">
        <v>16127</v>
      </c>
      <c r="AU960">
        <v>2017</v>
      </c>
      <c r="AV960">
        <v>31</v>
      </c>
      <c r="AW960">
        <v>2</v>
      </c>
      <c r="AX960" t="s">
        <v>74</v>
      </c>
      <c r="AY960" t="s">
        <v>74</v>
      </c>
      <c r="AZ960" t="s">
        <v>74</v>
      </c>
      <c r="BA960" t="s">
        <v>74</v>
      </c>
      <c r="BB960">
        <v>377</v>
      </c>
      <c r="BC960">
        <v>386</v>
      </c>
      <c r="BD960" t="s">
        <v>74</v>
      </c>
      <c r="BE960" t="s">
        <v>17917</v>
      </c>
      <c r="BF960" t="str">
        <f>HYPERLINK("http://dx.doi.org/10.1111/1365-2435.12729","http://dx.doi.org/10.1111/1365-2435.12729")</f>
        <v>http://dx.doi.org/10.1111/1365-2435.12729</v>
      </c>
      <c r="BG960" t="s">
        <v>74</v>
      </c>
      <c r="BH960" t="s">
        <v>74</v>
      </c>
      <c r="BI960">
        <v>10</v>
      </c>
      <c r="BJ960" t="s">
        <v>992</v>
      </c>
      <c r="BK960" t="s">
        <v>103</v>
      </c>
      <c r="BL960" t="s">
        <v>993</v>
      </c>
      <c r="BM960" t="s">
        <v>17918</v>
      </c>
      <c r="BN960" t="s">
        <v>74</v>
      </c>
      <c r="BO960" t="s">
        <v>8123</v>
      </c>
      <c r="BP960" t="s">
        <v>74</v>
      </c>
      <c r="BQ960" t="s">
        <v>74</v>
      </c>
      <c r="BR960" t="s">
        <v>106</v>
      </c>
      <c r="BS960" t="s">
        <v>17919</v>
      </c>
      <c r="BT960" t="str">
        <f>HYPERLINK("https%3A%2F%2Fwww.webofscience.com%2Fwos%2Fwoscc%2Ffull-record%2FWOS:000394374100012","View Full Record in Web of Science")</f>
        <v>View Full Record in Web of Science</v>
      </c>
    </row>
    <row r="961" spans="1:72" x14ac:dyDescent="0.15">
      <c r="A961" t="s">
        <v>72</v>
      </c>
      <c r="B961" t="s">
        <v>17920</v>
      </c>
      <c r="C961" t="s">
        <v>74</v>
      </c>
      <c r="D961" t="s">
        <v>74</v>
      </c>
      <c r="E961" t="s">
        <v>74</v>
      </c>
      <c r="F961" t="s">
        <v>17921</v>
      </c>
      <c r="G961" t="s">
        <v>74</v>
      </c>
      <c r="H961" t="s">
        <v>74</v>
      </c>
      <c r="I961" t="s">
        <v>17922</v>
      </c>
      <c r="J961" t="s">
        <v>17923</v>
      </c>
      <c r="K961" t="s">
        <v>74</v>
      </c>
      <c r="L961" t="s">
        <v>74</v>
      </c>
      <c r="M961" t="s">
        <v>78</v>
      </c>
      <c r="N961" t="s">
        <v>79</v>
      </c>
      <c r="O961" t="s">
        <v>74</v>
      </c>
      <c r="P961" t="s">
        <v>74</v>
      </c>
      <c r="Q961" t="s">
        <v>74</v>
      </c>
      <c r="R961" t="s">
        <v>74</v>
      </c>
      <c r="S961" t="s">
        <v>74</v>
      </c>
      <c r="T961" t="s">
        <v>17924</v>
      </c>
      <c r="U961" t="s">
        <v>17925</v>
      </c>
      <c r="V961" t="s">
        <v>17926</v>
      </c>
      <c r="W961" t="s">
        <v>17927</v>
      </c>
      <c r="X961" t="s">
        <v>17928</v>
      </c>
      <c r="Y961" t="s">
        <v>17929</v>
      </c>
      <c r="Z961" t="s">
        <v>17930</v>
      </c>
      <c r="AA961" t="s">
        <v>74</v>
      </c>
      <c r="AB961" t="s">
        <v>17931</v>
      </c>
      <c r="AC961" t="s">
        <v>17932</v>
      </c>
      <c r="AD961" t="s">
        <v>17933</v>
      </c>
      <c r="AE961" t="s">
        <v>17934</v>
      </c>
      <c r="AF961" t="s">
        <v>74</v>
      </c>
      <c r="AG961">
        <v>54</v>
      </c>
      <c r="AH961">
        <v>40</v>
      </c>
      <c r="AI961">
        <v>42</v>
      </c>
      <c r="AJ961">
        <v>0</v>
      </c>
      <c r="AK961">
        <v>25</v>
      </c>
      <c r="AL961" t="s">
        <v>374</v>
      </c>
      <c r="AM961" t="s">
        <v>93</v>
      </c>
      <c r="AN961" t="s">
        <v>375</v>
      </c>
      <c r="AO961" t="s">
        <v>17935</v>
      </c>
      <c r="AP961" t="s">
        <v>17936</v>
      </c>
      <c r="AQ961" t="s">
        <v>74</v>
      </c>
      <c r="AR961" t="s">
        <v>17937</v>
      </c>
      <c r="AS961" t="s">
        <v>17938</v>
      </c>
      <c r="AT961" t="s">
        <v>16127</v>
      </c>
      <c r="AU961">
        <v>2017</v>
      </c>
      <c r="AV961">
        <v>121</v>
      </c>
      <c r="AW961">
        <v>2</v>
      </c>
      <c r="AX961" t="s">
        <v>74</v>
      </c>
      <c r="AY961" t="s">
        <v>74</v>
      </c>
      <c r="AZ961" t="s">
        <v>74</v>
      </c>
      <c r="BA961" t="s">
        <v>74</v>
      </c>
      <c r="BB961">
        <v>145</v>
      </c>
      <c r="BC961">
        <v>157</v>
      </c>
      <c r="BD961" t="s">
        <v>74</v>
      </c>
      <c r="BE961" t="s">
        <v>17939</v>
      </c>
      <c r="BF961" t="str">
        <f>HYPERLINK("http://dx.doi.org/10.1016/j.funbio.2016.11.009","http://dx.doi.org/10.1016/j.funbio.2016.11.009")</f>
        <v>http://dx.doi.org/10.1016/j.funbio.2016.11.009</v>
      </c>
      <c r="BG961" t="s">
        <v>74</v>
      </c>
      <c r="BH961" t="s">
        <v>74</v>
      </c>
      <c r="BI961">
        <v>13</v>
      </c>
      <c r="BJ961" t="s">
        <v>13710</v>
      </c>
      <c r="BK961" t="s">
        <v>103</v>
      </c>
      <c r="BL961" t="s">
        <v>13710</v>
      </c>
      <c r="BM961" t="s">
        <v>17940</v>
      </c>
      <c r="BN961">
        <v>28089046</v>
      </c>
      <c r="BO961" t="s">
        <v>384</v>
      </c>
      <c r="BP961" t="s">
        <v>74</v>
      </c>
      <c r="BQ961" t="s">
        <v>74</v>
      </c>
      <c r="BR961" t="s">
        <v>106</v>
      </c>
      <c r="BS961" t="s">
        <v>17941</v>
      </c>
      <c r="BT961" t="str">
        <f>HYPERLINK("https%3A%2F%2Fwww.webofscience.com%2Fwos%2Fwoscc%2Ffull-record%2FWOS:000393262700005","View Full Record in Web of Science")</f>
        <v>View Full Record in Web of Science</v>
      </c>
    </row>
    <row r="962" spans="1:72" x14ac:dyDescent="0.15">
      <c r="A962" t="s">
        <v>72</v>
      </c>
      <c r="B962" t="s">
        <v>17942</v>
      </c>
      <c r="C962" t="s">
        <v>74</v>
      </c>
      <c r="D962" t="s">
        <v>74</v>
      </c>
      <c r="E962" t="s">
        <v>74</v>
      </c>
      <c r="F962" t="s">
        <v>17943</v>
      </c>
      <c r="G962" t="s">
        <v>74</v>
      </c>
      <c r="H962" t="s">
        <v>74</v>
      </c>
      <c r="I962" t="s">
        <v>17944</v>
      </c>
      <c r="J962" t="s">
        <v>10400</v>
      </c>
      <c r="K962" t="s">
        <v>74</v>
      </c>
      <c r="L962" t="s">
        <v>74</v>
      </c>
      <c r="M962" t="s">
        <v>78</v>
      </c>
      <c r="N962" t="s">
        <v>79</v>
      </c>
      <c r="O962" t="s">
        <v>74</v>
      </c>
      <c r="P962" t="s">
        <v>74</v>
      </c>
      <c r="Q962" t="s">
        <v>74</v>
      </c>
      <c r="R962" t="s">
        <v>74</v>
      </c>
      <c r="S962" t="s">
        <v>74</v>
      </c>
      <c r="T962" t="s">
        <v>74</v>
      </c>
      <c r="U962" t="s">
        <v>74</v>
      </c>
      <c r="V962" t="s">
        <v>17945</v>
      </c>
      <c r="W962" t="s">
        <v>17946</v>
      </c>
      <c r="X962" t="s">
        <v>17947</v>
      </c>
      <c r="Y962" t="s">
        <v>17948</v>
      </c>
      <c r="Z962" t="s">
        <v>17949</v>
      </c>
      <c r="AA962" t="s">
        <v>17950</v>
      </c>
      <c r="AB962" t="s">
        <v>17951</v>
      </c>
      <c r="AC962" t="s">
        <v>17952</v>
      </c>
      <c r="AD962" t="s">
        <v>17953</v>
      </c>
      <c r="AE962" t="s">
        <v>17954</v>
      </c>
      <c r="AF962" t="s">
        <v>74</v>
      </c>
      <c r="AG962">
        <v>15</v>
      </c>
      <c r="AH962">
        <v>11</v>
      </c>
      <c r="AI962">
        <v>12</v>
      </c>
      <c r="AJ962">
        <v>0</v>
      </c>
      <c r="AK962">
        <v>0</v>
      </c>
      <c r="AL962" t="s">
        <v>10412</v>
      </c>
      <c r="AM962" t="s">
        <v>223</v>
      </c>
      <c r="AN962" t="s">
        <v>10413</v>
      </c>
      <c r="AO962" t="s">
        <v>74</v>
      </c>
      <c r="AP962" t="s">
        <v>10414</v>
      </c>
      <c r="AQ962" t="s">
        <v>74</v>
      </c>
      <c r="AR962" t="s">
        <v>10400</v>
      </c>
      <c r="AS962" t="s">
        <v>10415</v>
      </c>
      <c r="AT962" t="s">
        <v>16127</v>
      </c>
      <c r="AU962">
        <v>2017</v>
      </c>
      <c r="AV962">
        <v>5</v>
      </c>
      <c r="AW962">
        <v>7</v>
      </c>
      <c r="AX962" t="s">
        <v>74</v>
      </c>
      <c r="AY962" t="s">
        <v>74</v>
      </c>
      <c r="AZ962" t="s">
        <v>74</v>
      </c>
      <c r="BA962" t="s">
        <v>74</v>
      </c>
      <c r="BB962" t="s">
        <v>74</v>
      </c>
      <c r="BC962" t="s">
        <v>74</v>
      </c>
      <c r="BD962" t="s">
        <v>17955</v>
      </c>
      <c r="BE962" t="s">
        <v>17956</v>
      </c>
      <c r="BF962" t="str">
        <f>HYPERLINK("http://dx.doi.org/10.1128/genomeA.01546-16","http://dx.doi.org/10.1128/genomeA.01546-16")</f>
        <v>http://dx.doi.org/10.1128/genomeA.01546-16</v>
      </c>
      <c r="BG962" t="s">
        <v>74</v>
      </c>
      <c r="BH962" t="s">
        <v>74</v>
      </c>
      <c r="BI962">
        <v>3</v>
      </c>
      <c r="BJ962" t="s">
        <v>410</v>
      </c>
      <c r="BK962" t="s">
        <v>1794</v>
      </c>
      <c r="BL962" t="s">
        <v>410</v>
      </c>
      <c r="BM962" t="s">
        <v>17957</v>
      </c>
      <c r="BN962">
        <v>28209814</v>
      </c>
      <c r="BO962" t="s">
        <v>2009</v>
      </c>
      <c r="BP962" t="s">
        <v>74</v>
      </c>
      <c r="BQ962" t="s">
        <v>74</v>
      </c>
      <c r="BR962" t="s">
        <v>106</v>
      </c>
      <c r="BS962" t="s">
        <v>17958</v>
      </c>
      <c r="BT962" t="str">
        <f>HYPERLINK("https%3A%2F%2Fwww.webofscience.com%2Fwos%2Fwoscc%2Ffull-record%2FWOS:000460681200005","View Full Record in Web of Science")</f>
        <v>View Full Record in Web of Science</v>
      </c>
    </row>
    <row r="963" spans="1:72" x14ac:dyDescent="0.15">
      <c r="A963" t="s">
        <v>72</v>
      </c>
      <c r="B963" t="s">
        <v>17959</v>
      </c>
      <c r="C963" t="s">
        <v>74</v>
      </c>
      <c r="D963" t="s">
        <v>74</v>
      </c>
      <c r="E963" t="s">
        <v>74</v>
      </c>
      <c r="F963" t="s">
        <v>17960</v>
      </c>
      <c r="G963" t="s">
        <v>74</v>
      </c>
      <c r="H963" t="s">
        <v>74</v>
      </c>
      <c r="I963" t="s">
        <v>17961</v>
      </c>
      <c r="J963" t="s">
        <v>17962</v>
      </c>
      <c r="K963" t="s">
        <v>74</v>
      </c>
      <c r="L963" t="s">
        <v>74</v>
      </c>
      <c r="M963" t="s">
        <v>78</v>
      </c>
      <c r="N963" t="s">
        <v>79</v>
      </c>
      <c r="O963" t="s">
        <v>74</v>
      </c>
      <c r="P963" t="s">
        <v>74</v>
      </c>
      <c r="Q963" t="s">
        <v>74</v>
      </c>
      <c r="R963" t="s">
        <v>74</v>
      </c>
      <c r="S963" t="s">
        <v>74</v>
      </c>
      <c r="T963" t="s">
        <v>17963</v>
      </c>
      <c r="U963" t="s">
        <v>17964</v>
      </c>
      <c r="V963" t="s">
        <v>17965</v>
      </c>
      <c r="W963" t="s">
        <v>17966</v>
      </c>
      <c r="X963" t="s">
        <v>17967</v>
      </c>
      <c r="Y963" t="s">
        <v>17968</v>
      </c>
      <c r="Z963" t="s">
        <v>17969</v>
      </c>
      <c r="AA963" t="s">
        <v>17970</v>
      </c>
      <c r="AB963" t="s">
        <v>17971</v>
      </c>
      <c r="AC963" t="s">
        <v>17972</v>
      </c>
      <c r="AD963" t="s">
        <v>17973</v>
      </c>
      <c r="AE963" t="s">
        <v>17974</v>
      </c>
      <c r="AF963" t="s">
        <v>74</v>
      </c>
      <c r="AG963">
        <v>86</v>
      </c>
      <c r="AH963">
        <v>35</v>
      </c>
      <c r="AI963">
        <v>35</v>
      </c>
      <c r="AJ963">
        <v>4</v>
      </c>
      <c r="AK963">
        <v>39</v>
      </c>
      <c r="AL963" t="s">
        <v>5572</v>
      </c>
      <c r="AM963" t="s">
        <v>5573</v>
      </c>
      <c r="AN963" t="s">
        <v>5574</v>
      </c>
      <c r="AO963" t="s">
        <v>17975</v>
      </c>
      <c r="AP963" t="s">
        <v>17976</v>
      </c>
      <c r="AQ963" t="s">
        <v>74</v>
      </c>
      <c r="AR963" t="s">
        <v>17977</v>
      </c>
      <c r="AS963" t="s">
        <v>17978</v>
      </c>
      <c r="AT963" t="s">
        <v>16127</v>
      </c>
      <c r="AU963">
        <v>2017</v>
      </c>
      <c r="AV963">
        <v>99</v>
      </c>
      <c r="AW963">
        <v>1</v>
      </c>
      <c r="AX963" t="s">
        <v>74</v>
      </c>
      <c r="AY963" t="s">
        <v>74</v>
      </c>
      <c r="AZ963" t="s">
        <v>74</v>
      </c>
      <c r="BA963" t="s">
        <v>74</v>
      </c>
      <c r="BB963">
        <v>38</v>
      </c>
      <c r="BC963">
        <v>55</v>
      </c>
      <c r="BD963" t="s">
        <v>74</v>
      </c>
      <c r="BE963" t="s">
        <v>17979</v>
      </c>
      <c r="BF963" t="str">
        <f>HYPERLINK("http://dx.doi.org/10.1080/04353676.2016.1257914","http://dx.doi.org/10.1080/04353676.2016.1257914")</f>
        <v>http://dx.doi.org/10.1080/04353676.2016.1257914</v>
      </c>
      <c r="BG963" t="s">
        <v>74</v>
      </c>
      <c r="BH963" t="s">
        <v>74</v>
      </c>
      <c r="BI963">
        <v>18</v>
      </c>
      <c r="BJ963" t="s">
        <v>9251</v>
      </c>
      <c r="BK963" t="s">
        <v>103</v>
      </c>
      <c r="BL963" t="s">
        <v>1339</v>
      </c>
      <c r="BM963" t="s">
        <v>17980</v>
      </c>
      <c r="BN963" t="s">
        <v>74</v>
      </c>
      <c r="BO963" t="s">
        <v>1100</v>
      </c>
      <c r="BP963" t="s">
        <v>74</v>
      </c>
      <c r="BQ963" t="s">
        <v>74</v>
      </c>
      <c r="BR963" t="s">
        <v>106</v>
      </c>
      <c r="BS963" t="s">
        <v>17981</v>
      </c>
      <c r="BT963" t="str">
        <f>HYPERLINK("https%3A%2F%2Fwww.webofscience.com%2Fwos%2Fwoscc%2Ffull-record%2FWOS:000395104100004","View Full Record in Web of Science")</f>
        <v>View Full Record in Web of Science</v>
      </c>
    </row>
    <row r="964" spans="1:72" x14ac:dyDescent="0.15">
      <c r="A964" t="s">
        <v>72</v>
      </c>
      <c r="B964" t="s">
        <v>17982</v>
      </c>
      <c r="C964" t="s">
        <v>74</v>
      </c>
      <c r="D964" t="s">
        <v>74</v>
      </c>
      <c r="E964" t="s">
        <v>74</v>
      </c>
      <c r="F964" t="s">
        <v>17983</v>
      </c>
      <c r="G964" t="s">
        <v>74</v>
      </c>
      <c r="H964" t="s">
        <v>74</v>
      </c>
      <c r="I964" t="s">
        <v>17984</v>
      </c>
      <c r="J964" t="s">
        <v>160</v>
      </c>
      <c r="K964" t="s">
        <v>74</v>
      </c>
      <c r="L964" t="s">
        <v>74</v>
      </c>
      <c r="M964" t="s">
        <v>78</v>
      </c>
      <c r="N964" t="s">
        <v>79</v>
      </c>
      <c r="O964" t="s">
        <v>74</v>
      </c>
      <c r="P964" t="s">
        <v>74</v>
      </c>
      <c r="Q964" t="s">
        <v>74</v>
      </c>
      <c r="R964" t="s">
        <v>74</v>
      </c>
      <c r="S964" t="s">
        <v>74</v>
      </c>
      <c r="T964" t="s">
        <v>17985</v>
      </c>
      <c r="U964" t="s">
        <v>17986</v>
      </c>
      <c r="V964" t="s">
        <v>17987</v>
      </c>
      <c r="W964" t="s">
        <v>17988</v>
      </c>
      <c r="X964" t="s">
        <v>17989</v>
      </c>
      <c r="Y964" t="s">
        <v>17990</v>
      </c>
      <c r="Z964" t="s">
        <v>17991</v>
      </c>
      <c r="AA964" t="s">
        <v>17992</v>
      </c>
      <c r="AB964" t="s">
        <v>17993</v>
      </c>
      <c r="AC964" t="s">
        <v>17994</v>
      </c>
      <c r="AD964" t="s">
        <v>17995</v>
      </c>
      <c r="AE964" t="s">
        <v>17996</v>
      </c>
      <c r="AF964" t="s">
        <v>74</v>
      </c>
      <c r="AG964">
        <v>55</v>
      </c>
      <c r="AH964">
        <v>11</v>
      </c>
      <c r="AI964">
        <v>14</v>
      </c>
      <c r="AJ964">
        <v>0</v>
      </c>
      <c r="AK964">
        <v>17</v>
      </c>
      <c r="AL964" t="s">
        <v>92</v>
      </c>
      <c r="AM964" t="s">
        <v>93</v>
      </c>
      <c r="AN964" t="s">
        <v>94</v>
      </c>
      <c r="AO964" t="s">
        <v>171</v>
      </c>
      <c r="AP964" t="s">
        <v>172</v>
      </c>
      <c r="AQ964" t="s">
        <v>74</v>
      </c>
      <c r="AR964" t="s">
        <v>173</v>
      </c>
      <c r="AS964" t="s">
        <v>174</v>
      </c>
      <c r="AT964" t="s">
        <v>16127</v>
      </c>
      <c r="AU964">
        <v>2017</v>
      </c>
      <c r="AV964">
        <v>208</v>
      </c>
      <c r="AW964">
        <v>2</v>
      </c>
      <c r="AX964" t="s">
        <v>74</v>
      </c>
      <c r="AY964" t="s">
        <v>74</v>
      </c>
      <c r="AZ964" t="s">
        <v>74</v>
      </c>
      <c r="BA964" t="s">
        <v>74</v>
      </c>
      <c r="BB964">
        <v>845</v>
      </c>
      <c r="BC964">
        <v>876</v>
      </c>
      <c r="BD964" t="s">
        <v>74</v>
      </c>
      <c r="BE964" t="s">
        <v>17997</v>
      </c>
      <c r="BF964" t="str">
        <f>HYPERLINK("http://dx.doi.org/10.1093/gji/ggw414","http://dx.doi.org/10.1093/gji/ggw414")</f>
        <v>http://dx.doi.org/10.1093/gji/ggw414</v>
      </c>
      <c r="BG964" t="s">
        <v>74</v>
      </c>
      <c r="BH964" t="s">
        <v>74</v>
      </c>
      <c r="BI964">
        <v>32</v>
      </c>
      <c r="BJ964" t="s">
        <v>176</v>
      </c>
      <c r="BK964" t="s">
        <v>103</v>
      </c>
      <c r="BL964" t="s">
        <v>176</v>
      </c>
      <c r="BM964" t="s">
        <v>17998</v>
      </c>
      <c r="BN964" t="s">
        <v>74</v>
      </c>
      <c r="BO964" t="s">
        <v>1538</v>
      </c>
      <c r="BP964" t="s">
        <v>74</v>
      </c>
      <c r="BQ964" t="s">
        <v>74</v>
      </c>
      <c r="BR964" t="s">
        <v>106</v>
      </c>
      <c r="BS964" t="s">
        <v>17999</v>
      </c>
      <c r="BT964" t="str">
        <f>HYPERLINK("https%3A%2F%2Fwww.webofscience.com%2Fwos%2Fwoscc%2Ffull-record%2FWOS:000396817600016","View Full Record in Web of Science")</f>
        <v>View Full Record in Web of Science</v>
      </c>
    </row>
    <row r="965" spans="1:72" x14ac:dyDescent="0.15">
      <c r="A965" t="s">
        <v>72</v>
      </c>
      <c r="B965" t="s">
        <v>18000</v>
      </c>
      <c r="C965" t="s">
        <v>74</v>
      </c>
      <c r="D965" t="s">
        <v>74</v>
      </c>
      <c r="E965" t="s">
        <v>74</v>
      </c>
      <c r="F965" t="s">
        <v>18001</v>
      </c>
      <c r="G965" t="s">
        <v>74</v>
      </c>
      <c r="H965" t="s">
        <v>74</v>
      </c>
      <c r="I965" t="s">
        <v>18002</v>
      </c>
      <c r="J965" t="s">
        <v>18003</v>
      </c>
      <c r="K965" t="s">
        <v>74</v>
      </c>
      <c r="L965" t="s">
        <v>74</v>
      </c>
      <c r="M965" t="s">
        <v>78</v>
      </c>
      <c r="N965" t="s">
        <v>79</v>
      </c>
      <c r="O965" t="s">
        <v>74</v>
      </c>
      <c r="P965" t="s">
        <v>74</v>
      </c>
      <c r="Q965" t="s">
        <v>74</v>
      </c>
      <c r="R965" t="s">
        <v>74</v>
      </c>
      <c r="S965" t="s">
        <v>74</v>
      </c>
      <c r="T965" t="s">
        <v>74</v>
      </c>
      <c r="U965" t="s">
        <v>18004</v>
      </c>
      <c r="V965" t="s">
        <v>18005</v>
      </c>
      <c r="W965" t="s">
        <v>18006</v>
      </c>
      <c r="X965" t="s">
        <v>18007</v>
      </c>
      <c r="Y965" t="s">
        <v>18008</v>
      </c>
      <c r="Z965" t="s">
        <v>18009</v>
      </c>
      <c r="AA965" t="s">
        <v>18010</v>
      </c>
      <c r="AB965" t="s">
        <v>74</v>
      </c>
      <c r="AC965" t="s">
        <v>18011</v>
      </c>
      <c r="AD965" t="s">
        <v>18012</v>
      </c>
      <c r="AE965" t="s">
        <v>18013</v>
      </c>
      <c r="AF965" t="s">
        <v>74</v>
      </c>
      <c r="AG965">
        <v>100</v>
      </c>
      <c r="AH965">
        <v>44</v>
      </c>
      <c r="AI965">
        <v>47</v>
      </c>
      <c r="AJ965">
        <v>0</v>
      </c>
      <c r="AK965">
        <v>13</v>
      </c>
      <c r="AL965" t="s">
        <v>5029</v>
      </c>
      <c r="AM965" t="s">
        <v>5030</v>
      </c>
      <c r="AN965" t="s">
        <v>5031</v>
      </c>
      <c r="AO965" t="s">
        <v>18014</v>
      </c>
      <c r="AP965" t="s">
        <v>74</v>
      </c>
      <c r="AQ965" t="s">
        <v>74</v>
      </c>
      <c r="AR965" t="s">
        <v>18003</v>
      </c>
      <c r="AS965" t="s">
        <v>18015</v>
      </c>
      <c r="AT965" t="s">
        <v>16127</v>
      </c>
      <c r="AU965">
        <v>2017</v>
      </c>
      <c r="AV965">
        <v>13</v>
      </c>
      <c r="AW965">
        <v>1</v>
      </c>
      <c r="AX965" t="s">
        <v>74</v>
      </c>
      <c r="AY965" t="s">
        <v>74</v>
      </c>
      <c r="AZ965" t="s">
        <v>74</v>
      </c>
      <c r="BA965" t="s">
        <v>74</v>
      </c>
      <c r="BB965">
        <v>155</v>
      </c>
      <c r="BC965">
        <v>178</v>
      </c>
      <c r="BD965" t="s">
        <v>74</v>
      </c>
      <c r="BE965" t="s">
        <v>18016</v>
      </c>
      <c r="BF965" t="str">
        <f>HYPERLINK("http://dx.doi.org/10.1130/GES01345.1","http://dx.doi.org/10.1130/GES01345.1")</f>
        <v>http://dx.doi.org/10.1130/GES01345.1</v>
      </c>
      <c r="BG965" t="s">
        <v>74</v>
      </c>
      <c r="BH965" t="s">
        <v>74</v>
      </c>
      <c r="BI965">
        <v>24</v>
      </c>
      <c r="BJ965" t="s">
        <v>437</v>
      </c>
      <c r="BK965" t="s">
        <v>103</v>
      </c>
      <c r="BL965" t="s">
        <v>438</v>
      </c>
      <c r="BM965" t="s">
        <v>18017</v>
      </c>
      <c r="BN965" t="s">
        <v>74</v>
      </c>
      <c r="BO965" t="s">
        <v>3118</v>
      </c>
      <c r="BP965" t="s">
        <v>74</v>
      </c>
      <c r="BQ965" t="s">
        <v>74</v>
      </c>
      <c r="BR965" t="s">
        <v>106</v>
      </c>
      <c r="BS965" t="s">
        <v>18018</v>
      </c>
      <c r="BT965" t="str">
        <f>HYPERLINK("https%3A%2F%2Fwww.webofscience.com%2Fwos%2Fwoscc%2Ffull-record%2FWOS:000396821900010","View Full Record in Web of Science")</f>
        <v>View Full Record in Web of Science</v>
      </c>
    </row>
    <row r="966" spans="1:72" x14ac:dyDescent="0.15">
      <c r="A966" t="s">
        <v>72</v>
      </c>
      <c r="B966" t="s">
        <v>18019</v>
      </c>
      <c r="C966" t="s">
        <v>74</v>
      </c>
      <c r="D966" t="s">
        <v>74</v>
      </c>
      <c r="E966" t="s">
        <v>74</v>
      </c>
      <c r="F966" t="s">
        <v>18020</v>
      </c>
      <c r="G966" t="s">
        <v>74</v>
      </c>
      <c r="H966" t="s">
        <v>74</v>
      </c>
      <c r="I966" t="s">
        <v>18021</v>
      </c>
      <c r="J966" t="s">
        <v>6586</v>
      </c>
      <c r="K966" t="s">
        <v>74</v>
      </c>
      <c r="L966" t="s">
        <v>74</v>
      </c>
      <c r="M966" t="s">
        <v>78</v>
      </c>
      <c r="N966" t="s">
        <v>79</v>
      </c>
      <c r="O966" t="s">
        <v>74</v>
      </c>
      <c r="P966" t="s">
        <v>74</v>
      </c>
      <c r="Q966" t="s">
        <v>74</v>
      </c>
      <c r="R966" t="s">
        <v>74</v>
      </c>
      <c r="S966" t="s">
        <v>74</v>
      </c>
      <c r="T966" t="s">
        <v>18022</v>
      </c>
      <c r="U966" t="s">
        <v>18023</v>
      </c>
      <c r="V966" t="s">
        <v>18024</v>
      </c>
      <c r="W966" t="s">
        <v>18025</v>
      </c>
      <c r="X966" t="s">
        <v>18026</v>
      </c>
      <c r="Y966" t="s">
        <v>18027</v>
      </c>
      <c r="Z966" t="s">
        <v>18028</v>
      </c>
      <c r="AA966" t="s">
        <v>74</v>
      </c>
      <c r="AB966" t="s">
        <v>74</v>
      </c>
      <c r="AC966" t="s">
        <v>18029</v>
      </c>
      <c r="AD966" t="s">
        <v>18030</v>
      </c>
      <c r="AE966" t="s">
        <v>18031</v>
      </c>
      <c r="AF966" t="s">
        <v>74</v>
      </c>
      <c r="AG966">
        <v>89</v>
      </c>
      <c r="AH966">
        <v>17</v>
      </c>
      <c r="AI966">
        <v>18</v>
      </c>
      <c r="AJ966">
        <v>0</v>
      </c>
      <c r="AK966">
        <v>37</v>
      </c>
      <c r="AL966" t="s">
        <v>681</v>
      </c>
      <c r="AM966" t="s">
        <v>682</v>
      </c>
      <c r="AN966" t="s">
        <v>683</v>
      </c>
      <c r="AO966" t="s">
        <v>6599</v>
      </c>
      <c r="AP966" t="s">
        <v>6600</v>
      </c>
      <c r="AQ966" t="s">
        <v>74</v>
      </c>
      <c r="AR966" t="s">
        <v>6601</v>
      </c>
      <c r="AS966" t="s">
        <v>6602</v>
      </c>
      <c r="AT966" t="s">
        <v>16127</v>
      </c>
      <c r="AU966">
        <v>2017</v>
      </c>
      <c r="AV966">
        <v>23</v>
      </c>
      <c r="AW966">
        <v>2</v>
      </c>
      <c r="AX966" t="s">
        <v>74</v>
      </c>
      <c r="AY966" t="s">
        <v>74</v>
      </c>
      <c r="AZ966" t="s">
        <v>74</v>
      </c>
      <c r="BA966" t="s">
        <v>74</v>
      </c>
      <c r="BB966">
        <v>550</v>
      </c>
      <c r="BC966">
        <v>565</v>
      </c>
      <c r="BD966" t="s">
        <v>74</v>
      </c>
      <c r="BE966" t="s">
        <v>18032</v>
      </c>
      <c r="BF966" t="str">
        <f>HYPERLINK("http://dx.doi.org/10.1111/gcb.13324","http://dx.doi.org/10.1111/gcb.13324")</f>
        <v>http://dx.doi.org/10.1111/gcb.13324</v>
      </c>
      <c r="BG966" t="s">
        <v>74</v>
      </c>
      <c r="BH966" t="s">
        <v>74</v>
      </c>
      <c r="BI966">
        <v>16</v>
      </c>
      <c r="BJ966" t="s">
        <v>382</v>
      </c>
      <c r="BK966" t="s">
        <v>103</v>
      </c>
      <c r="BL966" t="s">
        <v>326</v>
      </c>
      <c r="BM966" t="s">
        <v>18033</v>
      </c>
      <c r="BN966">
        <v>27178393</v>
      </c>
      <c r="BO966" t="s">
        <v>1538</v>
      </c>
      <c r="BP966" t="s">
        <v>74</v>
      </c>
      <c r="BQ966" t="s">
        <v>74</v>
      </c>
      <c r="BR966" t="s">
        <v>106</v>
      </c>
      <c r="BS966" t="s">
        <v>18034</v>
      </c>
      <c r="BT966" t="str">
        <f>HYPERLINK("https%3A%2F%2Fwww.webofscience.com%2Fwos%2Fwoscc%2Ffull-record%2FWOS:000394343300010","View Full Record in Web of Science")</f>
        <v>View Full Record in Web of Science</v>
      </c>
    </row>
    <row r="967" spans="1:72" x14ac:dyDescent="0.15">
      <c r="A967" t="s">
        <v>72</v>
      </c>
      <c r="B967" t="s">
        <v>18035</v>
      </c>
      <c r="C967" t="s">
        <v>74</v>
      </c>
      <c r="D967" t="s">
        <v>74</v>
      </c>
      <c r="E967" t="s">
        <v>74</v>
      </c>
      <c r="F967" t="s">
        <v>18036</v>
      </c>
      <c r="G967" t="s">
        <v>74</v>
      </c>
      <c r="H967" t="s">
        <v>74</v>
      </c>
      <c r="I967" t="s">
        <v>18037</v>
      </c>
      <c r="J967" t="s">
        <v>6586</v>
      </c>
      <c r="K967" t="s">
        <v>74</v>
      </c>
      <c r="L967" t="s">
        <v>74</v>
      </c>
      <c r="M967" t="s">
        <v>78</v>
      </c>
      <c r="N967" t="s">
        <v>518</v>
      </c>
      <c r="O967" t="s">
        <v>74</v>
      </c>
      <c r="P967" t="s">
        <v>74</v>
      </c>
      <c r="Q967" t="s">
        <v>74</v>
      </c>
      <c r="R967" t="s">
        <v>74</v>
      </c>
      <c r="S967" t="s">
        <v>74</v>
      </c>
      <c r="T967" t="s">
        <v>18038</v>
      </c>
      <c r="U967" t="s">
        <v>18039</v>
      </c>
      <c r="V967" t="s">
        <v>18040</v>
      </c>
      <c r="W967" t="s">
        <v>18041</v>
      </c>
      <c r="X967" t="s">
        <v>18042</v>
      </c>
      <c r="Y967" t="s">
        <v>18043</v>
      </c>
      <c r="Z967" t="s">
        <v>18044</v>
      </c>
      <c r="AA967" t="s">
        <v>18045</v>
      </c>
      <c r="AB967" t="s">
        <v>18046</v>
      </c>
      <c r="AC967" t="s">
        <v>18047</v>
      </c>
      <c r="AD967" t="s">
        <v>18048</v>
      </c>
      <c r="AE967" t="s">
        <v>18049</v>
      </c>
      <c r="AF967" t="s">
        <v>74</v>
      </c>
      <c r="AG967">
        <v>111</v>
      </c>
      <c r="AH967">
        <v>37</v>
      </c>
      <c r="AI967">
        <v>40</v>
      </c>
      <c r="AJ967">
        <v>6</v>
      </c>
      <c r="AK967">
        <v>63</v>
      </c>
      <c r="AL967" t="s">
        <v>681</v>
      </c>
      <c r="AM967" t="s">
        <v>682</v>
      </c>
      <c r="AN967" t="s">
        <v>683</v>
      </c>
      <c r="AO967" t="s">
        <v>6599</v>
      </c>
      <c r="AP967" t="s">
        <v>6600</v>
      </c>
      <c r="AQ967" t="s">
        <v>74</v>
      </c>
      <c r="AR967" t="s">
        <v>6601</v>
      </c>
      <c r="AS967" t="s">
        <v>6602</v>
      </c>
      <c r="AT967" t="s">
        <v>16127</v>
      </c>
      <c r="AU967">
        <v>2017</v>
      </c>
      <c r="AV967">
        <v>23</v>
      </c>
      <c r="AW967">
        <v>2</v>
      </c>
      <c r="AX967" t="s">
        <v>74</v>
      </c>
      <c r="AY967" t="s">
        <v>74</v>
      </c>
      <c r="AZ967" t="s">
        <v>74</v>
      </c>
      <c r="BA967" t="s">
        <v>74</v>
      </c>
      <c r="BB967">
        <v>657</v>
      </c>
      <c r="BC967">
        <v>672</v>
      </c>
      <c r="BD967" t="s">
        <v>74</v>
      </c>
      <c r="BE967" t="s">
        <v>18050</v>
      </c>
      <c r="BF967" t="str">
        <f>HYPERLINK("http://dx.doi.org/10.1111/gcb.13452","http://dx.doi.org/10.1111/gcb.13452")</f>
        <v>http://dx.doi.org/10.1111/gcb.13452</v>
      </c>
      <c r="BG967" t="s">
        <v>74</v>
      </c>
      <c r="BH967" t="s">
        <v>74</v>
      </c>
      <c r="BI967">
        <v>16</v>
      </c>
      <c r="BJ967" t="s">
        <v>382</v>
      </c>
      <c r="BK967" t="s">
        <v>103</v>
      </c>
      <c r="BL967" t="s">
        <v>326</v>
      </c>
      <c r="BM967" t="s">
        <v>18033</v>
      </c>
      <c r="BN967">
        <v>27497050</v>
      </c>
      <c r="BO967" t="s">
        <v>74</v>
      </c>
      <c r="BP967" t="s">
        <v>74</v>
      </c>
      <c r="BQ967" t="s">
        <v>74</v>
      </c>
      <c r="BR967" t="s">
        <v>106</v>
      </c>
      <c r="BS967" t="s">
        <v>18051</v>
      </c>
      <c r="BT967" t="str">
        <f>HYPERLINK("https%3A%2F%2Fwww.webofscience.com%2Fwos%2Fwoscc%2Ffull-record%2FWOS:000394343300018","View Full Record in Web of Science")</f>
        <v>View Full Record in Web of Science</v>
      </c>
    </row>
    <row r="968" spans="1:72" x14ac:dyDescent="0.15">
      <c r="A968" t="s">
        <v>72</v>
      </c>
      <c r="B968" t="s">
        <v>18052</v>
      </c>
      <c r="C968" t="s">
        <v>74</v>
      </c>
      <c r="D968" t="s">
        <v>74</v>
      </c>
      <c r="E968" t="s">
        <v>74</v>
      </c>
      <c r="F968" t="s">
        <v>18053</v>
      </c>
      <c r="G968" t="s">
        <v>74</v>
      </c>
      <c r="H968" t="s">
        <v>74</v>
      </c>
      <c r="I968" t="s">
        <v>18054</v>
      </c>
      <c r="J968" t="s">
        <v>10068</v>
      </c>
      <c r="K968" t="s">
        <v>74</v>
      </c>
      <c r="L968" t="s">
        <v>74</v>
      </c>
      <c r="M968" t="s">
        <v>78</v>
      </c>
      <c r="N968" t="s">
        <v>79</v>
      </c>
      <c r="O968" t="s">
        <v>74</v>
      </c>
      <c r="P968" t="s">
        <v>74</v>
      </c>
      <c r="Q968" t="s">
        <v>74</v>
      </c>
      <c r="R968" t="s">
        <v>74</v>
      </c>
      <c r="S968" t="s">
        <v>74</v>
      </c>
      <c r="T968" t="s">
        <v>18055</v>
      </c>
      <c r="U968" t="s">
        <v>18056</v>
      </c>
      <c r="V968" t="s">
        <v>18057</v>
      </c>
      <c r="W968" t="s">
        <v>18058</v>
      </c>
      <c r="X968" t="s">
        <v>18059</v>
      </c>
      <c r="Y968" t="s">
        <v>18060</v>
      </c>
      <c r="Z968" t="s">
        <v>18061</v>
      </c>
      <c r="AA968" t="s">
        <v>74</v>
      </c>
      <c r="AB968" t="s">
        <v>18062</v>
      </c>
      <c r="AC968" t="s">
        <v>18063</v>
      </c>
      <c r="AD968" t="s">
        <v>18064</v>
      </c>
      <c r="AE968" t="s">
        <v>18065</v>
      </c>
      <c r="AF968" t="s">
        <v>74</v>
      </c>
      <c r="AG968">
        <v>140</v>
      </c>
      <c r="AH968">
        <v>52</v>
      </c>
      <c r="AI968">
        <v>54</v>
      </c>
      <c r="AJ968">
        <v>0</v>
      </c>
      <c r="AK968">
        <v>20</v>
      </c>
      <c r="AL968" t="s">
        <v>317</v>
      </c>
      <c r="AM968" t="s">
        <v>318</v>
      </c>
      <c r="AN968" t="s">
        <v>319</v>
      </c>
      <c r="AO968" t="s">
        <v>10080</v>
      </c>
      <c r="AP968" t="s">
        <v>10081</v>
      </c>
      <c r="AQ968" t="s">
        <v>74</v>
      </c>
      <c r="AR968" t="s">
        <v>10082</v>
      </c>
      <c r="AS968" t="s">
        <v>10083</v>
      </c>
      <c r="AT968" t="s">
        <v>16127</v>
      </c>
      <c r="AU968">
        <v>2017</v>
      </c>
      <c r="AV968">
        <v>42</v>
      </c>
      <c r="AW968" t="s">
        <v>74</v>
      </c>
      <c r="AX968" t="s">
        <v>74</v>
      </c>
      <c r="AY968" t="s">
        <v>74</v>
      </c>
      <c r="AZ968" t="s">
        <v>74</v>
      </c>
      <c r="BA968" t="s">
        <v>74</v>
      </c>
      <c r="BB968">
        <v>29</v>
      </c>
      <c r="BC968">
        <v>48</v>
      </c>
      <c r="BD968" t="s">
        <v>74</v>
      </c>
      <c r="BE968" t="s">
        <v>18066</v>
      </c>
      <c r="BF968" t="str">
        <f>HYPERLINK("http://dx.doi.org/10.1016/j.gr.2016.09.009","http://dx.doi.org/10.1016/j.gr.2016.09.009")</f>
        <v>http://dx.doi.org/10.1016/j.gr.2016.09.009</v>
      </c>
      <c r="BG968" t="s">
        <v>74</v>
      </c>
      <c r="BH968" t="s">
        <v>74</v>
      </c>
      <c r="BI968">
        <v>20</v>
      </c>
      <c r="BJ968" t="s">
        <v>437</v>
      </c>
      <c r="BK968" t="s">
        <v>103</v>
      </c>
      <c r="BL968" t="s">
        <v>438</v>
      </c>
      <c r="BM968" t="s">
        <v>18067</v>
      </c>
      <c r="BN968" t="s">
        <v>74</v>
      </c>
      <c r="BO968" t="s">
        <v>1100</v>
      </c>
      <c r="BP968" t="s">
        <v>74</v>
      </c>
      <c r="BQ968" t="s">
        <v>74</v>
      </c>
      <c r="BR968" t="s">
        <v>106</v>
      </c>
      <c r="BS968" t="s">
        <v>18068</v>
      </c>
      <c r="BT968" t="str">
        <f>HYPERLINK("https%3A%2F%2Fwww.webofscience.com%2Fwos%2Fwoscc%2Ffull-record%2FWOS:000397873700003","View Full Record in Web of Science")</f>
        <v>View Full Record in Web of Science</v>
      </c>
    </row>
    <row r="969" spans="1:72" x14ac:dyDescent="0.15">
      <c r="A969" t="s">
        <v>72</v>
      </c>
      <c r="B969" t="s">
        <v>18069</v>
      </c>
      <c r="C969" t="s">
        <v>74</v>
      </c>
      <c r="D969" t="s">
        <v>74</v>
      </c>
      <c r="E969" t="s">
        <v>74</v>
      </c>
      <c r="F969" t="s">
        <v>18070</v>
      </c>
      <c r="G969" t="s">
        <v>74</v>
      </c>
      <c r="H969" t="s">
        <v>74</v>
      </c>
      <c r="I969" t="s">
        <v>18071</v>
      </c>
      <c r="J969" t="s">
        <v>18072</v>
      </c>
      <c r="K969" t="s">
        <v>74</v>
      </c>
      <c r="L969" t="s">
        <v>74</v>
      </c>
      <c r="M969" t="s">
        <v>78</v>
      </c>
      <c r="N969" t="s">
        <v>79</v>
      </c>
      <c r="O969" t="s">
        <v>74</v>
      </c>
      <c r="P969" t="s">
        <v>74</v>
      </c>
      <c r="Q969" t="s">
        <v>74</v>
      </c>
      <c r="R969" t="s">
        <v>74</v>
      </c>
      <c r="S969" t="s">
        <v>74</v>
      </c>
      <c r="T969" t="s">
        <v>18073</v>
      </c>
      <c r="U969" t="s">
        <v>18074</v>
      </c>
      <c r="V969" t="s">
        <v>18075</v>
      </c>
      <c r="W969" t="s">
        <v>18076</v>
      </c>
      <c r="X969" t="s">
        <v>18077</v>
      </c>
      <c r="Y969" t="s">
        <v>18078</v>
      </c>
      <c r="Z969" t="s">
        <v>18079</v>
      </c>
      <c r="AA969" t="s">
        <v>18080</v>
      </c>
      <c r="AB969" t="s">
        <v>18081</v>
      </c>
      <c r="AC969" t="s">
        <v>18082</v>
      </c>
      <c r="AD969" t="s">
        <v>3155</v>
      </c>
      <c r="AE969" t="s">
        <v>74</v>
      </c>
      <c r="AF969" t="s">
        <v>74</v>
      </c>
      <c r="AG969">
        <v>54</v>
      </c>
      <c r="AH969">
        <v>2</v>
      </c>
      <c r="AI969">
        <v>2</v>
      </c>
      <c r="AJ969">
        <v>0</v>
      </c>
      <c r="AK969">
        <v>10</v>
      </c>
      <c r="AL969" t="s">
        <v>4682</v>
      </c>
      <c r="AM969" t="s">
        <v>403</v>
      </c>
      <c r="AN969" t="s">
        <v>4683</v>
      </c>
      <c r="AO969" t="s">
        <v>18083</v>
      </c>
      <c r="AP969" t="s">
        <v>18084</v>
      </c>
      <c r="AQ969" t="s">
        <v>74</v>
      </c>
      <c r="AR969" t="s">
        <v>18072</v>
      </c>
      <c r="AS969" t="s">
        <v>18085</v>
      </c>
      <c r="AT969" t="s">
        <v>16127</v>
      </c>
      <c r="AU969">
        <v>2017</v>
      </c>
      <c r="AV969">
        <v>27</v>
      </c>
      <c r="AW969">
        <v>2</v>
      </c>
      <c r="AX969" t="s">
        <v>74</v>
      </c>
      <c r="AY969" t="s">
        <v>74</v>
      </c>
      <c r="AZ969" t="s">
        <v>74</v>
      </c>
      <c r="BA969" t="s">
        <v>74</v>
      </c>
      <c r="BB969">
        <v>271</v>
      </c>
      <c r="BC969">
        <v>281</v>
      </c>
      <c r="BD969" t="s">
        <v>74</v>
      </c>
      <c r="BE969" t="s">
        <v>18086</v>
      </c>
      <c r="BF969" t="str">
        <f>HYPERLINK("http://dx.doi.org/10.1177/0959683616658525","http://dx.doi.org/10.1177/0959683616658525")</f>
        <v>http://dx.doi.org/10.1177/0959683616658525</v>
      </c>
      <c r="BG969" t="s">
        <v>74</v>
      </c>
      <c r="BH969" t="s">
        <v>74</v>
      </c>
      <c r="BI969">
        <v>11</v>
      </c>
      <c r="BJ969" t="s">
        <v>1338</v>
      </c>
      <c r="BK969" t="s">
        <v>103</v>
      </c>
      <c r="BL969" t="s">
        <v>1339</v>
      </c>
      <c r="BM969" t="s">
        <v>18087</v>
      </c>
      <c r="BN969" t="s">
        <v>74</v>
      </c>
      <c r="BO969" t="s">
        <v>664</v>
      </c>
      <c r="BP969" t="s">
        <v>74</v>
      </c>
      <c r="BQ969" t="s">
        <v>74</v>
      </c>
      <c r="BR969" t="s">
        <v>106</v>
      </c>
      <c r="BS969" t="s">
        <v>18088</v>
      </c>
      <c r="BT969" t="str">
        <f>HYPERLINK("https%3A%2F%2Fwww.webofscience.com%2Fwos%2Fwoscc%2Ffull-record%2FWOS:000394955300006","View Full Record in Web of Science")</f>
        <v>View Full Record in Web of Science</v>
      </c>
    </row>
    <row r="970" spans="1:72" x14ac:dyDescent="0.15">
      <c r="A970" t="s">
        <v>72</v>
      </c>
      <c r="B970" t="s">
        <v>18089</v>
      </c>
      <c r="C970" t="s">
        <v>74</v>
      </c>
      <c r="D970" t="s">
        <v>74</v>
      </c>
      <c r="E970" t="s">
        <v>74</v>
      </c>
      <c r="F970" t="s">
        <v>18090</v>
      </c>
      <c r="G970" t="s">
        <v>74</v>
      </c>
      <c r="H970" t="s">
        <v>74</v>
      </c>
      <c r="I970" t="s">
        <v>18091</v>
      </c>
      <c r="J970" t="s">
        <v>10423</v>
      </c>
      <c r="K970" t="s">
        <v>74</v>
      </c>
      <c r="L970" t="s">
        <v>74</v>
      </c>
      <c r="M970" t="s">
        <v>78</v>
      </c>
      <c r="N970" t="s">
        <v>79</v>
      </c>
      <c r="O970" t="s">
        <v>74</v>
      </c>
      <c r="P970" t="s">
        <v>74</v>
      </c>
      <c r="Q970" t="s">
        <v>74</v>
      </c>
      <c r="R970" t="s">
        <v>74</v>
      </c>
      <c r="S970" t="s">
        <v>74</v>
      </c>
      <c r="T970" t="s">
        <v>18092</v>
      </c>
      <c r="U970" t="s">
        <v>18093</v>
      </c>
      <c r="V970" t="s">
        <v>18094</v>
      </c>
      <c r="W970" t="s">
        <v>18095</v>
      </c>
      <c r="X970" t="s">
        <v>18096</v>
      </c>
      <c r="Y970" t="s">
        <v>18097</v>
      </c>
      <c r="Z970" t="s">
        <v>18098</v>
      </c>
      <c r="AA970" t="s">
        <v>18099</v>
      </c>
      <c r="AB970" t="s">
        <v>18100</v>
      </c>
      <c r="AC970" t="s">
        <v>18101</v>
      </c>
      <c r="AD970" t="s">
        <v>18102</v>
      </c>
      <c r="AE970" t="s">
        <v>18103</v>
      </c>
      <c r="AF970" t="s">
        <v>74</v>
      </c>
      <c r="AG970">
        <v>38</v>
      </c>
      <c r="AH970">
        <v>8</v>
      </c>
      <c r="AI970">
        <v>9</v>
      </c>
      <c r="AJ970">
        <v>1</v>
      </c>
      <c r="AK970">
        <v>15</v>
      </c>
      <c r="AL970" t="s">
        <v>681</v>
      </c>
      <c r="AM970" t="s">
        <v>682</v>
      </c>
      <c r="AN970" t="s">
        <v>683</v>
      </c>
      <c r="AO970" t="s">
        <v>10435</v>
      </c>
      <c r="AP970" t="s">
        <v>10436</v>
      </c>
      <c r="AQ970" t="s">
        <v>74</v>
      </c>
      <c r="AR970" t="s">
        <v>10437</v>
      </c>
      <c r="AS970" t="s">
        <v>10438</v>
      </c>
      <c r="AT970" t="s">
        <v>16127</v>
      </c>
      <c r="AU970">
        <v>2017</v>
      </c>
      <c r="AV970">
        <v>37</v>
      </c>
      <c r="AW970">
        <v>2</v>
      </c>
      <c r="AX970" t="s">
        <v>74</v>
      </c>
      <c r="AY970" t="s">
        <v>74</v>
      </c>
      <c r="AZ970" t="s">
        <v>74</v>
      </c>
      <c r="BA970" t="s">
        <v>74</v>
      </c>
      <c r="BB970">
        <v>648</v>
      </c>
      <c r="BC970">
        <v>656</v>
      </c>
      <c r="BD970" t="s">
        <v>74</v>
      </c>
      <c r="BE970" t="s">
        <v>18104</v>
      </c>
      <c r="BF970" t="str">
        <f>HYPERLINK("http://dx.doi.org/10.1002/joc.4730","http://dx.doi.org/10.1002/joc.4730")</f>
        <v>http://dx.doi.org/10.1002/joc.4730</v>
      </c>
      <c r="BG970" t="s">
        <v>74</v>
      </c>
      <c r="BH970" t="s">
        <v>74</v>
      </c>
      <c r="BI970">
        <v>9</v>
      </c>
      <c r="BJ970" t="s">
        <v>1261</v>
      </c>
      <c r="BK970" t="s">
        <v>103</v>
      </c>
      <c r="BL970" t="s">
        <v>1261</v>
      </c>
      <c r="BM970" t="s">
        <v>17296</v>
      </c>
      <c r="BN970" t="s">
        <v>74</v>
      </c>
      <c r="BO970" t="s">
        <v>74</v>
      </c>
      <c r="BP970" t="s">
        <v>74</v>
      </c>
      <c r="BQ970" t="s">
        <v>74</v>
      </c>
      <c r="BR970" t="s">
        <v>106</v>
      </c>
      <c r="BS970" t="s">
        <v>18105</v>
      </c>
      <c r="BT970" t="str">
        <f>HYPERLINK("https%3A%2F%2Fwww.webofscience.com%2Fwos%2Fwoscc%2Ffull-record%2FWOS:000393415100008","View Full Record in Web of Science")</f>
        <v>View Full Record in Web of Science</v>
      </c>
    </row>
    <row r="971" spans="1:72" x14ac:dyDescent="0.15">
      <c r="A971" t="s">
        <v>72</v>
      </c>
      <c r="B971" t="s">
        <v>18106</v>
      </c>
      <c r="C971" t="s">
        <v>74</v>
      </c>
      <c r="D971" t="s">
        <v>74</v>
      </c>
      <c r="E971" t="s">
        <v>74</v>
      </c>
      <c r="F971" t="s">
        <v>18107</v>
      </c>
      <c r="G971" t="s">
        <v>74</v>
      </c>
      <c r="H971" t="s">
        <v>74</v>
      </c>
      <c r="I971" t="s">
        <v>18108</v>
      </c>
      <c r="J971" t="s">
        <v>18109</v>
      </c>
      <c r="K971" t="s">
        <v>74</v>
      </c>
      <c r="L971" t="s">
        <v>74</v>
      </c>
      <c r="M971" t="s">
        <v>78</v>
      </c>
      <c r="N971" t="s">
        <v>79</v>
      </c>
      <c r="O971" t="s">
        <v>74</v>
      </c>
      <c r="P971" t="s">
        <v>74</v>
      </c>
      <c r="Q971" t="s">
        <v>74</v>
      </c>
      <c r="R971" t="s">
        <v>74</v>
      </c>
      <c r="S971" t="s">
        <v>74</v>
      </c>
      <c r="T971" t="s">
        <v>18110</v>
      </c>
      <c r="U971" t="s">
        <v>18111</v>
      </c>
      <c r="V971" t="s">
        <v>18112</v>
      </c>
      <c r="W971" t="s">
        <v>18113</v>
      </c>
      <c r="X971" t="s">
        <v>18114</v>
      </c>
      <c r="Y971" t="s">
        <v>18115</v>
      </c>
      <c r="Z971" t="s">
        <v>18116</v>
      </c>
      <c r="AA971" t="s">
        <v>18117</v>
      </c>
      <c r="AB971" t="s">
        <v>18118</v>
      </c>
      <c r="AC971" t="s">
        <v>18119</v>
      </c>
      <c r="AD971" t="s">
        <v>18120</v>
      </c>
      <c r="AE971" t="s">
        <v>18121</v>
      </c>
      <c r="AF971" t="s">
        <v>74</v>
      </c>
      <c r="AG971">
        <v>34</v>
      </c>
      <c r="AH971">
        <v>3</v>
      </c>
      <c r="AI971">
        <v>4</v>
      </c>
      <c r="AJ971">
        <v>1</v>
      </c>
      <c r="AK971">
        <v>11</v>
      </c>
      <c r="AL971" t="s">
        <v>18122</v>
      </c>
      <c r="AM971" t="s">
        <v>18123</v>
      </c>
      <c r="AN971" t="s">
        <v>18124</v>
      </c>
      <c r="AO971" t="s">
        <v>18125</v>
      </c>
      <c r="AP971" t="s">
        <v>74</v>
      </c>
      <c r="AQ971" t="s">
        <v>74</v>
      </c>
      <c r="AR971" t="s">
        <v>18126</v>
      </c>
      <c r="AS971" t="s">
        <v>18127</v>
      </c>
      <c r="AT971" t="s">
        <v>16127</v>
      </c>
      <c r="AU971">
        <v>2017</v>
      </c>
      <c r="AV971">
        <v>42</v>
      </c>
      <c r="AW971" t="s">
        <v>74</v>
      </c>
      <c r="AX971">
        <v>5</v>
      </c>
      <c r="AY971" t="s">
        <v>74</v>
      </c>
      <c r="AZ971" t="s">
        <v>74</v>
      </c>
      <c r="BA971" t="s">
        <v>74</v>
      </c>
      <c r="BB971">
        <v>267</v>
      </c>
      <c r="BC971">
        <v>282</v>
      </c>
      <c r="BD971" t="s">
        <v>74</v>
      </c>
      <c r="BE971" t="s">
        <v>74</v>
      </c>
      <c r="BF971" t="s">
        <v>74</v>
      </c>
      <c r="BG971" t="s">
        <v>74</v>
      </c>
      <c r="BH971" t="s">
        <v>74</v>
      </c>
      <c r="BI971">
        <v>16</v>
      </c>
      <c r="BJ971" t="s">
        <v>689</v>
      </c>
      <c r="BK971" t="s">
        <v>103</v>
      </c>
      <c r="BL971" t="s">
        <v>689</v>
      </c>
      <c r="BM971" t="s">
        <v>18128</v>
      </c>
      <c r="BN971" t="s">
        <v>74</v>
      </c>
      <c r="BO971" t="s">
        <v>74</v>
      </c>
      <c r="BP971" t="s">
        <v>74</v>
      </c>
      <c r="BQ971" t="s">
        <v>74</v>
      </c>
      <c r="BR971" t="s">
        <v>106</v>
      </c>
      <c r="BS971" t="s">
        <v>18129</v>
      </c>
      <c r="BT971" t="str">
        <f>HYPERLINK("https%3A%2F%2Fwww.webofscience.com%2Fwos%2Fwoscc%2Ffull-record%2FWOS:000393255500002","View Full Record in Web of Science")</f>
        <v>View Full Record in Web of Science</v>
      </c>
    </row>
    <row r="972" spans="1:72" x14ac:dyDescent="0.15">
      <c r="A972" t="s">
        <v>72</v>
      </c>
      <c r="B972" t="s">
        <v>18130</v>
      </c>
      <c r="C972" t="s">
        <v>74</v>
      </c>
      <c r="D972" t="s">
        <v>74</v>
      </c>
      <c r="E972" t="s">
        <v>74</v>
      </c>
      <c r="F972" t="s">
        <v>18131</v>
      </c>
      <c r="G972" t="s">
        <v>74</v>
      </c>
      <c r="H972" t="s">
        <v>74</v>
      </c>
      <c r="I972" t="s">
        <v>18132</v>
      </c>
      <c r="J972" t="s">
        <v>10570</v>
      </c>
      <c r="K972" t="s">
        <v>74</v>
      </c>
      <c r="L972" t="s">
        <v>74</v>
      </c>
      <c r="M972" t="s">
        <v>78</v>
      </c>
      <c r="N972" t="s">
        <v>79</v>
      </c>
      <c r="O972" t="s">
        <v>74</v>
      </c>
      <c r="P972" t="s">
        <v>74</v>
      </c>
      <c r="Q972" t="s">
        <v>74</v>
      </c>
      <c r="R972" t="s">
        <v>74</v>
      </c>
      <c r="S972" t="s">
        <v>74</v>
      </c>
      <c r="T972" t="s">
        <v>18133</v>
      </c>
      <c r="U972" t="s">
        <v>18134</v>
      </c>
      <c r="V972" t="s">
        <v>18135</v>
      </c>
      <c r="W972" t="s">
        <v>18136</v>
      </c>
      <c r="X972" t="s">
        <v>18137</v>
      </c>
      <c r="Y972" t="s">
        <v>18138</v>
      </c>
      <c r="Z972" t="s">
        <v>18139</v>
      </c>
      <c r="AA972" t="s">
        <v>74</v>
      </c>
      <c r="AB972" t="s">
        <v>18140</v>
      </c>
      <c r="AC972" t="s">
        <v>18141</v>
      </c>
      <c r="AD972" t="s">
        <v>18142</v>
      </c>
      <c r="AE972" t="s">
        <v>18143</v>
      </c>
      <c r="AF972" t="s">
        <v>74</v>
      </c>
      <c r="AG972">
        <v>72</v>
      </c>
      <c r="AH972">
        <v>30</v>
      </c>
      <c r="AI972">
        <v>32</v>
      </c>
      <c r="AJ972">
        <v>2</v>
      </c>
      <c r="AK972">
        <v>23</v>
      </c>
      <c r="AL972" t="s">
        <v>18144</v>
      </c>
      <c r="AM972" t="s">
        <v>1984</v>
      </c>
      <c r="AN972" t="s">
        <v>18145</v>
      </c>
      <c r="AO972" t="s">
        <v>10585</v>
      </c>
      <c r="AP972" t="s">
        <v>10586</v>
      </c>
      <c r="AQ972" t="s">
        <v>74</v>
      </c>
      <c r="AR972" t="s">
        <v>10587</v>
      </c>
      <c r="AS972" t="s">
        <v>10588</v>
      </c>
      <c r="AT972" t="s">
        <v>16146</v>
      </c>
      <c r="AU972">
        <v>2017</v>
      </c>
      <c r="AV972">
        <v>220</v>
      </c>
      <c r="AW972">
        <v>3</v>
      </c>
      <c r="AX972" t="s">
        <v>74</v>
      </c>
      <c r="AY972" t="s">
        <v>74</v>
      </c>
      <c r="AZ972" t="s">
        <v>74</v>
      </c>
      <c r="BA972" t="s">
        <v>74</v>
      </c>
      <c r="BB972">
        <v>369</v>
      </c>
      <c r="BC972">
        <v>378</v>
      </c>
      <c r="BD972" t="s">
        <v>74</v>
      </c>
      <c r="BE972" t="s">
        <v>18146</v>
      </c>
      <c r="BF972" t="str">
        <f>HYPERLINK("http://dx.doi.org/10.1242/jeb.145946","http://dx.doi.org/10.1242/jeb.145946")</f>
        <v>http://dx.doi.org/10.1242/jeb.145946</v>
      </c>
      <c r="BG972" t="s">
        <v>74</v>
      </c>
      <c r="BH972" t="s">
        <v>74</v>
      </c>
      <c r="BI972">
        <v>10</v>
      </c>
      <c r="BJ972" t="s">
        <v>2828</v>
      </c>
      <c r="BK972" t="s">
        <v>103</v>
      </c>
      <c r="BL972" t="s">
        <v>2829</v>
      </c>
      <c r="BM972" t="s">
        <v>18147</v>
      </c>
      <c r="BN972">
        <v>27872216</v>
      </c>
      <c r="BO972" t="s">
        <v>2390</v>
      </c>
      <c r="BP972" t="s">
        <v>74</v>
      </c>
      <c r="BQ972" t="s">
        <v>74</v>
      </c>
      <c r="BR972" t="s">
        <v>106</v>
      </c>
      <c r="BS972" t="s">
        <v>18148</v>
      </c>
      <c r="BT972" t="str">
        <f>HYPERLINK("https%3A%2F%2Fwww.webofscience.com%2Fwos%2Fwoscc%2Ffull-record%2FWOS:000394100300013","View Full Record in Web of Science")</f>
        <v>View Full Record in Web of Science</v>
      </c>
    </row>
    <row r="973" spans="1:72" x14ac:dyDescent="0.15">
      <c r="A973" t="s">
        <v>72</v>
      </c>
      <c r="B973" t="s">
        <v>18149</v>
      </c>
      <c r="C973" t="s">
        <v>74</v>
      </c>
      <c r="D973" t="s">
        <v>74</v>
      </c>
      <c r="E973" t="s">
        <v>74</v>
      </c>
      <c r="F973" t="s">
        <v>18150</v>
      </c>
      <c r="G973" t="s">
        <v>74</v>
      </c>
      <c r="H973" t="s">
        <v>74</v>
      </c>
      <c r="I973" t="s">
        <v>18151</v>
      </c>
      <c r="J973" t="s">
        <v>210</v>
      </c>
      <c r="K973" t="s">
        <v>74</v>
      </c>
      <c r="L973" t="s">
        <v>74</v>
      </c>
      <c r="M973" t="s">
        <v>78</v>
      </c>
      <c r="N973" t="s">
        <v>79</v>
      </c>
      <c r="O973" t="s">
        <v>74</v>
      </c>
      <c r="P973" t="s">
        <v>74</v>
      </c>
      <c r="Q973" t="s">
        <v>74</v>
      </c>
      <c r="R973" t="s">
        <v>74</v>
      </c>
      <c r="S973" t="s">
        <v>74</v>
      </c>
      <c r="T973" t="s">
        <v>74</v>
      </c>
      <c r="U973" t="s">
        <v>18152</v>
      </c>
      <c r="V973" t="s">
        <v>18153</v>
      </c>
      <c r="W973" t="s">
        <v>18154</v>
      </c>
      <c r="X973" t="s">
        <v>18155</v>
      </c>
      <c r="Y973" t="s">
        <v>18156</v>
      </c>
      <c r="Z973" t="s">
        <v>18157</v>
      </c>
      <c r="AA973" t="s">
        <v>18158</v>
      </c>
      <c r="AB973" t="s">
        <v>18159</v>
      </c>
      <c r="AC973" t="s">
        <v>18160</v>
      </c>
      <c r="AD973" t="s">
        <v>18161</v>
      </c>
      <c r="AE973" t="s">
        <v>18162</v>
      </c>
      <c r="AF973" t="s">
        <v>74</v>
      </c>
      <c r="AG973">
        <v>33</v>
      </c>
      <c r="AH973">
        <v>13</v>
      </c>
      <c r="AI973">
        <v>14</v>
      </c>
      <c r="AJ973">
        <v>0</v>
      </c>
      <c r="AK973">
        <v>13</v>
      </c>
      <c r="AL973" t="s">
        <v>222</v>
      </c>
      <c r="AM973" t="s">
        <v>223</v>
      </c>
      <c r="AN973" t="s">
        <v>224</v>
      </c>
      <c r="AO973" t="s">
        <v>225</v>
      </c>
      <c r="AP973" t="s">
        <v>226</v>
      </c>
      <c r="AQ973" t="s">
        <v>74</v>
      </c>
      <c r="AR973" t="s">
        <v>227</v>
      </c>
      <c r="AS973" t="s">
        <v>228</v>
      </c>
      <c r="AT973" t="s">
        <v>16127</v>
      </c>
      <c r="AU973">
        <v>2017</v>
      </c>
      <c r="AV973">
        <v>122</v>
      </c>
      <c r="AW973">
        <v>2</v>
      </c>
      <c r="AX973" t="s">
        <v>74</v>
      </c>
      <c r="AY973" t="s">
        <v>74</v>
      </c>
      <c r="AZ973" t="s">
        <v>74</v>
      </c>
      <c r="BA973" t="s">
        <v>74</v>
      </c>
      <c r="BB973">
        <v>973</v>
      </c>
      <c r="BC973">
        <v>979</v>
      </c>
      <c r="BD973" t="s">
        <v>74</v>
      </c>
      <c r="BE973" t="s">
        <v>18163</v>
      </c>
      <c r="BF973" t="str">
        <f>HYPERLINK("http://dx.doi.org/10.1002/2016JC012246","http://dx.doi.org/10.1002/2016JC012246")</f>
        <v>http://dx.doi.org/10.1002/2016JC012246</v>
      </c>
      <c r="BG973" t="s">
        <v>74</v>
      </c>
      <c r="BH973" t="s">
        <v>74</v>
      </c>
      <c r="BI973">
        <v>7</v>
      </c>
      <c r="BJ973" t="s">
        <v>127</v>
      </c>
      <c r="BK973" t="s">
        <v>103</v>
      </c>
      <c r="BL973" t="s">
        <v>127</v>
      </c>
      <c r="BM973" t="s">
        <v>18164</v>
      </c>
      <c r="BN973" t="s">
        <v>74</v>
      </c>
      <c r="BO973" t="s">
        <v>412</v>
      </c>
      <c r="BP973" t="s">
        <v>74</v>
      </c>
      <c r="BQ973" t="s">
        <v>74</v>
      </c>
      <c r="BR973" t="s">
        <v>106</v>
      </c>
      <c r="BS973" t="s">
        <v>18165</v>
      </c>
      <c r="BT973" t="str">
        <f>HYPERLINK("https%3A%2F%2Fwww.webofscience.com%2Fwos%2Fwoscc%2Ffull-record%2FWOS:000398063100012","View Full Record in Web of Science")</f>
        <v>View Full Record in Web of Science</v>
      </c>
    </row>
    <row r="974" spans="1:72" x14ac:dyDescent="0.15">
      <c r="A974" t="s">
        <v>72</v>
      </c>
      <c r="B974" t="s">
        <v>18166</v>
      </c>
      <c r="C974" t="s">
        <v>74</v>
      </c>
      <c r="D974" t="s">
        <v>74</v>
      </c>
      <c r="E974" t="s">
        <v>74</v>
      </c>
      <c r="F974" t="s">
        <v>18167</v>
      </c>
      <c r="G974" t="s">
        <v>74</v>
      </c>
      <c r="H974" t="s">
        <v>74</v>
      </c>
      <c r="I974" t="s">
        <v>18168</v>
      </c>
      <c r="J974" t="s">
        <v>210</v>
      </c>
      <c r="K974" t="s">
        <v>74</v>
      </c>
      <c r="L974" t="s">
        <v>74</v>
      </c>
      <c r="M974" t="s">
        <v>78</v>
      </c>
      <c r="N974" t="s">
        <v>79</v>
      </c>
      <c r="O974" t="s">
        <v>74</v>
      </c>
      <c r="P974" t="s">
        <v>74</v>
      </c>
      <c r="Q974" t="s">
        <v>74</v>
      </c>
      <c r="R974" t="s">
        <v>74</v>
      </c>
      <c r="S974" t="s">
        <v>74</v>
      </c>
      <c r="T974" t="s">
        <v>74</v>
      </c>
      <c r="U974" t="s">
        <v>18169</v>
      </c>
      <c r="V974" t="s">
        <v>18170</v>
      </c>
      <c r="W974" t="s">
        <v>18171</v>
      </c>
      <c r="X974" t="s">
        <v>18172</v>
      </c>
      <c r="Y974" t="s">
        <v>18173</v>
      </c>
      <c r="Z974" t="s">
        <v>18174</v>
      </c>
      <c r="AA974" t="s">
        <v>18175</v>
      </c>
      <c r="AB974" t="s">
        <v>18176</v>
      </c>
      <c r="AC974" t="s">
        <v>18177</v>
      </c>
      <c r="AD974" t="s">
        <v>18178</v>
      </c>
      <c r="AE974" t="s">
        <v>18179</v>
      </c>
      <c r="AF974" t="s">
        <v>74</v>
      </c>
      <c r="AG974">
        <v>70</v>
      </c>
      <c r="AH974">
        <v>87</v>
      </c>
      <c r="AI974">
        <v>96</v>
      </c>
      <c r="AJ974">
        <v>2</v>
      </c>
      <c r="AK974">
        <v>42</v>
      </c>
      <c r="AL974" t="s">
        <v>222</v>
      </c>
      <c r="AM974" t="s">
        <v>223</v>
      </c>
      <c r="AN974" t="s">
        <v>224</v>
      </c>
      <c r="AO974" t="s">
        <v>74</v>
      </c>
      <c r="AP974" t="s">
        <v>226</v>
      </c>
      <c r="AQ974" t="s">
        <v>74</v>
      </c>
      <c r="AR974" t="s">
        <v>227</v>
      </c>
      <c r="AS974" t="s">
        <v>228</v>
      </c>
      <c r="AT974" t="s">
        <v>16127</v>
      </c>
      <c r="AU974">
        <v>2017</v>
      </c>
      <c r="AV974">
        <v>122</v>
      </c>
      <c r="AW974">
        <v>2</v>
      </c>
      <c r="AX974" t="s">
        <v>74</v>
      </c>
      <c r="AY974" t="s">
        <v>74</v>
      </c>
      <c r="AZ974" t="s">
        <v>74</v>
      </c>
      <c r="BA974" t="s">
        <v>74</v>
      </c>
      <c r="BB974">
        <v>1608</v>
      </c>
      <c r="BC974">
        <v>1633</v>
      </c>
      <c r="BD974" t="s">
        <v>74</v>
      </c>
      <c r="BE974" t="s">
        <v>18180</v>
      </c>
      <c r="BF974" t="str">
        <f>HYPERLINK("http://dx.doi.org/10.1002/2016JC011970","http://dx.doi.org/10.1002/2016JC011970")</f>
        <v>http://dx.doi.org/10.1002/2016JC011970</v>
      </c>
      <c r="BG974" t="s">
        <v>74</v>
      </c>
      <c r="BH974" t="s">
        <v>74</v>
      </c>
      <c r="BI974">
        <v>26</v>
      </c>
      <c r="BJ974" t="s">
        <v>127</v>
      </c>
      <c r="BK974" t="s">
        <v>103</v>
      </c>
      <c r="BL974" t="s">
        <v>127</v>
      </c>
      <c r="BM974" t="s">
        <v>18164</v>
      </c>
      <c r="BN974" t="s">
        <v>74</v>
      </c>
      <c r="BO974" t="s">
        <v>2912</v>
      </c>
      <c r="BP974" t="s">
        <v>74</v>
      </c>
      <c r="BQ974" t="s">
        <v>74</v>
      </c>
      <c r="BR974" t="s">
        <v>106</v>
      </c>
      <c r="BS974" t="s">
        <v>18181</v>
      </c>
      <c r="BT974" t="str">
        <f>HYPERLINK("https%3A%2F%2Fwww.webofscience.com%2Fwos%2Fwoscc%2Ffull-record%2FWOS:000398063100048","View Full Record in Web of Science")</f>
        <v>View Full Record in Web of Science</v>
      </c>
    </row>
    <row r="975" spans="1:72" x14ac:dyDescent="0.15">
      <c r="A975" t="s">
        <v>72</v>
      </c>
      <c r="B975" t="s">
        <v>18182</v>
      </c>
      <c r="C975" t="s">
        <v>74</v>
      </c>
      <c r="D975" t="s">
        <v>74</v>
      </c>
      <c r="E975" t="s">
        <v>74</v>
      </c>
      <c r="F975" t="s">
        <v>18183</v>
      </c>
      <c r="G975" t="s">
        <v>74</v>
      </c>
      <c r="H975" t="s">
        <v>74</v>
      </c>
      <c r="I975" t="s">
        <v>18184</v>
      </c>
      <c r="J975" t="s">
        <v>477</v>
      </c>
      <c r="K975" t="s">
        <v>74</v>
      </c>
      <c r="L975" t="s">
        <v>74</v>
      </c>
      <c r="M975" t="s">
        <v>78</v>
      </c>
      <c r="N975" t="s">
        <v>79</v>
      </c>
      <c r="O975" t="s">
        <v>74</v>
      </c>
      <c r="P975" t="s">
        <v>74</v>
      </c>
      <c r="Q975" t="s">
        <v>74</v>
      </c>
      <c r="R975" t="s">
        <v>74</v>
      </c>
      <c r="S975" t="s">
        <v>74</v>
      </c>
      <c r="T975" t="s">
        <v>74</v>
      </c>
      <c r="U975" t="s">
        <v>18185</v>
      </c>
      <c r="V975" t="s">
        <v>18186</v>
      </c>
      <c r="W975" t="s">
        <v>18187</v>
      </c>
      <c r="X975" t="s">
        <v>18188</v>
      </c>
      <c r="Y975" t="s">
        <v>18189</v>
      </c>
      <c r="Z975" t="s">
        <v>18190</v>
      </c>
      <c r="AA975" t="s">
        <v>18191</v>
      </c>
      <c r="AB975" t="s">
        <v>18192</v>
      </c>
      <c r="AC975" t="s">
        <v>18193</v>
      </c>
      <c r="AD975" t="s">
        <v>15805</v>
      </c>
      <c r="AE975" t="s">
        <v>18194</v>
      </c>
      <c r="AF975" t="s">
        <v>74</v>
      </c>
      <c r="AG975">
        <v>60</v>
      </c>
      <c r="AH975">
        <v>11</v>
      </c>
      <c r="AI975">
        <v>11</v>
      </c>
      <c r="AJ975">
        <v>0</v>
      </c>
      <c r="AK975">
        <v>13</v>
      </c>
      <c r="AL975" t="s">
        <v>222</v>
      </c>
      <c r="AM975" t="s">
        <v>223</v>
      </c>
      <c r="AN975" t="s">
        <v>224</v>
      </c>
      <c r="AO975" t="s">
        <v>489</v>
      </c>
      <c r="AP975" t="s">
        <v>490</v>
      </c>
      <c r="AQ975" t="s">
        <v>74</v>
      </c>
      <c r="AR975" t="s">
        <v>491</v>
      </c>
      <c r="AS975" t="s">
        <v>492</v>
      </c>
      <c r="AT975" t="s">
        <v>16127</v>
      </c>
      <c r="AU975">
        <v>2017</v>
      </c>
      <c r="AV975">
        <v>122</v>
      </c>
      <c r="AW975">
        <v>2</v>
      </c>
      <c r="AX975" t="s">
        <v>74</v>
      </c>
      <c r="AY975" t="s">
        <v>74</v>
      </c>
      <c r="AZ975" t="s">
        <v>74</v>
      </c>
      <c r="BA975" t="s">
        <v>74</v>
      </c>
      <c r="BB975">
        <v>2440</v>
      </c>
      <c r="BC975">
        <v>2454</v>
      </c>
      <c r="BD975" t="s">
        <v>74</v>
      </c>
      <c r="BE975" t="s">
        <v>18195</v>
      </c>
      <c r="BF975" t="str">
        <f>HYPERLINK("http://dx.doi.org/10.1002/2016JA023682","http://dx.doi.org/10.1002/2016JA023682")</f>
        <v>http://dx.doi.org/10.1002/2016JA023682</v>
      </c>
      <c r="BG975" t="s">
        <v>74</v>
      </c>
      <c r="BH975" t="s">
        <v>74</v>
      </c>
      <c r="BI975">
        <v>15</v>
      </c>
      <c r="BJ975" t="s">
        <v>494</v>
      </c>
      <c r="BK975" t="s">
        <v>103</v>
      </c>
      <c r="BL975" t="s">
        <v>494</v>
      </c>
      <c r="BM975" t="s">
        <v>16651</v>
      </c>
      <c r="BN975" t="s">
        <v>74</v>
      </c>
      <c r="BO975" t="s">
        <v>1100</v>
      </c>
      <c r="BP975" t="s">
        <v>74</v>
      </c>
      <c r="BQ975" t="s">
        <v>74</v>
      </c>
      <c r="BR975" t="s">
        <v>106</v>
      </c>
      <c r="BS975" t="s">
        <v>18196</v>
      </c>
      <c r="BT975" t="str">
        <f>HYPERLINK("https%3A%2F%2Fwww.webofscience.com%2Fwos%2Fwoscc%2Ffull-record%2FWOS:000397022900069","View Full Record in Web of Science")</f>
        <v>View Full Record in Web of Science</v>
      </c>
    </row>
    <row r="976" spans="1:72" x14ac:dyDescent="0.15">
      <c r="A976" t="s">
        <v>72</v>
      </c>
      <c r="B976" t="s">
        <v>18197</v>
      </c>
      <c r="C976" t="s">
        <v>74</v>
      </c>
      <c r="D976" t="s">
        <v>74</v>
      </c>
      <c r="E976" t="s">
        <v>74</v>
      </c>
      <c r="F976" t="s">
        <v>18198</v>
      </c>
      <c r="G976" t="s">
        <v>74</v>
      </c>
      <c r="H976" t="s">
        <v>74</v>
      </c>
      <c r="I976" t="s">
        <v>18199</v>
      </c>
      <c r="J976" t="s">
        <v>1971</v>
      </c>
      <c r="K976" t="s">
        <v>74</v>
      </c>
      <c r="L976" t="s">
        <v>74</v>
      </c>
      <c r="M976" t="s">
        <v>78</v>
      </c>
      <c r="N976" t="s">
        <v>79</v>
      </c>
      <c r="O976" t="s">
        <v>74</v>
      </c>
      <c r="P976" t="s">
        <v>74</v>
      </c>
      <c r="Q976" t="s">
        <v>74</v>
      </c>
      <c r="R976" t="s">
        <v>74</v>
      </c>
      <c r="S976" t="s">
        <v>74</v>
      </c>
      <c r="T976" t="s">
        <v>18200</v>
      </c>
      <c r="U976" t="s">
        <v>18201</v>
      </c>
      <c r="V976" t="s">
        <v>18202</v>
      </c>
      <c r="W976" t="s">
        <v>18203</v>
      </c>
      <c r="X976" t="s">
        <v>18204</v>
      </c>
      <c r="Y976" t="s">
        <v>18205</v>
      </c>
      <c r="Z976" t="s">
        <v>12452</v>
      </c>
      <c r="AA976" t="s">
        <v>18206</v>
      </c>
      <c r="AB976" t="s">
        <v>18207</v>
      </c>
      <c r="AC976" t="s">
        <v>18208</v>
      </c>
      <c r="AD976" t="s">
        <v>18209</v>
      </c>
      <c r="AE976" t="s">
        <v>18210</v>
      </c>
      <c r="AF976" t="s">
        <v>74</v>
      </c>
      <c r="AG976">
        <v>55</v>
      </c>
      <c r="AH976">
        <v>8</v>
      </c>
      <c r="AI976">
        <v>9</v>
      </c>
      <c r="AJ976">
        <v>1</v>
      </c>
      <c r="AK976">
        <v>13</v>
      </c>
      <c r="AL976" t="s">
        <v>803</v>
      </c>
      <c r="AM976" t="s">
        <v>1984</v>
      </c>
      <c r="AN976" t="s">
        <v>1985</v>
      </c>
      <c r="AO976" t="s">
        <v>1986</v>
      </c>
      <c r="AP976" t="s">
        <v>1987</v>
      </c>
      <c r="AQ976" t="s">
        <v>74</v>
      </c>
      <c r="AR976" t="s">
        <v>1988</v>
      </c>
      <c r="AS976" t="s">
        <v>1989</v>
      </c>
      <c r="AT976" t="s">
        <v>16127</v>
      </c>
      <c r="AU976">
        <v>2017</v>
      </c>
      <c r="AV976">
        <v>63</v>
      </c>
      <c r="AW976">
        <v>237</v>
      </c>
      <c r="AX976" t="s">
        <v>74</v>
      </c>
      <c r="AY976" t="s">
        <v>74</v>
      </c>
      <c r="AZ976" t="s">
        <v>74</v>
      </c>
      <c r="BA976" t="s">
        <v>74</v>
      </c>
      <c r="BB976">
        <v>106</v>
      </c>
      <c r="BC976">
        <v>117</v>
      </c>
      <c r="BD976" t="s">
        <v>74</v>
      </c>
      <c r="BE976" t="s">
        <v>18211</v>
      </c>
      <c r="BF976" t="str">
        <f>HYPERLINK("http://dx.doi.org/10.1017/jog.2016.121","http://dx.doi.org/10.1017/jog.2016.121")</f>
        <v>http://dx.doi.org/10.1017/jog.2016.121</v>
      </c>
      <c r="BG976" t="s">
        <v>74</v>
      </c>
      <c r="BH976" t="s">
        <v>74</v>
      </c>
      <c r="BI976">
        <v>12</v>
      </c>
      <c r="BJ976" t="s">
        <v>1338</v>
      </c>
      <c r="BK976" t="s">
        <v>103</v>
      </c>
      <c r="BL976" t="s">
        <v>1339</v>
      </c>
      <c r="BM976" t="s">
        <v>16475</v>
      </c>
      <c r="BN976" t="s">
        <v>74</v>
      </c>
      <c r="BO976" t="s">
        <v>1224</v>
      </c>
      <c r="BP976" t="s">
        <v>74</v>
      </c>
      <c r="BQ976" t="s">
        <v>74</v>
      </c>
      <c r="BR976" t="s">
        <v>106</v>
      </c>
      <c r="BS976" t="s">
        <v>18212</v>
      </c>
      <c r="BT976" t="str">
        <f>HYPERLINK("https%3A%2F%2Fwww.webofscience.com%2Fwos%2Fwoscc%2Ffull-record%2FWOS:000394435300009","View Full Record in Web of Science")</f>
        <v>View Full Record in Web of Science</v>
      </c>
    </row>
    <row r="977" spans="1:72" x14ac:dyDescent="0.15">
      <c r="A977" t="s">
        <v>72</v>
      </c>
      <c r="B977" t="s">
        <v>18213</v>
      </c>
      <c r="C977" t="s">
        <v>74</v>
      </c>
      <c r="D977" t="s">
        <v>74</v>
      </c>
      <c r="E977" t="s">
        <v>74</v>
      </c>
      <c r="F977" t="s">
        <v>18214</v>
      </c>
      <c r="G977" t="s">
        <v>74</v>
      </c>
      <c r="H977" t="s">
        <v>74</v>
      </c>
      <c r="I977" t="s">
        <v>18215</v>
      </c>
      <c r="J977" t="s">
        <v>1971</v>
      </c>
      <c r="K977" t="s">
        <v>74</v>
      </c>
      <c r="L977" t="s">
        <v>74</v>
      </c>
      <c r="M977" t="s">
        <v>78</v>
      </c>
      <c r="N977" t="s">
        <v>79</v>
      </c>
      <c r="O977" t="s">
        <v>74</v>
      </c>
      <c r="P977" t="s">
        <v>74</v>
      </c>
      <c r="Q977" t="s">
        <v>74</v>
      </c>
      <c r="R977" t="s">
        <v>74</v>
      </c>
      <c r="S977" t="s">
        <v>74</v>
      </c>
      <c r="T977" t="s">
        <v>18216</v>
      </c>
      <c r="U977" t="s">
        <v>18217</v>
      </c>
      <c r="V977" t="s">
        <v>18218</v>
      </c>
      <c r="W977" t="s">
        <v>18219</v>
      </c>
      <c r="X977" t="s">
        <v>2399</v>
      </c>
      <c r="Y977" t="s">
        <v>18220</v>
      </c>
      <c r="Z977" t="s">
        <v>18221</v>
      </c>
      <c r="AA977" t="s">
        <v>18222</v>
      </c>
      <c r="AB977" t="s">
        <v>18223</v>
      </c>
      <c r="AC977" t="s">
        <v>18224</v>
      </c>
      <c r="AD977" t="s">
        <v>18225</v>
      </c>
      <c r="AE977" t="s">
        <v>18226</v>
      </c>
      <c r="AF977" t="s">
        <v>74</v>
      </c>
      <c r="AG977">
        <v>29</v>
      </c>
      <c r="AH977">
        <v>22</v>
      </c>
      <c r="AI977">
        <v>24</v>
      </c>
      <c r="AJ977">
        <v>0</v>
      </c>
      <c r="AK977">
        <v>7</v>
      </c>
      <c r="AL977" t="s">
        <v>803</v>
      </c>
      <c r="AM977" t="s">
        <v>1984</v>
      </c>
      <c r="AN977" t="s">
        <v>1985</v>
      </c>
      <c r="AO977" t="s">
        <v>1986</v>
      </c>
      <c r="AP977" t="s">
        <v>1987</v>
      </c>
      <c r="AQ977" t="s">
        <v>74</v>
      </c>
      <c r="AR977" t="s">
        <v>1988</v>
      </c>
      <c r="AS977" t="s">
        <v>1989</v>
      </c>
      <c r="AT977" t="s">
        <v>16127</v>
      </c>
      <c r="AU977">
        <v>2017</v>
      </c>
      <c r="AV977">
        <v>63</v>
      </c>
      <c r="AW977">
        <v>237</v>
      </c>
      <c r="AX977" t="s">
        <v>74</v>
      </c>
      <c r="AY977" t="s">
        <v>74</v>
      </c>
      <c r="AZ977" t="s">
        <v>74</v>
      </c>
      <c r="BA977" t="s">
        <v>74</v>
      </c>
      <c r="BB977">
        <v>164</v>
      </c>
      <c r="BC977">
        <v>175</v>
      </c>
      <c r="BD977" t="s">
        <v>74</v>
      </c>
      <c r="BE977" t="s">
        <v>18227</v>
      </c>
      <c r="BF977" t="str">
        <f>HYPERLINK("http://dx.doi.org/10.1017/jog.2016.132","http://dx.doi.org/10.1017/jog.2016.132")</f>
        <v>http://dx.doi.org/10.1017/jog.2016.132</v>
      </c>
      <c r="BG977" t="s">
        <v>74</v>
      </c>
      <c r="BH977" t="s">
        <v>74</v>
      </c>
      <c r="BI977">
        <v>12</v>
      </c>
      <c r="BJ977" t="s">
        <v>1338</v>
      </c>
      <c r="BK977" t="s">
        <v>103</v>
      </c>
      <c r="BL977" t="s">
        <v>1339</v>
      </c>
      <c r="BM977" t="s">
        <v>16475</v>
      </c>
      <c r="BN977" t="s">
        <v>74</v>
      </c>
      <c r="BO977" t="s">
        <v>4449</v>
      </c>
      <c r="BP977" t="s">
        <v>74</v>
      </c>
      <c r="BQ977" t="s">
        <v>74</v>
      </c>
      <c r="BR977" t="s">
        <v>106</v>
      </c>
      <c r="BS977" t="s">
        <v>18228</v>
      </c>
      <c r="BT977" t="str">
        <f>HYPERLINK("https%3A%2F%2Fwww.webofscience.com%2Fwos%2Fwoscc%2Ffull-record%2FWOS:000394435300013","View Full Record in Web of Science")</f>
        <v>View Full Record in Web of Science</v>
      </c>
    </row>
    <row r="978" spans="1:72" x14ac:dyDescent="0.15">
      <c r="A978" t="s">
        <v>72</v>
      </c>
      <c r="B978" t="s">
        <v>18229</v>
      </c>
      <c r="C978" t="s">
        <v>74</v>
      </c>
      <c r="D978" t="s">
        <v>74</v>
      </c>
      <c r="E978" t="s">
        <v>74</v>
      </c>
      <c r="F978" t="s">
        <v>18230</v>
      </c>
      <c r="G978" t="s">
        <v>74</v>
      </c>
      <c r="H978" t="s">
        <v>74</v>
      </c>
      <c r="I978" t="s">
        <v>18231</v>
      </c>
      <c r="J978" t="s">
        <v>2639</v>
      </c>
      <c r="K978" t="s">
        <v>74</v>
      </c>
      <c r="L978" t="s">
        <v>74</v>
      </c>
      <c r="M978" t="s">
        <v>78</v>
      </c>
      <c r="N978" t="s">
        <v>79</v>
      </c>
      <c r="O978" t="s">
        <v>74</v>
      </c>
      <c r="P978" t="s">
        <v>74</v>
      </c>
      <c r="Q978" t="s">
        <v>74</v>
      </c>
      <c r="R978" t="s">
        <v>74</v>
      </c>
      <c r="S978" t="s">
        <v>74</v>
      </c>
      <c r="T978" t="s">
        <v>18232</v>
      </c>
      <c r="U978" t="s">
        <v>18233</v>
      </c>
      <c r="V978" t="s">
        <v>18234</v>
      </c>
      <c r="W978" t="s">
        <v>18235</v>
      </c>
      <c r="X978" t="s">
        <v>18236</v>
      </c>
      <c r="Y978" t="s">
        <v>18237</v>
      </c>
      <c r="Z978" t="s">
        <v>18238</v>
      </c>
      <c r="AA978" t="s">
        <v>18239</v>
      </c>
      <c r="AB978" t="s">
        <v>18240</v>
      </c>
      <c r="AC978" t="s">
        <v>18241</v>
      </c>
      <c r="AD978" t="s">
        <v>3155</v>
      </c>
      <c r="AE978" t="s">
        <v>74</v>
      </c>
      <c r="AF978" t="s">
        <v>74</v>
      </c>
      <c r="AG978">
        <v>83</v>
      </c>
      <c r="AH978">
        <v>29</v>
      </c>
      <c r="AI978">
        <v>31</v>
      </c>
      <c r="AJ978">
        <v>1</v>
      </c>
      <c r="AK978">
        <v>35</v>
      </c>
      <c r="AL978" t="s">
        <v>317</v>
      </c>
      <c r="AM978" t="s">
        <v>318</v>
      </c>
      <c r="AN978" t="s">
        <v>319</v>
      </c>
      <c r="AO978" t="s">
        <v>2652</v>
      </c>
      <c r="AP978" t="s">
        <v>2653</v>
      </c>
      <c r="AQ978" t="s">
        <v>74</v>
      </c>
      <c r="AR978" t="s">
        <v>2654</v>
      </c>
      <c r="AS978" t="s">
        <v>2655</v>
      </c>
      <c r="AT978" t="s">
        <v>16127</v>
      </c>
      <c r="AU978">
        <v>2017</v>
      </c>
      <c r="AV978">
        <v>166</v>
      </c>
      <c r="AW978" t="s">
        <v>74</v>
      </c>
      <c r="AX978" t="s">
        <v>74</v>
      </c>
      <c r="AY978" t="s">
        <v>74</v>
      </c>
      <c r="AZ978" t="s">
        <v>74</v>
      </c>
      <c r="BA978" t="s">
        <v>74</v>
      </c>
      <c r="BB978">
        <v>4</v>
      </c>
      <c r="BC978">
        <v>25</v>
      </c>
      <c r="BD978" t="s">
        <v>74</v>
      </c>
      <c r="BE978" t="s">
        <v>18242</v>
      </c>
      <c r="BF978" t="str">
        <f>HYPERLINK("http://dx.doi.org/10.1016/j.jmarsys.2016.06.013","http://dx.doi.org/10.1016/j.jmarsys.2016.06.013")</f>
        <v>http://dx.doi.org/10.1016/j.jmarsys.2016.06.013</v>
      </c>
      <c r="BG978" t="s">
        <v>74</v>
      </c>
      <c r="BH978" t="s">
        <v>74</v>
      </c>
      <c r="BI978">
        <v>22</v>
      </c>
      <c r="BJ978" t="s">
        <v>2657</v>
      </c>
      <c r="BK978" t="s">
        <v>103</v>
      </c>
      <c r="BL978" t="s">
        <v>2658</v>
      </c>
      <c r="BM978" t="s">
        <v>18243</v>
      </c>
      <c r="BN978" t="s">
        <v>74</v>
      </c>
      <c r="BO978" t="s">
        <v>231</v>
      </c>
      <c r="BP978" t="s">
        <v>74</v>
      </c>
      <c r="BQ978" t="s">
        <v>74</v>
      </c>
      <c r="BR978" t="s">
        <v>106</v>
      </c>
      <c r="BS978" t="s">
        <v>18244</v>
      </c>
      <c r="BT978" t="str">
        <f>HYPERLINK("https%3A%2F%2Fwww.webofscience.com%2Fwos%2Fwoscc%2Ffull-record%2FWOS:000391074300002","View Full Record in Web of Science")</f>
        <v>View Full Record in Web of Science</v>
      </c>
    </row>
    <row r="979" spans="1:72" x14ac:dyDescent="0.15">
      <c r="A979" t="s">
        <v>72</v>
      </c>
      <c r="B979" t="s">
        <v>18245</v>
      </c>
      <c r="C979" t="s">
        <v>74</v>
      </c>
      <c r="D979" t="s">
        <v>74</v>
      </c>
      <c r="E979" t="s">
        <v>74</v>
      </c>
      <c r="F979" t="s">
        <v>18246</v>
      </c>
      <c r="G979" t="s">
        <v>74</v>
      </c>
      <c r="H979" t="s">
        <v>74</v>
      </c>
      <c r="I979" t="s">
        <v>18247</v>
      </c>
      <c r="J979" t="s">
        <v>2639</v>
      </c>
      <c r="K979" t="s">
        <v>74</v>
      </c>
      <c r="L979" t="s">
        <v>74</v>
      </c>
      <c r="M979" t="s">
        <v>78</v>
      </c>
      <c r="N979" t="s">
        <v>79</v>
      </c>
      <c r="O979" t="s">
        <v>74</v>
      </c>
      <c r="P979" t="s">
        <v>74</v>
      </c>
      <c r="Q979" t="s">
        <v>74</v>
      </c>
      <c r="R979" t="s">
        <v>74</v>
      </c>
      <c r="S979" t="s">
        <v>74</v>
      </c>
      <c r="T979" t="s">
        <v>18248</v>
      </c>
      <c r="U979" t="s">
        <v>18249</v>
      </c>
      <c r="V979" t="s">
        <v>18250</v>
      </c>
      <c r="W979" t="s">
        <v>18251</v>
      </c>
      <c r="X979" t="s">
        <v>18252</v>
      </c>
      <c r="Y979" t="s">
        <v>18253</v>
      </c>
      <c r="Z979" t="s">
        <v>18254</v>
      </c>
      <c r="AA979" t="s">
        <v>18255</v>
      </c>
      <c r="AB979" t="s">
        <v>18256</v>
      </c>
      <c r="AC979" t="s">
        <v>18257</v>
      </c>
      <c r="AD979" t="s">
        <v>18258</v>
      </c>
      <c r="AE979" t="s">
        <v>18259</v>
      </c>
      <c r="AF979" t="s">
        <v>74</v>
      </c>
      <c r="AG979">
        <v>68</v>
      </c>
      <c r="AH979">
        <v>27</v>
      </c>
      <c r="AI979">
        <v>27</v>
      </c>
      <c r="AJ979">
        <v>0</v>
      </c>
      <c r="AK979">
        <v>6</v>
      </c>
      <c r="AL979" t="s">
        <v>1141</v>
      </c>
      <c r="AM979" t="s">
        <v>318</v>
      </c>
      <c r="AN979" t="s">
        <v>1142</v>
      </c>
      <c r="AO979" t="s">
        <v>2652</v>
      </c>
      <c r="AP979" t="s">
        <v>2653</v>
      </c>
      <c r="AQ979" t="s">
        <v>74</v>
      </c>
      <c r="AR979" t="s">
        <v>2654</v>
      </c>
      <c r="AS979" t="s">
        <v>2655</v>
      </c>
      <c r="AT979" t="s">
        <v>16127</v>
      </c>
      <c r="AU979">
        <v>2017</v>
      </c>
      <c r="AV979">
        <v>166</v>
      </c>
      <c r="AW979" t="s">
        <v>74</v>
      </c>
      <c r="AX979" t="s">
        <v>74</v>
      </c>
      <c r="AY979" t="s">
        <v>74</v>
      </c>
      <c r="AZ979" t="s">
        <v>74</v>
      </c>
      <c r="BA979" t="s">
        <v>74</v>
      </c>
      <c r="BB979">
        <v>132</v>
      </c>
      <c r="BC979">
        <v>143</v>
      </c>
      <c r="BD979" t="s">
        <v>74</v>
      </c>
      <c r="BE979" t="s">
        <v>18260</v>
      </c>
      <c r="BF979" t="str">
        <f>HYPERLINK("http://dx.doi.org/10.1016/j.jmarsys.2016.06.012","http://dx.doi.org/10.1016/j.jmarsys.2016.06.012")</f>
        <v>http://dx.doi.org/10.1016/j.jmarsys.2016.06.012</v>
      </c>
      <c r="BG979" t="s">
        <v>74</v>
      </c>
      <c r="BH979" t="s">
        <v>74</v>
      </c>
      <c r="BI979">
        <v>12</v>
      </c>
      <c r="BJ979" t="s">
        <v>2657</v>
      </c>
      <c r="BK979" t="s">
        <v>103</v>
      </c>
      <c r="BL979" t="s">
        <v>2658</v>
      </c>
      <c r="BM979" t="s">
        <v>18243</v>
      </c>
      <c r="BN979" t="s">
        <v>74</v>
      </c>
      <c r="BO979" t="s">
        <v>1538</v>
      </c>
      <c r="BP979" t="s">
        <v>74</v>
      </c>
      <c r="BQ979" t="s">
        <v>74</v>
      </c>
      <c r="BR979" t="s">
        <v>106</v>
      </c>
      <c r="BS979" t="s">
        <v>18261</v>
      </c>
      <c r="BT979" t="str">
        <f>HYPERLINK("https%3A%2F%2Fwww.webofscience.com%2Fwos%2Fwoscc%2Ffull-record%2FWOS:000391074300012","View Full Record in Web of Science")</f>
        <v>View Full Record in Web of Science</v>
      </c>
    </row>
    <row r="980" spans="1:72" x14ac:dyDescent="0.15">
      <c r="A980" t="s">
        <v>72</v>
      </c>
      <c r="B980" t="s">
        <v>18262</v>
      </c>
      <c r="C980" t="s">
        <v>74</v>
      </c>
      <c r="D980" t="s">
        <v>74</v>
      </c>
      <c r="E980" t="s">
        <v>74</v>
      </c>
      <c r="F980" t="s">
        <v>18263</v>
      </c>
      <c r="G980" t="s">
        <v>74</v>
      </c>
      <c r="H980" t="s">
        <v>74</v>
      </c>
      <c r="I980" t="s">
        <v>18264</v>
      </c>
      <c r="J980" t="s">
        <v>1384</v>
      </c>
      <c r="K980" t="s">
        <v>74</v>
      </c>
      <c r="L980" t="s">
        <v>74</v>
      </c>
      <c r="M980" t="s">
        <v>78</v>
      </c>
      <c r="N980" t="s">
        <v>79</v>
      </c>
      <c r="O980" t="s">
        <v>74</v>
      </c>
      <c r="P980" t="s">
        <v>74</v>
      </c>
      <c r="Q980" t="s">
        <v>74</v>
      </c>
      <c r="R980" t="s">
        <v>74</v>
      </c>
      <c r="S980" t="s">
        <v>74</v>
      </c>
      <c r="T980" t="s">
        <v>18265</v>
      </c>
      <c r="U980" t="s">
        <v>18266</v>
      </c>
      <c r="V980" t="s">
        <v>18267</v>
      </c>
      <c r="W980" t="s">
        <v>18268</v>
      </c>
      <c r="X980" t="s">
        <v>18269</v>
      </c>
      <c r="Y980" t="s">
        <v>18270</v>
      </c>
      <c r="Z980" t="s">
        <v>18271</v>
      </c>
      <c r="AA980" t="s">
        <v>18272</v>
      </c>
      <c r="AB980" t="s">
        <v>18273</v>
      </c>
      <c r="AC980" t="s">
        <v>18274</v>
      </c>
      <c r="AD980" t="s">
        <v>18275</v>
      </c>
      <c r="AE980" t="s">
        <v>18276</v>
      </c>
      <c r="AF980" t="s">
        <v>74</v>
      </c>
      <c r="AG980">
        <v>126</v>
      </c>
      <c r="AH980">
        <v>45</v>
      </c>
      <c r="AI980">
        <v>50</v>
      </c>
      <c r="AJ980">
        <v>1</v>
      </c>
      <c r="AK980">
        <v>44</v>
      </c>
      <c r="AL980" t="s">
        <v>681</v>
      </c>
      <c r="AM980" t="s">
        <v>682</v>
      </c>
      <c r="AN980" t="s">
        <v>683</v>
      </c>
      <c r="AO980" t="s">
        <v>1397</v>
      </c>
      <c r="AP980" t="s">
        <v>1398</v>
      </c>
      <c r="AQ980" t="s">
        <v>74</v>
      </c>
      <c r="AR980" t="s">
        <v>1399</v>
      </c>
      <c r="AS980" t="s">
        <v>1400</v>
      </c>
      <c r="AT980" t="s">
        <v>16127</v>
      </c>
      <c r="AU980">
        <v>2017</v>
      </c>
      <c r="AV980">
        <v>53</v>
      </c>
      <c r="AW980">
        <v>1</v>
      </c>
      <c r="AX980" t="s">
        <v>74</v>
      </c>
      <c r="AY980" t="s">
        <v>74</v>
      </c>
      <c r="AZ980" t="s">
        <v>74</v>
      </c>
      <c r="BA980" t="s">
        <v>74</v>
      </c>
      <c r="BB980">
        <v>161</v>
      </c>
      <c r="BC980">
        <v>187</v>
      </c>
      <c r="BD980" t="s">
        <v>74</v>
      </c>
      <c r="BE980" t="s">
        <v>18277</v>
      </c>
      <c r="BF980" t="str">
        <f>HYPERLINK("http://dx.doi.org/10.1111/jpy.12489","http://dx.doi.org/10.1111/jpy.12489")</f>
        <v>http://dx.doi.org/10.1111/jpy.12489</v>
      </c>
      <c r="BG980" t="s">
        <v>74</v>
      </c>
      <c r="BH980" t="s">
        <v>74</v>
      </c>
      <c r="BI980">
        <v>27</v>
      </c>
      <c r="BJ980" t="s">
        <v>1402</v>
      </c>
      <c r="BK980" t="s">
        <v>103</v>
      </c>
      <c r="BL980" t="s">
        <v>1402</v>
      </c>
      <c r="BM980" t="s">
        <v>18278</v>
      </c>
      <c r="BN980">
        <v>27809344</v>
      </c>
      <c r="BO980" t="s">
        <v>9716</v>
      </c>
      <c r="BP980" t="s">
        <v>74</v>
      </c>
      <c r="BQ980" t="s">
        <v>74</v>
      </c>
      <c r="BR980" t="s">
        <v>106</v>
      </c>
      <c r="BS980" t="s">
        <v>18279</v>
      </c>
      <c r="BT980" t="str">
        <f>HYPERLINK("https%3A%2F%2Fwww.webofscience.com%2Fwos%2Fwoscc%2Ffull-record%2FWOS:000397259800015","View Full Record in Web of Science")</f>
        <v>View Full Record in Web of Science</v>
      </c>
    </row>
    <row r="981" spans="1:72" x14ac:dyDescent="0.15">
      <c r="A981" t="s">
        <v>72</v>
      </c>
      <c r="B981" t="s">
        <v>18280</v>
      </c>
      <c r="C981" t="s">
        <v>74</v>
      </c>
      <c r="D981" t="s">
        <v>74</v>
      </c>
      <c r="E981" t="s">
        <v>74</v>
      </c>
      <c r="F981" t="s">
        <v>18281</v>
      </c>
      <c r="G981" t="s">
        <v>74</v>
      </c>
      <c r="H981" t="s">
        <v>74</v>
      </c>
      <c r="I981" t="s">
        <v>18282</v>
      </c>
      <c r="J981" t="s">
        <v>1105</v>
      </c>
      <c r="K981" t="s">
        <v>74</v>
      </c>
      <c r="L981" t="s">
        <v>74</v>
      </c>
      <c r="M981" t="s">
        <v>78</v>
      </c>
      <c r="N981" t="s">
        <v>79</v>
      </c>
      <c r="O981" t="s">
        <v>74</v>
      </c>
      <c r="P981" t="s">
        <v>74</v>
      </c>
      <c r="Q981" t="s">
        <v>74</v>
      </c>
      <c r="R981" t="s">
        <v>74</v>
      </c>
      <c r="S981" t="s">
        <v>74</v>
      </c>
      <c r="T981" t="s">
        <v>74</v>
      </c>
      <c r="U981" t="s">
        <v>18283</v>
      </c>
      <c r="V981" t="s">
        <v>18284</v>
      </c>
      <c r="W981" t="s">
        <v>18285</v>
      </c>
      <c r="X981" t="s">
        <v>18286</v>
      </c>
      <c r="Y981" t="s">
        <v>18287</v>
      </c>
      <c r="Z981" t="s">
        <v>18288</v>
      </c>
      <c r="AA981" t="s">
        <v>18289</v>
      </c>
      <c r="AB981" t="s">
        <v>74</v>
      </c>
      <c r="AC981" t="s">
        <v>18290</v>
      </c>
      <c r="AD981" t="s">
        <v>18291</v>
      </c>
      <c r="AE981" t="s">
        <v>18292</v>
      </c>
      <c r="AF981" t="s">
        <v>74</v>
      </c>
      <c r="AG981">
        <v>35</v>
      </c>
      <c r="AH981">
        <v>71</v>
      </c>
      <c r="AI981">
        <v>77</v>
      </c>
      <c r="AJ981">
        <v>0</v>
      </c>
      <c r="AK981">
        <v>24</v>
      </c>
      <c r="AL981" t="s">
        <v>1115</v>
      </c>
      <c r="AM981" t="s">
        <v>1116</v>
      </c>
      <c r="AN981" t="s">
        <v>1117</v>
      </c>
      <c r="AO981" t="s">
        <v>1118</v>
      </c>
      <c r="AP981" t="s">
        <v>1119</v>
      </c>
      <c r="AQ981" t="s">
        <v>74</v>
      </c>
      <c r="AR981" t="s">
        <v>1120</v>
      </c>
      <c r="AS981" t="s">
        <v>1121</v>
      </c>
      <c r="AT981" t="s">
        <v>16127</v>
      </c>
      <c r="AU981">
        <v>2017</v>
      </c>
      <c r="AV981">
        <v>47</v>
      </c>
      <c r="AW981">
        <v>2</v>
      </c>
      <c r="AX981" t="s">
        <v>74</v>
      </c>
      <c r="AY981" t="s">
        <v>74</v>
      </c>
      <c r="AZ981" t="s">
        <v>74</v>
      </c>
      <c r="BA981" t="s">
        <v>74</v>
      </c>
      <c r="BB981">
        <v>261</v>
      </c>
      <c r="BC981">
        <v>283</v>
      </c>
      <c r="BD981" t="s">
        <v>74</v>
      </c>
      <c r="BE981" t="s">
        <v>18293</v>
      </c>
      <c r="BF981" t="str">
        <f>HYPERLINK("http://dx.doi.org/10.1175/JPO-D-16-0082.1","http://dx.doi.org/10.1175/JPO-D-16-0082.1")</f>
        <v>http://dx.doi.org/10.1175/JPO-D-16-0082.1</v>
      </c>
      <c r="BG981" t="s">
        <v>74</v>
      </c>
      <c r="BH981" t="s">
        <v>74</v>
      </c>
      <c r="BI981">
        <v>23</v>
      </c>
      <c r="BJ981" t="s">
        <v>127</v>
      </c>
      <c r="BK981" t="s">
        <v>103</v>
      </c>
      <c r="BL981" t="s">
        <v>127</v>
      </c>
      <c r="BM981" t="s">
        <v>18294</v>
      </c>
      <c r="BN981" t="s">
        <v>74</v>
      </c>
      <c r="BO981" t="s">
        <v>1538</v>
      </c>
      <c r="BP981" t="s">
        <v>74</v>
      </c>
      <c r="BQ981" t="s">
        <v>74</v>
      </c>
      <c r="BR981" t="s">
        <v>106</v>
      </c>
      <c r="BS981" t="s">
        <v>18295</v>
      </c>
      <c r="BT981" t="str">
        <f>HYPERLINK("https%3A%2F%2Fwww.webofscience.com%2Fwos%2Fwoscc%2Ffull-record%2FWOS:000394505300001","View Full Record in Web of Science")</f>
        <v>View Full Record in Web of Science</v>
      </c>
    </row>
    <row r="982" spans="1:72" x14ac:dyDescent="0.15">
      <c r="A982" t="s">
        <v>72</v>
      </c>
      <c r="B982" t="s">
        <v>18296</v>
      </c>
      <c r="C982" t="s">
        <v>74</v>
      </c>
      <c r="D982" t="s">
        <v>74</v>
      </c>
      <c r="E982" t="s">
        <v>74</v>
      </c>
      <c r="F982" t="s">
        <v>18297</v>
      </c>
      <c r="G982" t="s">
        <v>74</v>
      </c>
      <c r="H982" t="s">
        <v>74</v>
      </c>
      <c r="I982" t="s">
        <v>18298</v>
      </c>
      <c r="J982" t="s">
        <v>18299</v>
      </c>
      <c r="K982" t="s">
        <v>74</v>
      </c>
      <c r="L982" t="s">
        <v>74</v>
      </c>
      <c r="M982" t="s">
        <v>78</v>
      </c>
      <c r="N982" t="s">
        <v>79</v>
      </c>
      <c r="O982" t="s">
        <v>74</v>
      </c>
      <c r="P982" t="s">
        <v>74</v>
      </c>
      <c r="Q982" t="s">
        <v>74</v>
      </c>
      <c r="R982" t="s">
        <v>74</v>
      </c>
      <c r="S982" t="s">
        <v>74</v>
      </c>
      <c r="T982" t="s">
        <v>18300</v>
      </c>
      <c r="U982" t="s">
        <v>18301</v>
      </c>
      <c r="V982" t="s">
        <v>18302</v>
      </c>
      <c r="W982" t="s">
        <v>18303</v>
      </c>
      <c r="X982" t="s">
        <v>18304</v>
      </c>
      <c r="Y982" t="s">
        <v>18305</v>
      </c>
      <c r="Z982" t="s">
        <v>18306</v>
      </c>
      <c r="AA982" t="s">
        <v>18307</v>
      </c>
      <c r="AB982" t="s">
        <v>18308</v>
      </c>
      <c r="AC982" t="s">
        <v>18309</v>
      </c>
      <c r="AD982" t="s">
        <v>18310</v>
      </c>
      <c r="AE982" t="s">
        <v>18311</v>
      </c>
      <c r="AF982" t="s">
        <v>74</v>
      </c>
      <c r="AG982">
        <v>51</v>
      </c>
      <c r="AH982">
        <v>2</v>
      </c>
      <c r="AI982">
        <v>2</v>
      </c>
      <c r="AJ982">
        <v>0</v>
      </c>
      <c r="AK982">
        <v>31</v>
      </c>
      <c r="AL982" t="s">
        <v>1141</v>
      </c>
      <c r="AM982" t="s">
        <v>318</v>
      </c>
      <c r="AN982" t="s">
        <v>1142</v>
      </c>
      <c r="AO982" t="s">
        <v>18312</v>
      </c>
      <c r="AP982" t="s">
        <v>18313</v>
      </c>
      <c r="AQ982" t="s">
        <v>74</v>
      </c>
      <c r="AR982" t="s">
        <v>18314</v>
      </c>
      <c r="AS982" t="s">
        <v>18315</v>
      </c>
      <c r="AT982" t="s">
        <v>16127</v>
      </c>
      <c r="AU982">
        <v>2017</v>
      </c>
      <c r="AV982">
        <v>12</v>
      </c>
      <c r="AW982" t="s">
        <v>74</v>
      </c>
      <c r="AX982" t="s">
        <v>74</v>
      </c>
      <c r="AY982" t="s">
        <v>74</v>
      </c>
      <c r="AZ982" t="s">
        <v>74</v>
      </c>
      <c r="BA982" t="s">
        <v>74</v>
      </c>
      <c r="BB982">
        <v>39</v>
      </c>
      <c r="BC982">
        <v>50</v>
      </c>
      <c r="BD982" t="s">
        <v>74</v>
      </c>
      <c r="BE982" t="s">
        <v>18316</v>
      </c>
      <c r="BF982" t="str">
        <f>HYPERLINK("http://dx.doi.org/10.1016/j.lssr.2017.01.002","http://dx.doi.org/10.1016/j.lssr.2017.01.002")</f>
        <v>http://dx.doi.org/10.1016/j.lssr.2017.01.002</v>
      </c>
      <c r="BG982" t="s">
        <v>74</v>
      </c>
      <c r="BH982" t="s">
        <v>74</v>
      </c>
      <c r="BI982">
        <v>12</v>
      </c>
      <c r="BJ982" t="s">
        <v>18317</v>
      </c>
      <c r="BK982" t="s">
        <v>103</v>
      </c>
      <c r="BL982" t="s">
        <v>18318</v>
      </c>
      <c r="BM982" t="s">
        <v>18319</v>
      </c>
      <c r="BN982">
        <v>28212707</v>
      </c>
      <c r="BO982" t="s">
        <v>74</v>
      </c>
      <c r="BP982" t="s">
        <v>74</v>
      </c>
      <c r="BQ982" t="s">
        <v>74</v>
      </c>
      <c r="BR982" t="s">
        <v>106</v>
      </c>
      <c r="BS982" t="s">
        <v>18320</v>
      </c>
      <c r="BT982" t="str">
        <f>HYPERLINK("https%3A%2F%2Fwww.webofscience.com%2Fwos%2Fwoscc%2Ffull-record%2FWOS:000397046100005","View Full Record in Web of Science")</f>
        <v>View Full Record in Web of Science</v>
      </c>
    </row>
    <row r="983" spans="1:72" x14ac:dyDescent="0.15">
      <c r="A983" t="s">
        <v>72</v>
      </c>
      <c r="B983" t="s">
        <v>18321</v>
      </c>
      <c r="C983" t="s">
        <v>74</v>
      </c>
      <c r="D983" t="s">
        <v>74</v>
      </c>
      <c r="E983" t="s">
        <v>74</v>
      </c>
      <c r="F983" t="s">
        <v>18322</v>
      </c>
      <c r="G983" t="s">
        <v>74</v>
      </c>
      <c r="H983" t="s">
        <v>74</v>
      </c>
      <c r="I983" t="s">
        <v>18323</v>
      </c>
      <c r="J983" t="s">
        <v>718</v>
      </c>
      <c r="K983" t="s">
        <v>74</v>
      </c>
      <c r="L983" t="s">
        <v>74</v>
      </c>
      <c r="M983" t="s">
        <v>78</v>
      </c>
      <c r="N983" t="s">
        <v>79</v>
      </c>
      <c r="O983" t="s">
        <v>74</v>
      </c>
      <c r="P983" t="s">
        <v>74</v>
      </c>
      <c r="Q983" t="s">
        <v>74</v>
      </c>
      <c r="R983" t="s">
        <v>74</v>
      </c>
      <c r="S983" t="s">
        <v>74</v>
      </c>
      <c r="T983" t="s">
        <v>74</v>
      </c>
      <c r="U983" t="s">
        <v>18324</v>
      </c>
      <c r="V983" t="s">
        <v>18325</v>
      </c>
      <c r="W983" t="s">
        <v>18326</v>
      </c>
      <c r="X983" t="s">
        <v>18327</v>
      </c>
      <c r="Y983" t="s">
        <v>18328</v>
      </c>
      <c r="Z983" t="s">
        <v>18329</v>
      </c>
      <c r="AA983" t="s">
        <v>18330</v>
      </c>
      <c r="AB983" t="s">
        <v>18331</v>
      </c>
      <c r="AC983" t="s">
        <v>18332</v>
      </c>
      <c r="AD983" t="s">
        <v>18333</v>
      </c>
      <c r="AE983" t="s">
        <v>18334</v>
      </c>
      <c r="AF983" t="s">
        <v>74</v>
      </c>
      <c r="AG983">
        <v>77</v>
      </c>
      <c r="AH983">
        <v>19</v>
      </c>
      <c r="AI983">
        <v>19</v>
      </c>
      <c r="AJ983">
        <v>0</v>
      </c>
      <c r="AK983">
        <v>24</v>
      </c>
      <c r="AL983" t="s">
        <v>729</v>
      </c>
      <c r="AM983" t="s">
        <v>730</v>
      </c>
      <c r="AN983" t="s">
        <v>731</v>
      </c>
      <c r="AO983" t="s">
        <v>732</v>
      </c>
      <c r="AP983" t="s">
        <v>733</v>
      </c>
      <c r="AQ983" t="s">
        <v>74</v>
      </c>
      <c r="AR983" t="s">
        <v>734</v>
      </c>
      <c r="AS983" t="s">
        <v>735</v>
      </c>
      <c r="AT983" t="s">
        <v>16127</v>
      </c>
      <c r="AU983">
        <v>2017</v>
      </c>
      <c r="AV983">
        <v>164</v>
      </c>
      <c r="AW983">
        <v>2</v>
      </c>
      <c r="AX983" t="s">
        <v>74</v>
      </c>
      <c r="AY983" t="s">
        <v>74</v>
      </c>
      <c r="AZ983" t="s">
        <v>74</v>
      </c>
      <c r="BA983" t="s">
        <v>74</v>
      </c>
      <c r="BB983" t="s">
        <v>74</v>
      </c>
      <c r="BC983" t="s">
        <v>74</v>
      </c>
      <c r="BD983">
        <v>33</v>
      </c>
      <c r="BE983" t="s">
        <v>18335</v>
      </c>
      <c r="BF983" t="str">
        <f>HYPERLINK("http://dx.doi.org/10.1007/s00227-016-3066-9","http://dx.doi.org/10.1007/s00227-016-3066-9")</f>
        <v>http://dx.doi.org/10.1007/s00227-016-3066-9</v>
      </c>
      <c r="BG983" t="s">
        <v>74</v>
      </c>
      <c r="BH983" t="s">
        <v>74</v>
      </c>
      <c r="BI983">
        <v>13</v>
      </c>
      <c r="BJ983" t="s">
        <v>737</v>
      </c>
      <c r="BK983" t="s">
        <v>103</v>
      </c>
      <c r="BL983" t="s">
        <v>737</v>
      </c>
      <c r="BM983" t="s">
        <v>18336</v>
      </c>
      <c r="BN983" t="s">
        <v>74</v>
      </c>
      <c r="BO983" t="s">
        <v>74</v>
      </c>
      <c r="BP983" t="s">
        <v>74</v>
      </c>
      <c r="BQ983" t="s">
        <v>74</v>
      </c>
      <c r="BR983" t="s">
        <v>106</v>
      </c>
      <c r="BS983" t="s">
        <v>18337</v>
      </c>
      <c r="BT983" t="str">
        <f>HYPERLINK("https%3A%2F%2Fwww.webofscience.com%2Fwos%2Fwoscc%2Ffull-record%2FWOS:000394315300004","View Full Record in Web of Science")</f>
        <v>View Full Record in Web of Science</v>
      </c>
    </row>
    <row r="984" spans="1:72" x14ac:dyDescent="0.15">
      <c r="A984" t="s">
        <v>72</v>
      </c>
      <c r="B984" t="s">
        <v>18338</v>
      </c>
      <c r="C984" t="s">
        <v>74</v>
      </c>
      <c r="D984" t="s">
        <v>74</v>
      </c>
      <c r="E984" t="s">
        <v>74</v>
      </c>
      <c r="F984" t="s">
        <v>18339</v>
      </c>
      <c r="G984" t="s">
        <v>74</v>
      </c>
      <c r="H984" t="s">
        <v>74</v>
      </c>
      <c r="I984" t="s">
        <v>18340</v>
      </c>
      <c r="J984" t="s">
        <v>5121</v>
      </c>
      <c r="K984" t="s">
        <v>74</v>
      </c>
      <c r="L984" t="s">
        <v>74</v>
      </c>
      <c r="M984" t="s">
        <v>78</v>
      </c>
      <c r="N984" t="s">
        <v>79</v>
      </c>
      <c r="O984" t="s">
        <v>74</v>
      </c>
      <c r="P984" t="s">
        <v>74</v>
      </c>
      <c r="Q984" t="s">
        <v>74</v>
      </c>
      <c r="R984" t="s">
        <v>74</v>
      </c>
      <c r="S984" t="s">
        <v>74</v>
      </c>
      <c r="T984" t="s">
        <v>18341</v>
      </c>
      <c r="U984" t="s">
        <v>18342</v>
      </c>
      <c r="V984" t="s">
        <v>18343</v>
      </c>
      <c r="W984" t="s">
        <v>18344</v>
      </c>
      <c r="X984" t="s">
        <v>18345</v>
      </c>
      <c r="Y984" t="s">
        <v>18346</v>
      </c>
      <c r="Z984" t="s">
        <v>18347</v>
      </c>
      <c r="AA984" t="s">
        <v>18348</v>
      </c>
      <c r="AB984" t="s">
        <v>18349</v>
      </c>
      <c r="AC984" t="s">
        <v>18350</v>
      </c>
      <c r="AD984" t="s">
        <v>18351</v>
      </c>
      <c r="AE984" t="s">
        <v>18352</v>
      </c>
      <c r="AF984" t="s">
        <v>74</v>
      </c>
      <c r="AG984">
        <v>102</v>
      </c>
      <c r="AH984">
        <v>51</v>
      </c>
      <c r="AI984">
        <v>54</v>
      </c>
      <c r="AJ984">
        <v>2</v>
      </c>
      <c r="AK984">
        <v>43</v>
      </c>
      <c r="AL984" t="s">
        <v>317</v>
      </c>
      <c r="AM984" t="s">
        <v>318</v>
      </c>
      <c r="AN984" t="s">
        <v>319</v>
      </c>
      <c r="AO984" t="s">
        <v>5134</v>
      </c>
      <c r="AP984" t="s">
        <v>5135</v>
      </c>
      <c r="AQ984" t="s">
        <v>74</v>
      </c>
      <c r="AR984" t="s">
        <v>5136</v>
      </c>
      <c r="AS984" t="s">
        <v>5137</v>
      </c>
      <c r="AT984" t="s">
        <v>16146</v>
      </c>
      <c r="AU984">
        <v>2017</v>
      </c>
      <c r="AV984">
        <v>384</v>
      </c>
      <c r="AW984" t="s">
        <v>74</v>
      </c>
      <c r="AX984" t="s">
        <v>74</v>
      </c>
      <c r="AY984" t="s">
        <v>74</v>
      </c>
      <c r="AZ984" t="s">
        <v>74</v>
      </c>
      <c r="BA984" t="s">
        <v>74</v>
      </c>
      <c r="BB984">
        <v>131</v>
      </c>
      <c r="BC984">
        <v>146</v>
      </c>
      <c r="BD984" t="s">
        <v>74</v>
      </c>
      <c r="BE984" t="s">
        <v>18353</v>
      </c>
      <c r="BF984" t="str">
        <f>HYPERLINK("http://dx.doi.org/10.1016/j.margeo.2016.01.009","http://dx.doi.org/10.1016/j.margeo.2016.01.009")</f>
        <v>http://dx.doi.org/10.1016/j.margeo.2016.01.009</v>
      </c>
      <c r="BG984" t="s">
        <v>74</v>
      </c>
      <c r="BH984" t="s">
        <v>74</v>
      </c>
      <c r="BI984">
        <v>16</v>
      </c>
      <c r="BJ984" t="s">
        <v>2433</v>
      </c>
      <c r="BK984" t="s">
        <v>103</v>
      </c>
      <c r="BL984" t="s">
        <v>2434</v>
      </c>
      <c r="BM984" t="s">
        <v>16148</v>
      </c>
      <c r="BN984" t="s">
        <v>74</v>
      </c>
      <c r="BO984" t="s">
        <v>74</v>
      </c>
      <c r="BP984" t="s">
        <v>74</v>
      </c>
      <c r="BQ984" t="s">
        <v>74</v>
      </c>
      <c r="BR984" t="s">
        <v>106</v>
      </c>
      <c r="BS984" t="s">
        <v>18354</v>
      </c>
      <c r="BT984" t="str">
        <f>HYPERLINK("https%3A%2F%2Fwww.webofscience.com%2Fwos%2Fwoscc%2Ffull-record%2FWOS:000405157900008","View Full Record in Web of Science")</f>
        <v>View Full Record in Web of Science</v>
      </c>
    </row>
    <row r="985" spans="1:72" x14ac:dyDescent="0.15">
      <c r="A985" t="s">
        <v>72</v>
      </c>
      <c r="B985" t="s">
        <v>18355</v>
      </c>
      <c r="C985" t="s">
        <v>74</v>
      </c>
      <c r="D985" t="s">
        <v>74</v>
      </c>
      <c r="E985" t="s">
        <v>74</v>
      </c>
      <c r="F985" t="s">
        <v>18356</v>
      </c>
      <c r="G985" t="s">
        <v>74</v>
      </c>
      <c r="H985" t="s">
        <v>74</v>
      </c>
      <c r="I985" t="s">
        <v>18357</v>
      </c>
      <c r="J985" t="s">
        <v>6054</v>
      </c>
      <c r="K985" t="s">
        <v>74</v>
      </c>
      <c r="L985" t="s">
        <v>74</v>
      </c>
      <c r="M985" t="s">
        <v>78</v>
      </c>
      <c r="N985" t="s">
        <v>79</v>
      </c>
      <c r="O985" t="s">
        <v>74</v>
      </c>
      <c r="P985" t="s">
        <v>74</v>
      </c>
      <c r="Q985" t="s">
        <v>74</v>
      </c>
      <c r="R985" t="s">
        <v>74</v>
      </c>
      <c r="S985" t="s">
        <v>74</v>
      </c>
      <c r="T985" t="s">
        <v>18358</v>
      </c>
      <c r="U985" t="s">
        <v>18359</v>
      </c>
      <c r="V985" t="s">
        <v>18360</v>
      </c>
      <c r="W985" t="s">
        <v>18361</v>
      </c>
      <c r="X985" t="s">
        <v>309</v>
      </c>
      <c r="Y985" t="s">
        <v>18362</v>
      </c>
      <c r="Z985" t="s">
        <v>18363</v>
      </c>
      <c r="AA985" t="s">
        <v>18364</v>
      </c>
      <c r="AB985" t="s">
        <v>18365</v>
      </c>
      <c r="AC985" t="s">
        <v>74</v>
      </c>
      <c r="AD985" t="s">
        <v>74</v>
      </c>
      <c r="AE985" t="s">
        <v>74</v>
      </c>
      <c r="AF985" t="s">
        <v>74</v>
      </c>
      <c r="AG985">
        <v>60</v>
      </c>
      <c r="AH985">
        <v>12</v>
      </c>
      <c r="AI985">
        <v>12</v>
      </c>
      <c r="AJ985">
        <v>0</v>
      </c>
      <c r="AK985">
        <v>13</v>
      </c>
      <c r="AL985" t="s">
        <v>374</v>
      </c>
      <c r="AM985" t="s">
        <v>93</v>
      </c>
      <c r="AN985" t="s">
        <v>375</v>
      </c>
      <c r="AO985" t="s">
        <v>6063</v>
      </c>
      <c r="AP985" t="s">
        <v>6064</v>
      </c>
      <c r="AQ985" t="s">
        <v>74</v>
      </c>
      <c r="AR985" t="s">
        <v>6065</v>
      </c>
      <c r="AS985" t="s">
        <v>6066</v>
      </c>
      <c r="AT985" t="s">
        <v>16127</v>
      </c>
      <c r="AU985">
        <v>2017</v>
      </c>
      <c r="AV985">
        <v>76</v>
      </c>
      <c r="AW985" t="s">
        <v>74</v>
      </c>
      <c r="AX985" t="s">
        <v>74</v>
      </c>
      <c r="AY985" t="s">
        <v>74</v>
      </c>
      <c r="AZ985" t="s">
        <v>74</v>
      </c>
      <c r="BA985" t="s">
        <v>74</v>
      </c>
      <c r="BB985">
        <v>55</v>
      </c>
      <c r="BC985">
        <v>62</v>
      </c>
      <c r="BD985" t="s">
        <v>74</v>
      </c>
      <c r="BE985" t="s">
        <v>18366</v>
      </c>
      <c r="BF985" t="str">
        <f>HYPERLINK("http://dx.doi.org/10.1016/j.marpol.2016.11.020","http://dx.doi.org/10.1016/j.marpol.2016.11.020")</f>
        <v>http://dx.doi.org/10.1016/j.marpol.2016.11.020</v>
      </c>
      <c r="BG985" t="s">
        <v>74</v>
      </c>
      <c r="BH985" t="s">
        <v>74</v>
      </c>
      <c r="BI985">
        <v>8</v>
      </c>
      <c r="BJ985" t="s">
        <v>6068</v>
      </c>
      <c r="BK985" t="s">
        <v>3321</v>
      </c>
      <c r="BL985" t="s">
        <v>6069</v>
      </c>
      <c r="BM985" t="s">
        <v>17202</v>
      </c>
      <c r="BN985" t="s">
        <v>74</v>
      </c>
      <c r="BO985" t="s">
        <v>74</v>
      </c>
      <c r="BP985" t="s">
        <v>74</v>
      </c>
      <c r="BQ985" t="s">
        <v>74</v>
      </c>
      <c r="BR985" t="s">
        <v>106</v>
      </c>
      <c r="BS985" t="s">
        <v>18367</v>
      </c>
      <c r="BT985" t="str">
        <f>HYPERLINK("https%3A%2F%2Fwww.webofscience.com%2Fwos%2Fwoscc%2Ffull-record%2FWOS:000393012200007","View Full Record in Web of Science")</f>
        <v>View Full Record in Web of Science</v>
      </c>
    </row>
    <row r="986" spans="1:72" x14ac:dyDescent="0.15">
      <c r="A986" t="s">
        <v>72</v>
      </c>
      <c r="B986" t="s">
        <v>18368</v>
      </c>
      <c r="C986" t="s">
        <v>74</v>
      </c>
      <c r="D986" t="s">
        <v>74</v>
      </c>
      <c r="E986" t="s">
        <v>74</v>
      </c>
      <c r="F986" t="s">
        <v>18369</v>
      </c>
      <c r="G986" t="s">
        <v>74</v>
      </c>
      <c r="H986" t="s">
        <v>74</v>
      </c>
      <c r="I986" t="s">
        <v>18370</v>
      </c>
      <c r="J986" t="s">
        <v>6054</v>
      </c>
      <c r="K986" t="s">
        <v>74</v>
      </c>
      <c r="L986" t="s">
        <v>74</v>
      </c>
      <c r="M986" t="s">
        <v>78</v>
      </c>
      <c r="N986" t="s">
        <v>79</v>
      </c>
      <c r="O986" t="s">
        <v>74</v>
      </c>
      <c r="P986" t="s">
        <v>74</v>
      </c>
      <c r="Q986" t="s">
        <v>74</v>
      </c>
      <c r="R986" t="s">
        <v>74</v>
      </c>
      <c r="S986" t="s">
        <v>74</v>
      </c>
      <c r="T986" t="s">
        <v>74</v>
      </c>
      <c r="U986" t="s">
        <v>18371</v>
      </c>
      <c r="V986" t="s">
        <v>18372</v>
      </c>
      <c r="W986" t="s">
        <v>18373</v>
      </c>
      <c r="X986" t="s">
        <v>18374</v>
      </c>
      <c r="Y986" t="s">
        <v>18375</v>
      </c>
      <c r="Z986" t="s">
        <v>18376</v>
      </c>
      <c r="AA986" t="s">
        <v>18377</v>
      </c>
      <c r="AB986" t="s">
        <v>18378</v>
      </c>
      <c r="AC986" t="s">
        <v>18379</v>
      </c>
      <c r="AD986" t="s">
        <v>18380</v>
      </c>
      <c r="AE986" t="s">
        <v>18381</v>
      </c>
      <c r="AF986" t="s">
        <v>74</v>
      </c>
      <c r="AG986">
        <v>72</v>
      </c>
      <c r="AH986">
        <v>14</v>
      </c>
      <c r="AI986">
        <v>16</v>
      </c>
      <c r="AJ986">
        <v>1</v>
      </c>
      <c r="AK986">
        <v>21</v>
      </c>
      <c r="AL986" t="s">
        <v>374</v>
      </c>
      <c r="AM986" t="s">
        <v>93</v>
      </c>
      <c r="AN986" t="s">
        <v>375</v>
      </c>
      <c r="AO986" t="s">
        <v>6063</v>
      </c>
      <c r="AP986" t="s">
        <v>6064</v>
      </c>
      <c r="AQ986" t="s">
        <v>74</v>
      </c>
      <c r="AR986" t="s">
        <v>6065</v>
      </c>
      <c r="AS986" t="s">
        <v>6066</v>
      </c>
      <c r="AT986" t="s">
        <v>16127</v>
      </c>
      <c r="AU986">
        <v>2017</v>
      </c>
      <c r="AV986">
        <v>76</v>
      </c>
      <c r="AW986" t="s">
        <v>74</v>
      </c>
      <c r="AX986" t="s">
        <v>74</v>
      </c>
      <c r="AY986" t="s">
        <v>74</v>
      </c>
      <c r="AZ986" t="s">
        <v>74</v>
      </c>
      <c r="BA986" t="s">
        <v>74</v>
      </c>
      <c r="BB986">
        <v>169</v>
      </c>
      <c r="BC986">
        <v>177</v>
      </c>
      <c r="BD986" t="s">
        <v>74</v>
      </c>
      <c r="BE986" t="s">
        <v>18382</v>
      </c>
      <c r="BF986" t="str">
        <f>HYPERLINK("http://dx.doi.org/10.1016/j.marpol.2016.11.034","http://dx.doi.org/10.1016/j.marpol.2016.11.034")</f>
        <v>http://dx.doi.org/10.1016/j.marpol.2016.11.034</v>
      </c>
      <c r="BG986" t="s">
        <v>74</v>
      </c>
      <c r="BH986" t="s">
        <v>74</v>
      </c>
      <c r="BI986">
        <v>9</v>
      </c>
      <c r="BJ986" t="s">
        <v>6068</v>
      </c>
      <c r="BK986" t="s">
        <v>3321</v>
      </c>
      <c r="BL986" t="s">
        <v>6069</v>
      </c>
      <c r="BM986" t="s">
        <v>17202</v>
      </c>
      <c r="BN986" t="s">
        <v>74</v>
      </c>
      <c r="BO986" t="s">
        <v>74</v>
      </c>
      <c r="BP986" t="s">
        <v>74</v>
      </c>
      <c r="BQ986" t="s">
        <v>74</v>
      </c>
      <c r="BR986" t="s">
        <v>106</v>
      </c>
      <c r="BS986" t="s">
        <v>18383</v>
      </c>
      <c r="BT986" t="str">
        <f>HYPERLINK("https%3A%2F%2Fwww.webofscience.com%2Fwos%2Fwoscc%2Ffull-record%2FWOS:000393012200021","View Full Record in Web of Science")</f>
        <v>View Full Record in Web of Science</v>
      </c>
    </row>
    <row r="987" spans="1:72" x14ac:dyDescent="0.15">
      <c r="A987" t="s">
        <v>72</v>
      </c>
      <c r="B987" t="s">
        <v>18384</v>
      </c>
      <c r="C987" t="s">
        <v>74</v>
      </c>
      <c r="D987" t="s">
        <v>74</v>
      </c>
      <c r="E987" t="s">
        <v>74</v>
      </c>
      <c r="F987" t="s">
        <v>18385</v>
      </c>
      <c r="G987" t="s">
        <v>74</v>
      </c>
      <c r="H987" t="s">
        <v>74</v>
      </c>
      <c r="I987" t="s">
        <v>18386</v>
      </c>
      <c r="J987" t="s">
        <v>1408</v>
      </c>
      <c r="K987" t="s">
        <v>74</v>
      </c>
      <c r="L987" t="s">
        <v>74</v>
      </c>
      <c r="M987" t="s">
        <v>78</v>
      </c>
      <c r="N987" t="s">
        <v>79</v>
      </c>
      <c r="O987" t="s">
        <v>74</v>
      </c>
      <c r="P987" t="s">
        <v>74</v>
      </c>
      <c r="Q987" t="s">
        <v>74</v>
      </c>
      <c r="R987" t="s">
        <v>74</v>
      </c>
      <c r="S987" t="s">
        <v>74</v>
      </c>
      <c r="T987" t="s">
        <v>74</v>
      </c>
      <c r="U987" t="s">
        <v>18387</v>
      </c>
      <c r="V987" t="s">
        <v>18388</v>
      </c>
      <c r="W987" t="s">
        <v>18389</v>
      </c>
      <c r="X987" t="s">
        <v>18390</v>
      </c>
      <c r="Y987" t="s">
        <v>18391</v>
      </c>
      <c r="Z987" t="s">
        <v>18392</v>
      </c>
      <c r="AA987" t="s">
        <v>18393</v>
      </c>
      <c r="AB987" t="s">
        <v>18394</v>
      </c>
      <c r="AC987" t="s">
        <v>18395</v>
      </c>
      <c r="AD987" t="s">
        <v>18396</v>
      </c>
      <c r="AE987" t="s">
        <v>18397</v>
      </c>
      <c r="AF987" t="s">
        <v>74</v>
      </c>
      <c r="AG987">
        <v>68</v>
      </c>
      <c r="AH987">
        <v>6</v>
      </c>
      <c r="AI987">
        <v>6</v>
      </c>
      <c r="AJ987">
        <v>0</v>
      </c>
      <c r="AK987">
        <v>10</v>
      </c>
      <c r="AL987" t="s">
        <v>681</v>
      </c>
      <c r="AM987" t="s">
        <v>682</v>
      </c>
      <c r="AN987" t="s">
        <v>683</v>
      </c>
      <c r="AO987" t="s">
        <v>1419</v>
      </c>
      <c r="AP987" t="s">
        <v>1420</v>
      </c>
      <c r="AQ987" t="s">
        <v>74</v>
      </c>
      <c r="AR987" t="s">
        <v>1421</v>
      </c>
      <c r="AS987" t="s">
        <v>1422</v>
      </c>
      <c r="AT987" t="s">
        <v>16127</v>
      </c>
      <c r="AU987">
        <v>2017</v>
      </c>
      <c r="AV987">
        <v>52</v>
      </c>
      <c r="AW987">
        <v>2</v>
      </c>
      <c r="AX987" t="s">
        <v>74</v>
      </c>
      <c r="AY987" t="s">
        <v>74</v>
      </c>
      <c r="AZ987" t="s">
        <v>74</v>
      </c>
      <c r="BA987" t="s">
        <v>74</v>
      </c>
      <c r="BB987">
        <v>206</v>
      </c>
      <c r="BC987">
        <v>224</v>
      </c>
      <c r="BD987" t="s">
        <v>74</v>
      </c>
      <c r="BE987" t="s">
        <v>18398</v>
      </c>
      <c r="BF987" t="str">
        <f>HYPERLINK("http://dx.doi.org/10.1111/maps.12782","http://dx.doi.org/10.1111/maps.12782")</f>
        <v>http://dx.doi.org/10.1111/maps.12782</v>
      </c>
      <c r="BG987" t="s">
        <v>74</v>
      </c>
      <c r="BH987" t="s">
        <v>74</v>
      </c>
      <c r="BI987">
        <v>19</v>
      </c>
      <c r="BJ987" t="s">
        <v>176</v>
      </c>
      <c r="BK987" t="s">
        <v>103</v>
      </c>
      <c r="BL987" t="s">
        <v>176</v>
      </c>
      <c r="BM987" t="s">
        <v>18399</v>
      </c>
      <c r="BN987" t="s">
        <v>74</v>
      </c>
      <c r="BO987" t="s">
        <v>5731</v>
      </c>
      <c r="BP987" t="s">
        <v>74</v>
      </c>
      <c r="BQ987" t="s">
        <v>74</v>
      </c>
      <c r="BR987" t="s">
        <v>106</v>
      </c>
      <c r="BS987" t="s">
        <v>18400</v>
      </c>
      <c r="BT987" t="str">
        <f>HYPERLINK("https%3A%2F%2Fwww.webofscience.com%2Fwos%2Fwoscc%2Ffull-record%2FWOS:000396823000002","View Full Record in Web of Science")</f>
        <v>View Full Record in Web of Science</v>
      </c>
    </row>
    <row r="988" spans="1:72" x14ac:dyDescent="0.15">
      <c r="A988" t="s">
        <v>72</v>
      </c>
      <c r="B988" t="s">
        <v>18401</v>
      </c>
      <c r="C988" t="s">
        <v>74</v>
      </c>
      <c r="D988" t="s">
        <v>74</v>
      </c>
      <c r="E988" t="s">
        <v>74</v>
      </c>
      <c r="F988" t="s">
        <v>18402</v>
      </c>
      <c r="G988" t="s">
        <v>74</v>
      </c>
      <c r="H988" t="s">
        <v>74</v>
      </c>
      <c r="I988" t="s">
        <v>18403</v>
      </c>
      <c r="J988" t="s">
        <v>1430</v>
      </c>
      <c r="K988" t="s">
        <v>74</v>
      </c>
      <c r="L988" t="s">
        <v>74</v>
      </c>
      <c r="M988" t="s">
        <v>78</v>
      </c>
      <c r="N988" t="s">
        <v>79</v>
      </c>
      <c r="O988" t="s">
        <v>74</v>
      </c>
      <c r="P988" t="s">
        <v>74</v>
      </c>
      <c r="Q988" t="s">
        <v>74</v>
      </c>
      <c r="R988" t="s">
        <v>74</v>
      </c>
      <c r="S988" t="s">
        <v>74</v>
      </c>
      <c r="T988" t="s">
        <v>18404</v>
      </c>
      <c r="U988" t="s">
        <v>18405</v>
      </c>
      <c r="V988" t="s">
        <v>18406</v>
      </c>
      <c r="W988" t="s">
        <v>18407</v>
      </c>
      <c r="X988" t="s">
        <v>18408</v>
      </c>
      <c r="Y988" t="s">
        <v>18409</v>
      </c>
      <c r="Z988" t="s">
        <v>18410</v>
      </c>
      <c r="AA988" t="s">
        <v>18411</v>
      </c>
      <c r="AB988" t="s">
        <v>18412</v>
      </c>
      <c r="AC988" t="s">
        <v>18413</v>
      </c>
      <c r="AD988" t="s">
        <v>18414</v>
      </c>
      <c r="AE988" t="s">
        <v>18415</v>
      </c>
      <c r="AF988" t="s">
        <v>74</v>
      </c>
      <c r="AG988">
        <v>48</v>
      </c>
      <c r="AH988">
        <v>65</v>
      </c>
      <c r="AI988">
        <v>78</v>
      </c>
      <c r="AJ988">
        <v>3</v>
      </c>
      <c r="AK988">
        <v>41</v>
      </c>
      <c r="AL988" t="s">
        <v>681</v>
      </c>
      <c r="AM988" t="s">
        <v>682</v>
      </c>
      <c r="AN988" t="s">
        <v>683</v>
      </c>
      <c r="AO988" t="s">
        <v>1443</v>
      </c>
      <c r="AP988" t="s">
        <v>1444</v>
      </c>
      <c r="AQ988" t="s">
        <v>74</v>
      </c>
      <c r="AR988" t="s">
        <v>1445</v>
      </c>
      <c r="AS988" t="s">
        <v>1446</v>
      </c>
      <c r="AT988" t="s">
        <v>16127</v>
      </c>
      <c r="AU988">
        <v>2017</v>
      </c>
      <c r="AV988">
        <v>8</v>
      </c>
      <c r="AW988">
        <v>2</v>
      </c>
      <c r="AX988" t="s">
        <v>74</v>
      </c>
      <c r="AY988" t="s">
        <v>74</v>
      </c>
      <c r="AZ988" t="s">
        <v>74</v>
      </c>
      <c r="BA988" t="s">
        <v>74</v>
      </c>
      <c r="BB988">
        <v>192</v>
      </c>
      <c r="BC988">
        <v>202</v>
      </c>
      <c r="BD988" t="s">
        <v>74</v>
      </c>
      <c r="BE988" t="s">
        <v>18416</v>
      </c>
      <c r="BF988" t="str">
        <f>HYPERLINK("http://dx.doi.org/10.1111/2041-210X.12677","http://dx.doi.org/10.1111/2041-210X.12677")</f>
        <v>http://dx.doi.org/10.1111/2041-210X.12677</v>
      </c>
      <c r="BG988" t="s">
        <v>74</v>
      </c>
      <c r="BH988" t="s">
        <v>74</v>
      </c>
      <c r="BI988">
        <v>11</v>
      </c>
      <c r="BJ988" t="s">
        <v>992</v>
      </c>
      <c r="BK988" t="s">
        <v>103</v>
      </c>
      <c r="BL988" t="s">
        <v>993</v>
      </c>
      <c r="BM988" t="s">
        <v>18417</v>
      </c>
      <c r="BN988" t="s">
        <v>74</v>
      </c>
      <c r="BO988" t="s">
        <v>18418</v>
      </c>
      <c r="BP988" t="s">
        <v>74</v>
      </c>
      <c r="BQ988" t="s">
        <v>74</v>
      </c>
      <c r="BR988" t="s">
        <v>106</v>
      </c>
      <c r="BS988" t="s">
        <v>18419</v>
      </c>
      <c r="BT988" t="str">
        <f>HYPERLINK("https%3A%2F%2Fwww.webofscience.com%2Fwos%2Fwoscc%2Ffull-record%2FWOS:000395092500006","View Full Record in Web of Science")</f>
        <v>View Full Record in Web of Science</v>
      </c>
    </row>
    <row r="989" spans="1:72" x14ac:dyDescent="0.15">
      <c r="A989" t="s">
        <v>72</v>
      </c>
      <c r="B989" t="s">
        <v>18420</v>
      </c>
      <c r="C989" t="s">
        <v>74</v>
      </c>
      <c r="D989" t="s">
        <v>74</v>
      </c>
      <c r="E989" t="s">
        <v>74</v>
      </c>
      <c r="F989" t="s">
        <v>18421</v>
      </c>
      <c r="G989" t="s">
        <v>74</v>
      </c>
      <c r="H989" t="s">
        <v>74</v>
      </c>
      <c r="I989" t="s">
        <v>18422</v>
      </c>
      <c r="J989" t="s">
        <v>18423</v>
      </c>
      <c r="K989" t="s">
        <v>74</v>
      </c>
      <c r="L989" t="s">
        <v>74</v>
      </c>
      <c r="M989" t="s">
        <v>78</v>
      </c>
      <c r="N989" t="s">
        <v>79</v>
      </c>
      <c r="O989" t="s">
        <v>74</v>
      </c>
      <c r="P989" t="s">
        <v>74</v>
      </c>
      <c r="Q989" t="s">
        <v>74</v>
      </c>
      <c r="R989" t="s">
        <v>74</v>
      </c>
      <c r="S989" t="s">
        <v>74</v>
      </c>
      <c r="T989" t="s">
        <v>18424</v>
      </c>
      <c r="U989" t="s">
        <v>18425</v>
      </c>
      <c r="V989" t="s">
        <v>18426</v>
      </c>
      <c r="W989" t="s">
        <v>18427</v>
      </c>
      <c r="X989" t="s">
        <v>18428</v>
      </c>
      <c r="Y989" t="s">
        <v>18429</v>
      </c>
      <c r="Z989" t="s">
        <v>18430</v>
      </c>
      <c r="AA989" t="s">
        <v>18431</v>
      </c>
      <c r="AB989" t="s">
        <v>18432</v>
      </c>
      <c r="AC989" t="s">
        <v>18433</v>
      </c>
      <c r="AD989" t="s">
        <v>18434</v>
      </c>
      <c r="AE989" t="s">
        <v>18435</v>
      </c>
      <c r="AF989" t="s">
        <v>74</v>
      </c>
      <c r="AG989">
        <v>108</v>
      </c>
      <c r="AH989">
        <v>34</v>
      </c>
      <c r="AI989">
        <v>35</v>
      </c>
      <c r="AJ989">
        <v>1</v>
      </c>
      <c r="AK989">
        <v>52</v>
      </c>
      <c r="AL989" t="s">
        <v>3295</v>
      </c>
      <c r="AM989" t="s">
        <v>3296</v>
      </c>
      <c r="AN989" t="s">
        <v>3297</v>
      </c>
      <c r="AO989" t="s">
        <v>18436</v>
      </c>
      <c r="AP989" t="s">
        <v>18437</v>
      </c>
      <c r="AQ989" t="s">
        <v>74</v>
      </c>
      <c r="AR989" t="s">
        <v>18438</v>
      </c>
      <c r="AS989" t="s">
        <v>18439</v>
      </c>
      <c r="AT989" t="s">
        <v>16127</v>
      </c>
      <c r="AU989">
        <v>2017</v>
      </c>
      <c r="AV989">
        <v>107</v>
      </c>
      <c r="AW989" t="s">
        <v>74</v>
      </c>
      <c r="AX989" t="s">
        <v>74</v>
      </c>
      <c r="AY989" t="s">
        <v>74</v>
      </c>
      <c r="AZ989" t="s">
        <v>74</v>
      </c>
      <c r="BA989" t="s">
        <v>74</v>
      </c>
      <c r="BB989">
        <v>117</v>
      </c>
      <c r="BC989">
        <v>131</v>
      </c>
      <c r="BD989" t="s">
        <v>74</v>
      </c>
      <c r="BE989" t="s">
        <v>18440</v>
      </c>
      <c r="BF989" t="str">
        <f>HYPERLINK("http://dx.doi.org/10.1016/j.ympev.2016.10.013","http://dx.doi.org/10.1016/j.ympev.2016.10.013")</f>
        <v>http://dx.doi.org/10.1016/j.ympev.2016.10.013</v>
      </c>
      <c r="BG989" t="s">
        <v>74</v>
      </c>
      <c r="BH989" t="s">
        <v>74</v>
      </c>
      <c r="BI989">
        <v>15</v>
      </c>
      <c r="BJ989" t="s">
        <v>18441</v>
      </c>
      <c r="BK989" t="s">
        <v>103</v>
      </c>
      <c r="BL989" t="s">
        <v>18441</v>
      </c>
      <c r="BM989" t="s">
        <v>18442</v>
      </c>
      <c r="BN989">
        <v>27769902</v>
      </c>
      <c r="BO989" t="s">
        <v>74</v>
      </c>
      <c r="BP989" t="s">
        <v>74</v>
      </c>
      <c r="BQ989" t="s">
        <v>74</v>
      </c>
      <c r="BR989" t="s">
        <v>106</v>
      </c>
      <c r="BS989" t="s">
        <v>18443</v>
      </c>
      <c r="BT989" t="str">
        <f>HYPERLINK("https%3A%2F%2Fwww.webofscience.com%2Fwos%2Fwoscc%2Ffull-record%2FWOS:000394200500012","View Full Record in Web of Science")</f>
        <v>View Full Record in Web of Science</v>
      </c>
    </row>
    <row r="990" spans="1:72" x14ac:dyDescent="0.15">
      <c r="A990" t="s">
        <v>72</v>
      </c>
      <c r="B990" t="s">
        <v>18444</v>
      </c>
      <c r="C990" t="s">
        <v>74</v>
      </c>
      <c r="D990" t="s">
        <v>74</v>
      </c>
      <c r="E990" t="s">
        <v>74</v>
      </c>
      <c r="F990" t="s">
        <v>18445</v>
      </c>
      <c r="G990" t="s">
        <v>74</v>
      </c>
      <c r="H990" t="s">
        <v>74</v>
      </c>
      <c r="I990" t="s">
        <v>18446</v>
      </c>
      <c r="J990" t="s">
        <v>18423</v>
      </c>
      <c r="K990" t="s">
        <v>74</v>
      </c>
      <c r="L990" t="s">
        <v>74</v>
      </c>
      <c r="M990" t="s">
        <v>78</v>
      </c>
      <c r="N990" t="s">
        <v>79</v>
      </c>
      <c r="O990" t="s">
        <v>74</v>
      </c>
      <c r="P990" t="s">
        <v>74</v>
      </c>
      <c r="Q990" t="s">
        <v>74</v>
      </c>
      <c r="R990" t="s">
        <v>74</v>
      </c>
      <c r="S990" t="s">
        <v>74</v>
      </c>
      <c r="T990" t="s">
        <v>18447</v>
      </c>
      <c r="U990" t="s">
        <v>18448</v>
      </c>
      <c r="V990" t="s">
        <v>18449</v>
      </c>
      <c r="W990" t="s">
        <v>18450</v>
      </c>
      <c r="X990" t="s">
        <v>1525</v>
      </c>
      <c r="Y990" t="s">
        <v>18451</v>
      </c>
      <c r="Z990" t="s">
        <v>18452</v>
      </c>
      <c r="AA990" t="s">
        <v>18453</v>
      </c>
      <c r="AB990" t="s">
        <v>18454</v>
      </c>
      <c r="AC990" t="s">
        <v>18455</v>
      </c>
      <c r="AD990" t="s">
        <v>8661</v>
      </c>
      <c r="AE990" t="s">
        <v>18456</v>
      </c>
      <c r="AF990" t="s">
        <v>74</v>
      </c>
      <c r="AG990">
        <v>103</v>
      </c>
      <c r="AH990">
        <v>42</v>
      </c>
      <c r="AI990">
        <v>45</v>
      </c>
      <c r="AJ990">
        <v>1</v>
      </c>
      <c r="AK990">
        <v>42</v>
      </c>
      <c r="AL990" t="s">
        <v>3295</v>
      </c>
      <c r="AM990" t="s">
        <v>3296</v>
      </c>
      <c r="AN990" t="s">
        <v>3297</v>
      </c>
      <c r="AO990" t="s">
        <v>18436</v>
      </c>
      <c r="AP990" t="s">
        <v>18437</v>
      </c>
      <c r="AQ990" t="s">
        <v>74</v>
      </c>
      <c r="AR990" t="s">
        <v>18438</v>
      </c>
      <c r="AS990" t="s">
        <v>18439</v>
      </c>
      <c r="AT990" t="s">
        <v>16127</v>
      </c>
      <c r="AU990">
        <v>2017</v>
      </c>
      <c r="AV990">
        <v>107</v>
      </c>
      <c r="AW990" t="s">
        <v>74</v>
      </c>
      <c r="AX990" t="s">
        <v>74</v>
      </c>
      <c r="AY990" t="s">
        <v>74</v>
      </c>
      <c r="AZ990" t="s">
        <v>74</v>
      </c>
      <c r="BA990" t="s">
        <v>74</v>
      </c>
      <c r="BB990">
        <v>473</v>
      </c>
      <c r="BC990">
        <v>485</v>
      </c>
      <c r="BD990" t="s">
        <v>74</v>
      </c>
      <c r="BE990" t="s">
        <v>18457</v>
      </c>
      <c r="BF990" t="str">
        <f>HYPERLINK("http://dx.doi.org/10.1016/j.ympev.2016.12.019","http://dx.doi.org/10.1016/j.ympev.2016.12.019")</f>
        <v>http://dx.doi.org/10.1016/j.ympev.2016.12.019</v>
      </c>
      <c r="BG990" t="s">
        <v>74</v>
      </c>
      <c r="BH990" t="s">
        <v>74</v>
      </c>
      <c r="BI990">
        <v>13</v>
      </c>
      <c r="BJ990" t="s">
        <v>18441</v>
      </c>
      <c r="BK990" t="s">
        <v>103</v>
      </c>
      <c r="BL990" t="s">
        <v>18441</v>
      </c>
      <c r="BM990" t="s">
        <v>18442</v>
      </c>
      <c r="BN990">
        <v>28007567</v>
      </c>
      <c r="BO990" t="s">
        <v>1538</v>
      </c>
      <c r="BP990" t="s">
        <v>74</v>
      </c>
      <c r="BQ990" t="s">
        <v>74</v>
      </c>
      <c r="BR990" t="s">
        <v>106</v>
      </c>
      <c r="BS990" t="s">
        <v>18458</v>
      </c>
      <c r="BT990" t="str">
        <f>HYPERLINK("https%3A%2F%2Fwww.webofscience.com%2Fwos%2Fwoscc%2Ffull-record%2FWOS:000394200500044","View Full Record in Web of Science")</f>
        <v>View Full Record in Web of Science</v>
      </c>
    </row>
    <row r="991" spans="1:72" x14ac:dyDescent="0.15">
      <c r="A991" t="s">
        <v>72</v>
      </c>
      <c r="B991" t="s">
        <v>18459</v>
      </c>
      <c r="C991" t="s">
        <v>74</v>
      </c>
      <c r="D991" t="s">
        <v>74</v>
      </c>
      <c r="E991" t="s">
        <v>74</v>
      </c>
      <c r="F991" t="s">
        <v>18460</v>
      </c>
      <c r="G991" t="s">
        <v>74</v>
      </c>
      <c r="H991" t="s">
        <v>74</v>
      </c>
      <c r="I991" t="s">
        <v>18461</v>
      </c>
      <c r="J991" t="s">
        <v>18423</v>
      </c>
      <c r="K991" t="s">
        <v>74</v>
      </c>
      <c r="L991" t="s">
        <v>74</v>
      </c>
      <c r="M991" t="s">
        <v>78</v>
      </c>
      <c r="N991" t="s">
        <v>79</v>
      </c>
      <c r="O991" t="s">
        <v>74</v>
      </c>
      <c r="P991" t="s">
        <v>74</v>
      </c>
      <c r="Q991" t="s">
        <v>74</v>
      </c>
      <c r="R991" t="s">
        <v>74</v>
      </c>
      <c r="S991" t="s">
        <v>74</v>
      </c>
      <c r="T991" t="s">
        <v>18462</v>
      </c>
      <c r="U991" t="s">
        <v>18463</v>
      </c>
      <c r="V991" t="s">
        <v>18464</v>
      </c>
      <c r="W991" t="s">
        <v>18465</v>
      </c>
      <c r="X991" t="s">
        <v>18466</v>
      </c>
      <c r="Y991" t="s">
        <v>18467</v>
      </c>
      <c r="Z991" t="s">
        <v>18468</v>
      </c>
      <c r="AA991" t="s">
        <v>18469</v>
      </c>
      <c r="AB991" t="s">
        <v>18470</v>
      </c>
      <c r="AC991" t="s">
        <v>18471</v>
      </c>
      <c r="AD991" t="s">
        <v>18472</v>
      </c>
      <c r="AE991" t="s">
        <v>18473</v>
      </c>
      <c r="AF991" t="s">
        <v>74</v>
      </c>
      <c r="AG991">
        <v>90</v>
      </c>
      <c r="AH991">
        <v>35</v>
      </c>
      <c r="AI991">
        <v>39</v>
      </c>
      <c r="AJ991">
        <v>1</v>
      </c>
      <c r="AK991">
        <v>45</v>
      </c>
      <c r="AL991" t="s">
        <v>3295</v>
      </c>
      <c r="AM991" t="s">
        <v>3296</v>
      </c>
      <c r="AN991" t="s">
        <v>3297</v>
      </c>
      <c r="AO991" t="s">
        <v>18436</v>
      </c>
      <c r="AP991" t="s">
        <v>18437</v>
      </c>
      <c r="AQ991" t="s">
        <v>74</v>
      </c>
      <c r="AR991" t="s">
        <v>18438</v>
      </c>
      <c r="AS991" t="s">
        <v>18439</v>
      </c>
      <c r="AT991" t="s">
        <v>16127</v>
      </c>
      <c r="AU991">
        <v>2017</v>
      </c>
      <c r="AV991">
        <v>107</v>
      </c>
      <c r="AW991" t="s">
        <v>74</v>
      </c>
      <c r="AX991" t="s">
        <v>74</v>
      </c>
      <c r="AY991" t="s">
        <v>74</v>
      </c>
      <c r="AZ991" t="s">
        <v>74</v>
      </c>
      <c r="BA991" t="s">
        <v>74</v>
      </c>
      <c r="BB991">
        <v>486</v>
      </c>
      <c r="BC991">
        <v>498</v>
      </c>
      <c r="BD991" t="s">
        <v>74</v>
      </c>
      <c r="BE991" t="s">
        <v>18474</v>
      </c>
      <c r="BF991" t="str">
        <f>HYPERLINK("http://dx.doi.org/10.1016/j.ympev.2016.12.003","http://dx.doi.org/10.1016/j.ympev.2016.12.003")</f>
        <v>http://dx.doi.org/10.1016/j.ympev.2016.12.003</v>
      </c>
      <c r="BG991" t="s">
        <v>74</v>
      </c>
      <c r="BH991" t="s">
        <v>74</v>
      </c>
      <c r="BI991">
        <v>13</v>
      </c>
      <c r="BJ991" t="s">
        <v>18441</v>
      </c>
      <c r="BK991" t="s">
        <v>103</v>
      </c>
      <c r="BL991" t="s">
        <v>18441</v>
      </c>
      <c r="BM991" t="s">
        <v>18442</v>
      </c>
      <c r="BN991">
        <v>27940333</v>
      </c>
      <c r="BO991" t="s">
        <v>74</v>
      </c>
      <c r="BP991" t="s">
        <v>74</v>
      </c>
      <c r="BQ991" t="s">
        <v>74</v>
      </c>
      <c r="BR991" t="s">
        <v>106</v>
      </c>
      <c r="BS991" t="s">
        <v>18475</v>
      </c>
      <c r="BT991" t="str">
        <f>HYPERLINK("https%3A%2F%2Fwww.webofscience.com%2Fwos%2Fwoscc%2Ffull-record%2FWOS:000394200500045","View Full Record in Web of Science")</f>
        <v>View Full Record in Web of Science</v>
      </c>
    </row>
    <row r="992" spans="1:72" x14ac:dyDescent="0.15">
      <c r="A992" t="s">
        <v>72</v>
      </c>
      <c r="B992" t="s">
        <v>18476</v>
      </c>
      <c r="C992" t="s">
        <v>74</v>
      </c>
      <c r="D992" t="s">
        <v>74</v>
      </c>
      <c r="E992" t="s">
        <v>74</v>
      </c>
      <c r="F992" t="s">
        <v>18477</v>
      </c>
      <c r="G992" t="s">
        <v>74</v>
      </c>
      <c r="H992" t="s">
        <v>74</v>
      </c>
      <c r="I992" t="s">
        <v>18478</v>
      </c>
      <c r="J992" t="s">
        <v>1000</v>
      </c>
      <c r="K992" t="s">
        <v>74</v>
      </c>
      <c r="L992" t="s">
        <v>74</v>
      </c>
      <c r="M992" t="s">
        <v>78</v>
      </c>
      <c r="N992" t="s">
        <v>79</v>
      </c>
      <c r="O992" t="s">
        <v>74</v>
      </c>
      <c r="P992" t="s">
        <v>74</v>
      </c>
      <c r="Q992" t="s">
        <v>74</v>
      </c>
      <c r="R992" t="s">
        <v>74</v>
      </c>
      <c r="S992" t="s">
        <v>74</v>
      </c>
      <c r="T992" t="s">
        <v>18479</v>
      </c>
      <c r="U992" t="s">
        <v>18480</v>
      </c>
      <c r="V992" t="s">
        <v>18481</v>
      </c>
      <c r="W992" t="s">
        <v>18482</v>
      </c>
      <c r="X992" t="s">
        <v>18483</v>
      </c>
      <c r="Y992" t="s">
        <v>18484</v>
      </c>
      <c r="Z992" t="s">
        <v>18485</v>
      </c>
      <c r="AA992" t="s">
        <v>18486</v>
      </c>
      <c r="AB992" t="s">
        <v>18487</v>
      </c>
      <c r="AC992" t="s">
        <v>18488</v>
      </c>
      <c r="AD992" t="s">
        <v>18488</v>
      </c>
      <c r="AE992" t="s">
        <v>18489</v>
      </c>
      <c r="AF992" t="s">
        <v>74</v>
      </c>
      <c r="AG992">
        <v>107</v>
      </c>
      <c r="AH992">
        <v>31</v>
      </c>
      <c r="AI992">
        <v>35</v>
      </c>
      <c r="AJ992">
        <v>3</v>
      </c>
      <c r="AK992">
        <v>58</v>
      </c>
      <c r="AL992" t="s">
        <v>986</v>
      </c>
      <c r="AM992" t="s">
        <v>430</v>
      </c>
      <c r="AN992" t="s">
        <v>987</v>
      </c>
      <c r="AO992" t="s">
        <v>1013</v>
      </c>
      <c r="AP992" t="s">
        <v>1014</v>
      </c>
      <c r="AQ992" t="s">
        <v>74</v>
      </c>
      <c r="AR992" t="s">
        <v>1015</v>
      </c>
      <c r="AS992" t="s">
        <v>1016</v>
      </c>
      <c r="AT992" t="s">
        <v>16127</v>
      </c>
      <c r="AU992">
        <v>2017</v>
      </c>
      <c r="AV992">
        <v>40</v>
      </c>
      <c r="AW992">
        <v>2</v>
      </c>
      <c r="AX992" t="s">
        <v>74</v>
      </c>
      <c r="AY992" t="s">
        <v>74</v>
      </c>
      <c r="AZ992" t="s">
        <v>74</v>
      </c>
      <c r="BA992" t="s">
        <v>74</v>
      </c>
      <c r="BB992">
        <v>277</v>
      </c>
      <c r="BC992">
        <v>289</v>
      </c>
      <c r="BD992" t="s">
        <v>74</v>
      </c>
      <c r="BE992" t="s">
        <v>18490</v>
      </c>
      <c r="BF992" t="str">
        <f>HYPERLINK("http://dx.doi.org/10.1007/s00300-016-1951-9","http://dx.doi.org/10.1007/s00300-016-1951-9")</f>
        <v>http://dx.doi.org/10.1007/s00300-016-1951-9</v>
      </c>
      <c r="BG992" t="s">
        <v>74</v>
      </c>
      <c r="BH992" t="s">
        <v>74</v>
      </c>
      <c r="BI992">
        <v>13</v>
      </c>
      <c r="BJ992" t="s">
        <v>1018</v>
      </c>
      <c r="BK992" t="s">
        <v>103</v>
      </c>
      <c r="BL992" t="s">
        <v>326</v>
      </c>
      <c r="BM992" t="s">
        <v>17072</v>
      </c>
      <c r="BN992" t="s">
        <v>74</v>
      </c>
      <c r="BO992" t="s">
        <v>74</v>
      </c>
      <c r="BP992" t="s">
        <v>74</v>
      </c>
      <c r="BQ992" t="s">
        <v>74</v>
      </c>
      <c r="BR992" t="s">
        <v>106</v>
      </c>
      <c r="BS992" t="s">
        <v>18491</v>
      </c>
      <c r="BT992" t="str">
        <f>HYPERLINK("https%3A%2F%2Fwww.webofscience.com%2Fwos%2Fwoscc%2Ffull-record%2FWOS:000393761500004","View Full Record in Web of Science")</f>
        <v>View Full Record in Web of Science</v>
      </c>
    </row>
    <row r="993" spans="1:72" x14ac:dyDescent="0.15">
      <c r="A993" t="s">
        <v>72</v>
      </c>
      <c r="B993" t="s">
        <v>18492</v>
      </c>
      <c r="C993" t="s">
        <v>74</v>
      </c>
      <c r="D993" t="s">
        <v>74</v>
      </c>
      <c r="E993" t="s">
        <v>74</v>
      </c>
      <c r="F993" t="s">
        <v>18493</v>
      </c>
      <c r="G993" t="s">
        <v>74</v>
      </c>
      <c r="H993" t="s">
        <v>74</v>
      </c>
      <c r="I993" t="s">
        <v>18494</v>
      </c>
      <c r="J993" t="s">
        <v>1000</v>
      </c>
      <c r="K993" t="s">
        <v>74</v>
      </c>
      <c r="L993" t="s">
        <v>74</v>
      </c>
      <c r="M993" t="s">
        <v>78</v>
      </c>
      <c r="N993" t="s">
        <v>79</v>
      </c>
      <c r="O993" t="s">
        <v>74</v>
      </c>
      <c r="P993" t="s">
        <v>74</v>
      </c>
      <c r="Q993" t="s">
        <v>74</v>
      </c>
      <c r="R993" t="s">
        <v>74</v>
      </c>
      <c r="S993" t="s">
        <v>74</v>
      </c>
      <c r="T993" t="s">
        <v>18495</v>
      </c>
      <c r="U993" t="s">
        <v>18496</v>
      </c>
      <c r="V993" t="s">
        <v>18497</v>
      </c>
      <c r="W993" t="s">
        <v>18498</v>
      </c>
      <c r="X993" t="s">
        <v>18499</v>
      </c>
      <c r="Y993" t="s">
        <v>18500</v>
      </c>
      <c r="Z993" t="s">
        <v>18501</v>
      </c>
      <c r="AA993" t="s">
        <v>18502</v>
      </c>
      <c r="AB993" t="s">
        <v>18503</v>
      </c>
      <c r="AC993" t="s">
        <v>18504</v>
      </c>
      <c r="AD993" t="s">
        <v>18505</v>
      </c>
      <c r="AE993" t="s">
        <v>18506</v>
      </c>
      <c r="AF993" t="s">
        <v>74</v>
      </c>
      <c r="AG993">
        <v>78</v>
      </c>
      <c r="AH993">
        <v>19</v>
      </c>
      <c r="AI993">
        <v>21</v>
      </c>
      <c r="AJ993">
        <v>2</v>
      </c>
      <c r="AK993">
        <v>42</v>
      </c>
      <c r="AL993" t="s">
        <v>986</v>
      </c>
      <c r="AM993" t="s">
        <v>430</v>
      </c>
      <c r="AN993" t="s">
        <v>987</v>
      </c>
      <c r="AO993" t="s">
        <v>1013</v>
      </c>
      <c r="AP993" t="s">
        <v>1014</v>
      </c>
      <c r="AQ993" t="s">
        <v>74</v>
      </c>
      <c r="AR993" t="s">
        <v>1015</v>
      </c>
      <c r="AS993" t="s">
        <v>1016</v>
      </c>
      <c r="AT993" t="s">
        <v>16127</v>
      </c>
      <c r="AU993">
        <v>2017</v>
      </c>
      <c r="AV993">
        <v>40</v>
      </c>
      <c r="AW993">
        <v>2</v>
      </c>
      <c r="AX993" t="s">
        <v>74</v>
      </c>
      <c r="AY993" t="s">
        <v>74</v>
      </c>
      <c r="AZ993" t="s">
        <v>74</v>
      </c>
      <c r="BA993" t="s">
        <v>74</v>
      </c>
      <c r="BB993">
        <v>339</v>
      </c>
      <c r="BC993">
        <v>349</v>
      </c>
      <c r="BD993" t="s">
        <v>74</v>
      </c>
      <c r="BE993" t="s">
        <v>18507</v>
      </c>
      <c r="BF993" t="str">
        <f>HYPERLINK("http://dx.doi.org/10.1007/s00300-016-1958-2","http://dx.doi.org/10.1007/s00300-016-1958-2")</f>
        <v>http://dx.doi.org/10.1007/s00300-016-1958-2</v>
      </c>
      <c r="BG993" t="s">
        <v>74</v>
      </c>
      <c r="BH993" t="s">
        <v>74</v>
      </c>
      <c r="BI993">
        <v>11</v>
      </c>
      <c r="BJ993" t="s">
        <v>1018</v>
      </c>
      <c r="BK993" t="s">
        <v>103</v>
      </c>
      <c r="BL993" t="s">
        <v>326</v>
      </c>
      <c r="BM993" t="s">
        <v>17072</v>
      </c>
      <c r="BN993" t="s">
        <v>74</v>
      </c>
      <c r="BO993" t="s">
        <v>74</v>
      </c>
      <c r="BP993" t="s">
        <v>74</v>
      </c>
      <c r="BQ993" t="s">
        <v>74</v>
      </c>
      <c r="BR993" t="s">
        <v>106</v>
      </c>
      <c r="BS993" t="s">
        <v>18508</v>
      </c>
      <c r="BT993" t="str">
        <f>HYPERLINK("https%3A%2F%2Fwww.webofscience.com%2Fwos%2Fwoscc%2Ffull-record%2FWOS:000393761500009","View Full Record in Web of Science")</f>
        <v>View Full Record in Web of Science</v>
      </c>
    </row>
    <row r="994" spans="1:72" x14ac:dyDescent="0.15">
      <c r="A994" t="s">
        <v>72</v>
      </c>
      <c r="B994" t="s">
        <v>18509</v>
      </c>
      <c r="C994" t="s">
        <v>74</v>
      </c>
      <c r="D994" t="s">
        <v>74</v>
      </c>
      <c r="E994" t="s">
        <v>74</v>
      </c>
      <c r="F994" t="s">
        <v>18510</v>
      </c>
      <c r="G994" t="s">
        <v>74</v>
      </c>
      <c r="H994" t="s">
        <v>74</v>
      </c>
      <c r="I994" t="s">
        <v>18511</v>
      </c>
      <c r="J994" t="s">
        <v>1000</v>
      </c>
      <c r="K994" t="s">
        <v>74</v>
      </c>
      <c r="L994" t="s">
        <v>74</v>
      </c>
      <c r="M994" t="s">
        <v>78</v>
      </c>
      <c r="N994" t="s">
        <v>79</v>
      </c>
      <c r="O994" t="s">
        <v>74</v>
      </c>
      <c r="P994" t="s">
        <v>74</v>
      </c>
      <c r="Q994" t="s">
        <v>74</v>
      </c>
      <c r="R994" t="s">
        <v>74</v>
      </c>
      <c r="S994" t="s">
        <v>74</v>
      </c>
      <c r="T994" t="s">
        <v>18512</v>
      </c>
      <c r="U994" t="s">
        <v>18513</v>
      </c>
      <c r="V994" t="s">
        <v>18514</v>
      </c>
      <c r="W994" t="s">
        <v>18515</v>
      </c>
      <c r="X994" t="s">
        <v>18516</v>
      </c>
      <c r="Y994" t="s">
        <v>18517</v>
      </c>
      <c r="Z994" t="s">
        <v>18518</v>
      </c>
      <c r="AA994" t="s">
        <v>18519</v>
      </c>
      <c r="AB994" t="s">
        <v>18520</v>
      </c>
      <c r="AC994" t="s">
        <v>18521</v>
      </c>
      <c r="AD994" t="s">
        <v>18522</v>
      </c>
      <c r="AE994" t="s">
        <v>18523</v>
      </c>
      <c r="AF994" t="s">
        <v>74</v>
      </c>
      <c r="AG994">
        <v>69</v>
      </c>
      <c r="AH994">
        <v>19</v>
      </c>
      <c r="AI994">
        <v>19</v>
      </c>
      <c r="AJ994">
        <v>1</v>
      </c>
      <c r="AK994">
        <v>33</v>
      </c>
      <c r="AL994" t="s">
        <v>986</v>
      </c>
      <c r="AM994" t="s">
        <v>430</v>
      </c>
      <c r="AN994" t="s">
        <v>1663</v>
      </c>
      <c r="AO994" t="s">
        <v>1013</v>
      </c>
      <c r="AP994" t="s">
        <v>1014</v>
      </c>
      <c r="AQ994" t="s">
        <v>74</v>
      </c>
      <c r="AR994" t="s">
        <v>1015</v>
      </c>
      <c r="AS994" t="s">
        <v>1016</v>
      </c>
      <c r="AT994" t="s">
        <v>16127</v>
      </c>
      <c r="AU994">
        <v>2017</v>
      </c>
      <c r="AV994">
        <v>40</v>
      </c>
      <c r="AW994">
        <v>2</v>
      </c>
      <c r="AX994" t="s">
        <v>74</v>
      </c>
      <c r="AY994" t="s">
        <v>74</v>
      </c>
      <c r="AZ994" t="s">
        <v>74</v>
      </c>
      <c r="BA994" t="s">
        <v>74</v>
      </c>
      <c r="BB994">
        <v>365</v>
      </c>
      <c r="BC994">
        <v>378</v>
      </c>
      <c r="BD994" t="s">
        <v>74</v>
      </c>
      <c r="BE994" t="s">
        <v>18524</v>
      </c>
      <c r="BF994" t="str">
        <f>HYPERLINK("http://dx.doi.org/10.1007/s00300-016-1964-4","http://dx.doi.org/10.1007/s00300-016-1964-4")</f>
        <v>http://dx.doi.org/10.1007/s00300-016-1964-4</v>
      </c>
      <c r="BG994" t="s">
        <v>74</v>
      </c>
      <c r="BH994" t="s">
        <v>74</v>
      </c>
      <c r="BI994">
        <v>14</v>
      </c>
      <c r="BJ994" t="s">
        <v>1018</v>
      </c>
      <c r="BK994" t="s">
        <v>103</v>
      </c>
      <c r="BL994" t="s">
        <v>326</v>
      </c>
      <c r="BM994" t="s">
        <v>17072</v>
      </c>
      <c r="BN994" t="s">
        <v>74</v>
      </c>
      <c r="BO994" t="s">
        <v>74</v>
      </c>
      <c r="BP994" t="s">
        <v>74</v>
      </c>
      <c r="BQ994" t="s">
        <v>74</v>
      </c>
      <c r="BR994" t="s">
        <v>106</v>
      </c>
      <c r="BS994" t="s">
        <v>18525</v>
      </c>
      <c r="BT994" t="str">
        <f>HYPERLINK("https%3A%2F%2Fwww.webofscience.com%2Fwos%2Fwoscc%2Ffull-record%2FWOS:000393761500011","View Full Record in Web of Science")</f>
        <v>View Full Record in Web of Science</v>
      </c>
    </row>
    <row r="995" spans="1:72" x14ac:dyDescent="0.15">
      <c r="A995" t="s">
        <v>72</v>
      </c>
      <c r="B995" t="s">
        <v>18526</v>
      </c>
      <c r="C995" t="s">
        <v>74</v>
      </c>
      <c r="D995" t="s">
        <v>74</v>
      </c>
      <c r="E995" t="s">
        <v>74</v>
      </c>
      <c r="F995" t="s">
        <v>18527</v>
      </c>
      <c r="G995" t="s">
        <v>74</v>
      </c>
      <c r="H995" t="s">
        <v>74</v>
      </c>
      <c r="I995" t="s">
        <v>18528</v>
      </c>
      <c r="J995" t="s">
        <v>1000</v>
      </c>
      <c r="K995" t="s">
        <v>74</v>
      </c>
      <c r="L995" t="s">
        <v>74</v>
      </c>
      <c r="M995" t="s">
        <v>78</v>
      </c>
      <c r="N995" t="s">
        <v>79</v>
      </c>
      <c r="O995" t="s">
        <v>74</v>
      </c>
      <c r="P995" t="s">
        <v>74</v>
      </c>
      <c r="Q995" t="s">
        <v>74</v>
      </c>
      <c r="R995" t="s">
        <v>74</v>
      </c>
      <c r="S995" t="s">
        <v>74</v>
      </c>
      <c r="T995" t="s">
        <v>18529</v>
      </c>
      <c r="U995" t="s">
        <v>18530</v>
      </c>
      <c r="V995" t="s">
        <v>18531</v>
      </c>
      <c r="W995" t="s">
        <v>18532</v>
      </c>
      <c r="X995" t="s">
        <v>18533</v>
      </c>
      <c r="Y995" t="s">
        <v>18534</v>
      </c>
      <c r="Z995" t="s">
        <v>18535</v>
      </c>
      <c r="AA995" t="s">
        <v>18536</v>
      </c>
      <c r="AB995" t="s">
        <v>18537</v>
      </c>
      <c r="AC995" t="s">
        <v>74</v>
      </c>
      <c r="AD995" t="s">
        <v>74</v>
      </c>
      <c r="AE995" t="s">
        <v>74</v>
      </c>
      <c r="AF995" t="s">
        <v>74</v>
      </c>
      <c r="AG995">
        <v>61</v>
      </c>
      <c r="AH995">
        <v>9</v>
      </c>
      <c r="AI995">
        <v>10</v>
      </c>
      <c r="AJ995">
        <v>1</v>
      </c>
      <c r="AK995">
        <v>24</v>
      </c>
      <c r="AL995" t="s">
        <v>986</v>
      </c>
      <c r="AM995" t="s">
        <v>430</v>
      </c>
      <c r="AN995" t="s">
        <v>1663</v>
      </c>
      <c r="AO995" t="s">
        <v>1013</v>
      </c>
      <c r="AP995" t="s">
        <v>1014</v>
      </c>
      <c r="AQ995" t="s">
        <v>74</v>
      </c>
      <c r="AR995" t="s">
        <v>1015</v>
      </c>
      <c r="AS995" t="s">
        <v>1016</v>
      </c>
      <c r="AT995" t="s">
        <v>16127</v>
      </c>
      <c r="AU995">
        <v>2017</v>
      </c>
      <c r="AV995">
        <v>40</v>
      </c>
      <c r="AW995">
        <v>2</v>
      </c>
      <c r="AX995" t="s">
        <v>74</v>
      </c>
      <c r="AY995" t="s">
        <v>74</v>
      </c>
      <c r="AZ995" t="s">
        <v>74</v>
      </c>
      <c r="BA995" t="s">
        <v>74</v>
      </c>
      <c r="BB995">
        <v>379</v>
      </c>
      <c r="BC995">
        <v>397</v>
      </c>
      <c r="BD995" t="s">
        <v>74</v>
      </c>
      <c r="BE995" t="s">
        <v>18538</v>
      </c>
      <c r="BF995" t="str">
        <f>HYPERLINK("http://dx.doi.org/10.1007/s00300-016-1966-2","http://dx.doi.org/10.1007/s00300-016-1966-2")</f>
        <v>http://dx.doi.org/10.1007/s00300-016-1966-2</v>
      </c>
      <c r="BG995" t="s">
        <v>74</v>
      </c>
      <c r="BH995" t="s">
        <v>74</v>
      </c>
      <c r="BI995">
        <v>19</v>
      </c>
      <c r="BJ995" t="s">
        <v>1018</v>
      </c>
      <c r="BK995" t="s">
        <v>103</v>
      </c>
      <c r="BL995" t="s">
        <v>326</v>
      </c>
      <c r="BM995" t="s">
        <v>17072</v>
      </c>
      <c r="BN995" t="s">
        <v>74</v>
      </c>
      <c r="BO995" t="s">
        <v>74</v>
      </c>
      <c r="BP995" t="s">
        <v>74</v>
      </c>
      <c r="BQ995" t="s">
        <v>74</v>
      </c>
      <c r="BR995" t="s">
        <v>106</v>
      </c>
      <c r="BS995" t="s">
        <v>18539</v>
      </c>
      <c r="BT995" t="str">
        <f>HYPERLINK("https%3A%2F%2Fwww.webofscience.com%2Fwos%2Fwoscc%2Ffull-record%2FWOS:000393761500012","View Full Record in Web of Science")</f>
        <v>View Full Record in Web of Science</v>
      </c>
    </row>
    <row r="996" spans="1:72" x14ac:dyDescent="0.15">
      <c r="A996" t="s">
        <v>72</v>
      </c>
      <c r="B996" t="s">
        <v>18540</v>
      </c>
      <c r="C996" t="s">
        <v>74</v>
      </c>
      <c r="D996" t="s">
        <v>74</v>
      </c>
      <c r="E996" t="s">
        <v>74</v>
      </c>
      <c r="F996" t="s">
        <v>18541</v>
      </c>
      <c r="G996" t="s">
        <v>74</v>
      </c>
      <c r="H996" t="s">
        <v>74</v>
      </c>
      <c r="I996" t="s">
        <v>18542</v>
      </c>
      <c r="J996" t="s">
        <v>1000</v>
      </c>
      <c r="K996" t="s">
        <v>74</v>
      </c>
      <c r="L996" t="s">
        <v>74</v>
      </c>
      <c r="M996" t="s">
        <v>78</v>
      </c>
      <c r="N996" t="s">
        <v>79</v>
      </c>
      <c r="O996" t="s">
        <v>74</v>
      </c>
      <c r="P996" t="s">
        <v>74</v>
      </c>
      <c r="Q996" t="s">
        <v>74</v>
      </c>
      <c r="R996" t="s">
        <v>74</v>
      </c>
      <c r="S996" t="s">
        <v>74</v>
      </c>
      <c r="T996" t="s">
        <v>18543</v>
      </c>
      <c r="U996" t="s">
        <v>18544</v>
      </c>
      <c r="V996" t="s">
        <v>18545</v>
      </c>
      <c r="W996" t="s">
        <v>18546</v>
      </c>
      <c r="X996" t="s">
        <v>18547</v>
      </c>
      <c r="Y996" t="s">
        <v>18548</v>
      </c>
      <c r="Z996" t="s">
        <v>18549</v>
      </c>
      <c r="AA996" t="s">
        <v>18550</v>
      </c>
      <c r="AB996" t="s">
        <v>18551</v>
      </c>
      <c r="AC996" t="s">
        <v>18552</v>
      </c>
      <c r="AD996" t="s">
        <v>18553</v>
      </c>
      <c r="AE996" t="s">
        <v>18554</v>
      </c>
      <c r="AF996" t="s">
        <v>74</v>
      </c>
      <c r="AG996">
        <v>60</v>
      </c>
      <c r="AH996">
        <v>52</v>
      </c>
      <c r="AI996">
        <v>54</v>
      </c>
      <c r="AJ996">
        <v>0</v>
      </c>
      <c r="AK996">
        <v>51</v>
      </c>
      <c r="AL996" t="s">
        <v>986</v>
      </c>
      <c r="AM996" t="s">
        <v>430</v>
      </c>
      <c r="AN996" t="s">
        <v>1663</v>
      </c>
      <c r="AO996" t="s">
        <v>1013</v>
      </c>
      <c r="AP996" t="s">
        <v>1014</v>
      </c>
      <c r="AQ996" t="s">
        <v>74</v>
      </c>
      <c r="AR996" t="s">
        <v>1015</v>
      </c>
      <c r="AS996" t="s">
        <v>1016</v>
      </c>
      <c r="AT996" t="s">
        <v>16127</v>
      </c>
      <c r="AU996">
        <v>2017</v>
      </c>
      <c r="AV996">
        <v>40</v>
      </c>
      <c r="AW996">
        <v>2</v>
      </c>
      <c r="AX996" t="s">
        <v>74</v>
      </c>
      <c r="AY996" t="s">
        <v>74</v>
      </c>
      <c r="AZ996" t="s">
        <v>74</v>
      </c>
      <c r="BA996" t="s">
        <v>74</v>
      </c>
      <c r="BB996">
        <v>399</v>
      </c>
      <c r="BC996">
        <v>411</v>
      </c>
      <c r="BD996" t="s">
        <v>74</v>
      </c>
      <c r="BE996" t="s">
        <v>18555</v>
      </c>
      <c r="BF996" t="str">
        <f>HYPERLINK("http://dx.doi.org/10.1007/s00300-016-1967-1","http://dx.doi.org/10.1007/s00300-016-1967-1")</f>
        <v>http://dx.doi.org/10.1007/s00300-016-1967-1</v>
      </c>
      <c r="BG996" t="s">
        <v>74</v>
      </c>
      <c r="BH996" t="s">
        <v>74</v>
      </c>
      <c r="BI996">
        <v>13</v>
      </c>
      <c r="BJ996" t="s">
        <v>1018</v>
      </c>
      <c r="BK996" t="s">
        <v>103</v>
      </c>
      <c r="BL996" t="s">
        <v>326</v>
      </c>
      <c r="BM996" t="s">
        <v>17072</v>
      </c>
      <c r="BN996" t="s">
        <v>74</v>
      </c>
      <c r="BO996" t="s">
        <v>2390</v>
      </c>
      <c r="BP996" t="s">
        <v>74</v>
      </c>
      <c r="BQ996" t="s">
        <v>74</v>
      </c>
      <c r="BR996" t="s">
        <v>106</v>
      </c>
      <c r="BS996" t="s">
        <v>18556</v>
      </c>
      <c r="BT996" t="str">
        <f>HYPERLINK("https%3A%2F%2Fwww.webofscience.com%2Fwos%2Fwoscc%2Ffull-record%2FWOS:000393761500013","View Full Record in Web of Science")</f>
        <v>View Full Record in Web of Science</v>
      </c>
    </row>
    <row r="997" spans="1:72" x14ac:dyDescent="0.15">
      <c r="A997" t="s">
        <v>72</v>
      </c>
      <c r="B997" t="s">
        <v>18557</v>
      </c>
      <c r="C997" t="s">
        <v>74</v>
      </c>
      <c r="D997" t="s">
        <v>74</v>
      </c>
      <c r="E997" t="s">
        <v>74</v>
      </c>
      <c r="F997" t="s">
        <v>18558</v>
      </c>
      <c r="G997" t="s">
        <v>74</v>
      </c>
      <c r="H997" t="s">
        <v>74</v>
      </c>
      <c r="I997" t="s">
        <v>18559</v>
      </c>
      <c r="J997" t="s">
        <v>1000</v>
      </c>
      <c r="K997" t="s">
        <v>74</v>
      </c>
      <c r="L997" t="s">
        <v>74</v>
      </c>
      <c r="M997" t="s">
        <v>78</v>
      </c>
      <c r="N997" t="s">
        <v>79</v>
      </c>
      <c r="O997" t="s">
        <v>74</v>
      </c>
      <c r="P997" t="s">
        <v>74</v>
      </c>
      <c r="Q997" t="s">
        <v>74</v>
      </c>
      <c r="R997" t="s">
        <v>74</v>
      </c>
      <c r="S997" t="s">
        <v>74</v>
      </c>
      <c r="T997" t="s">
        <v>18560</v>
      </c>
      <c r="U997" t="s">
        <v>18561</v>
      </c>
      <c r="V997" t="s">
        <v>18562</v>
      </c>
      <c r="W997" t="s">
        <v>18563</v>
      </c>
      <c r="X997" t="s">
        <v>18564</v>
      </c>
      <c r="Y997" t="s">
        <v>18565</v>
      </c>
      <c r="Z997" t="s">
        <v>18566</v>
      </c>
      <c r="AA997" t="s">
        <v>18567</v>
      </c>
      <c r="AB997" t="s">
        <v>74</v>
      </c>
      <c r="AC997" t="s">
        <v>18568</v>
      </c>
      <c r="AD997" t="s">
        <v>18569</v>
      </c>
      <c r="AE997" t="s">
        <v>18570</v>
      </c>
      <c r="AF997" t="s">
        <v>74</v>
      </c>
      <c r="AG997">
        <v>67</v>
      </c>
      <c r="AH997">
        <v>10</v>
      </c>
      <c r="AI997">
        <v>13</v>
      </c>
      <c r="AJ997">
        <v>2</v>
      </c>
      <c r="AK997">
        <v>35</v>
      </c>
      <c r="AL997" t="s">
        <v>986</v>
      </c>
      <c r="AM997" t="s">
        <v>430</v>
      </c>
      <c r="AN997" t="s">
        <v>1663</v>
      </c>
      <c r="AO997" t="s">
        <v>1013</v>
      </c>
      <c r="AP997" t="s">
        <v>1014</v>
      </c>
      <c r="AQ997" t="s">
        <v>74</v>
      </c>
      <c r="AR997" t="s">
        <v>1015</v>
      </c>
      <c r="AS997" t="s">
        <v>1016</v>
      </c>
      <c r="AT997" t="s">
        <v>16127</v>
      </c>
      <c r="AU997">
        <v>2017</v>
      </c>
      <c r="AV997">
        <v>40</v>
      </c>
      <c r="AW997">
        <v>2</v>
      </c>
      <c r="AX997" t="s">
        <v>74</v>
      </c>
      <c r="AY997" t="s">
        <v>74</v>
      </c>
      <c r="AZ997" t="s">
        <v>74</v>
      </c>
      <c r="BA997" t="s">
        <v>74</v>
      </c>
      <c r="BB997">
        <v>423</v>
      </c>
      <c r="BC997">
        <v>436</v>
      </c>
      <c r="BD997" t="s">
        <v>74</v>
      </c>
      <c r="BE997" t="s">
        <v>18571</v>
      </c>
      <c r="BF997" t="str">
        <f>HYPERLINK("http://dx.doi.org/10.1007/s00300-016-1970-6","http://dx.doi.org/10.1007/s00300-016-1970-6")</f>
        <v>http://dx.doi.org/10.1007/s00300-016-1970-6</v>
      </c>
      <c r="BG997" t="s">
        <v>74</v>
      </c>
      <c r="BH997" t="s">
        <v>74</v>
      </c>
      <c r="BI997">
        <v>14</v>
      </c>
      <c r="BJ997" t="s">
        <v>1018</v>
      </c>
      <c r="BK997" t="s">
        <v>103</v>
      </c>
      <c r="BL997" t="s">
        <v>326</v>
      </c>
      <c r="BM997" t="s">
        <v>17072</v>
      </c>
      <c r="BN997" t="s">
        <v>74</v>
      </c>
      <c r="BO997" t="s">
        <v>74</v>
      </c>
      <c r="BP997" t="s">
        <v>74</v>
      </c>
      <c r="BQ997" t="s">
        <v>74</v>
      </c>
      <c r="BR997" t="s">
        <v>106</v>
      </c>
      <c r="BS997" t="s">
        <v>18572</v>
      </c>
      <c r="BT997" t="str">
        <f>HYPERLINK("https%3A%2F%2Fwww.webofscience.com%2Fwos%2Fwoscc%2Ffull-record%2FWOS:000393761500015","View Full Record in Web of Science")</f>
        <v>View Full Record in Web of Science</v>
      </c>
    </row>
    <row r="998" spans="1:72" x14ac:dyDescent="0.15">
      <c r="A998" t="s">
        <v>72</v>
      </c>
      <c r="B998" t="s">
        <v>18573</v>
      </c>
      <c r="C998" t="s">
        <v>74</v>
      </c>
      <c r="D998" t="s">
        <v>74</v>
      </c>
      <c r="E998" t="s">
        <v>74</v>
      </c>
      <c r="F998" t="s">
        <v>18574</v>
      </c>
      <c r="G998" t="s">
        <v>74</v>
      </c>
      <c r="H998" t="s">
        <v>74</v>
      </c>
      <c r="I998" t="s">
        <v>18575</v>
      </c>
      <c r="J998" t="s">
        <v>11031</v>
      </c>
      <c r="K998" t="s">
        <v>74</v>
      </c>
      <c r="L998" t="s">
        <v>74</v>
      </c>
      <c r="M998" t="s">
        <v>78</v>
      </c>
      <c r="N998" t="s">
        <v>79</v>
      </c>
      <c r="O998" t="s">
        <v>74</v>
      </c>
      <c r="P998" t="s">
        <v>74</v>
      </c>
      <c r="Q998" t="s">
        <v>74</v>
      </c>
      <c r="R998" t="s">
        <v>74</v>
      </c>
      <c r="S998" t="s">
        <v>74</v>
      </c>
      <c r="T998" t="s">
        <v>74</v>
      </c>
      <c r="U998" t="s">
        <v>18576</v>
      </c>
      <c r="V998" t="s">
        <v>18577</v>
      </c>
      <c r="W998" t="s">
        <v>18578</v>
      </c>
      <c r="X998" t="s">
        <v>18579</v>
      </c>
      <c r="Y998" t="s">
        <v>18580</v>
      </c>
      <c r="Z998" t="s">
        <v>18581</v>
      </c>
      <c r="AA998" t="s">
        <v>18582</v>
      </c>
      <c r="AB998" t="s">
        <v>18583</v>
      </c>
      <c r="AC998" t="s">
        <v>18584</v>
      </c>
      <c r="AD998" t="s">
        <v>3155</v>
      </c>
      <c r="AE998" t="s">
        <v>74</v>
      </c>
      <c r="AF998" t="s">
        <v>74</v>
      </c>
      <c r="AG998">
        <v>182</v>
      </c>
      <c r="AH998">
        <v>12</v>
      </c>
      <c r="AI998">
        <v>12</v>
      </c>
      <c r="AJ998">
        <v>1</v>
      </c>
      <c r="AK998">
        <v>19</v>
      </c>
      <c r="AL998" t="s">
        <v>656</v>
      </c>
      <c r="AM998" t="s">
        <v>93</v>
      </c>
      <c r="AN998" t="s">
        <v>657</v>
      </c>
      <c r="AO998" t="s">
        <v>11044</v>
      </c>
      <c r="AP998" t="s">
        <v>74</v>
      </c>
      <c r="AQ998" t="s">
        <v>74</v>
      </c>
      <c r="AR998" t="s">
        <v>11045</v>
      </c>
      <c r="AS998" t="s">
        <v>11046</v>
      </c>
      <c r="AT998" t="s">
        <v>16127</v>
      </c>
      <c r="AU998">
        <v>2017</v>
      </c>
      <c r="AV998">
        <v>151</v>
      </c>
      <c r="AW998" t="s">
        <v>74</v>
      </c>
      <c r="AX998" t="s">
        <v>74</v>
      </c>
      <c r="AY998" t="s">
        <v>74</v>
      </c>
      <c r="AZ998" t="s">
        <v>74</v>
      </c>
      <c r="BA998" t="s">
        <v>74</v>
      </c>
      <c r="BB998">
        <v>62</v>
      </c>
      <c r="BC998">
        <v>82</v>
      </c>
      <c r="BD998" t="s">
        <v>74</v>
      </c>
      <c r="BE998" t="s">
        <v>18585</v>
      </c>
      <c r="BF998" t="str">
        <f>HYPERLINK("http://dx.doi.org/10.1016/j.pocean.2016.11.005","http://dx.doi.org/10.1016/j.pocean.2016.11.005")</f>
        <v>http://dx.doi.org/10.1016/j.pocean.2016.11.005</v>
      </c>
      <c r="BG998" t="s">
        <v>74</v>
      </c>
      <c r="BH998" t="s">
        <v>74</v>
      </c>
      <c r="BI998">
        <v>21</v>
      </c>
      <c r="BJ998" t="s">
        <v>127</v>
      </c>
      <c r="BK998" t="s">
        <v>103</v>
      </c>
      <c r="BL998" t="s">
        <v>127</v>
      </c>
      <c r="BM998" t="s">
        <v>18586</v>
      </c>
      <c r="BN998" t="s">
        <v>74</v>
      </c>
      <c r="BO998" t="s">
        <v>513</v>
      </c>
      <c r="BP998" t="s">
        <v>74</v>
      </c>
      <c r="BQ998" t="s">
        <v>74</v>
      </c>
      <c r="BR998" t="s">
        <v>106</v>
      </c>
      <c r="BS998" t="s">
        <v>18587</v>
      </c>
      <c r="BT998" t="str">
        <f>HYPERLINK("https%3A%2F%2Fwww.webofscience.com%2Fwos%2Fwoscc%2Ffull-record%2FWOS:000395609900005","View Full Record in Web of Science")</f>
        <v>View Full Record in Web of Science</v>
      </c>
    </row>
    <row r="999" spans="1:72" x14ac:dyDescent="0.15">
      <c r="A999" t="s">
        <v>72</v>
      </c>
      <c r="B999" t="s">
        <v>18588</v>
      </c>
      <c r="C999" t="s">
        <v>74</v>
      </c>
      <c r="D999" t="s">
        <v>74</v>
      </c>
      <c r="E999" t="s">
        <v>74</v>
      </c>
      <c r="F999" t="s">
        <v>18589</v>
      </c>
      <c r="G999" t="s">
        <v>74</v>
      </c>
      <c r="H999" t="s">
        <v>74</v>
      </c>
      <c r="I999" t="s">
        <v>18590</v>
      </c>
      <c r="J999" t="s">
        <v>11031</v>
      </c>
      <c r="K999" t="s">
        <v>74</v>
      </c>
      <c r="L999" t="s">
        <v>74</v>
      </c>
      <c r="M999" t="s">
        <v>78</v>
      </c>
      <c r="N999" t="s">
        <v>79</v>
      </c>
      <c r="O999" t="s">
        <v>74</v>
      </c>
      <c r="P999" t="s">
        <v>74</v>
      </c>
      <c r="Q999" t="s">
        <v>74</v>
      </c>
      <c r="R999" t="s">
        <v>74</v>
      </c>
      <c r="S999" t="s">
        <v>74</v>
      </c>
      <c r="T999" t="s">
        <v>18591</v>
      </c>
      <c r="U999" t="s">
        <v>18592</v>
      </c>
      <c r="V999" t="s">
        <v>18593</v>
      </c>
      <c r="W999" t="s">
        <v>18594</v>
      </c>
      <c r="X999" t="s">
        <v>18595</v>
      </c>
      <c r="Y999" t="s">
        <v>18596</v>
      </c>
      <c r="Z999" t="s">
        <v>18597</v>
      </c>
      <c r="AA999" t="s">
        <v>18598</v>
      </c>
      <c r="AB999" t="s">
        <v>18599</v>
      </c>
      <c r="AC999" t="s">
        <v>18600</v>
      </c>
      <c r="AD999" t="s">
        <v>18601</v>
      </c>
      <c r="AE999" t="s">
        <v>18602</v>
      </c>
      <c r="AF999" t="s">
        <v>74</v>
      </c>
      <c r="AG999">
        <v>69</v>
      </c>
      <c r="AH999">
        <v>68</v>
      </c>
      <c r="AI999">
        <v>70</v>
      </c>
      <c r="AJ999">
        <v>5</v>
      </c>
      <c r="AK999">
        <v>31</v>
      </c>
      <c r="AL999" t="s">
        <v>656</v>
      </c>
      <c r="AM999" t="s">
        <v>93</v>
      </c>
      <c r="AN999" t="s">
        <v>657</v>
      </c>
      <c r="AO999" t="s">
        <v>11044</v>
      </c>
      <c r="AP999" t="s">
        <v>18603</v>
      </c>
      <c r="AQ999" t="s">
        <v>74</v>
      </c>
      <c r="AR999" t="s">
        <v>11045</v>
      </c>
      <c r="AS999" t="s">
        <v>11046</v>
      </c>
      <c r="AT999" t="s">
        <v>16127</v>
      </c>
      <c r="AU999">
        <v>2017</v>
      </c>
      <c r="AV999">
        <v>151</v>
      </c>
      <c r="AW999" t="s">
        <v>74</v>
      </c>
      <c r="AX999" t="s">
        <v>74</v>
      </c>
      <c r="AY999" t="s">
        <v>74</v>
      </c>
      <c r="AZ999" t="s">
        <v>74</v>
      </c>
      <c r="BA999" t="s">
        <v>74</v>
      </c>
      <c r="BB999">
        <v>189</v>
      </c>
      <c r="BC999">
        <v>205</v>
      </c>
      <c r="BD999" t="s">
        <v>74</v>
      </c>
      <c r="BE999" t="s">
        <v>18604</v>
      </c>
      <c r="BF999" t="str">
        <f>HYPERLINK("http://dx.doi.org/10.1016/j.pocean.2017.01.004","http://dx.doi.org/10.1016/j.pocean.2017.01.004")</f>
        <v>http://dx.doi.org/10.1016/j.pocean.2017.01.004</v>
      </c>
      <c r="BG999" t="s">
        <v>74</v>
      </c>
      <c r="BH999" t="s">
        <v>74</v>
      </c>
      <c r="BI999">
        <v>17</v>
      </c>
      <c r="BJ999" t="s">
        <v>127</v>
      </c>
      <c r="BK999" t="s">
        <v>103</v>
      </c>
      <c r="BL999" t="s">
        <v>127</v>
      </c>
      <c r="BM999" t="s">
        <v>18586</v>
      </c>
      <c r="BN999" t="s">
        <v>74</v>
      </c>
      <c r="BO999" t="s">
        <v>74</v>
      </c>
      <c r="BP999" t="s">
        <v>74</v>
      </c>
      <c r="BQ999" t="s">
        <v>74</v>
      </c>
      <c r="BR999" t="s">
        <v>106</v>
      </c>
      <c r="BS999" t="s">
        <v>18605</v>
      </c>
      <c r="BT999" t="str">
        <f>HYPERLINK("https%3A%2F%2Fwww.webofscience.com%2Fwos%2Fwoscc%2Ffull-record%2FWOS:000395609900013","View Full Record in Web of Science")</f>
        <v>View Full Record in Web of Science</v>
      </c>
    </row>
    <row r="1000" spans="1:72" x14ac:dyDescent="0.15">
      <c r="A1000" t="s">
        <v>72</v>
      </c>
      <c r="B1000" t="s">
        <v>18606</v>
      </c>
      <c r="C1000" t="s">
        <v>74</v>
      </c>
      <c r="D1000" t="s">
        <v>74</v>
      </c>
      <c r="E1000" t="s">
        <v>74</v>
      </c>
      <c r="F1000" t="s">
        <v>18607</v>
      </c>
      <c r="G1000" t="s">
        <v>74</v>
      </c>
      <c r="H1000" t="s">
        <v>74</v>
      </c>
      <c r="I1000" t="s">
        <v>18608</v>
      </c>
      <c r="J1000" t="s">
        <v>1322</v>
      </c>
      <c r="K1000" t="s">
        <v>74</v>
      </c>
      <c r="L1000" t="s">
        <v>74</v>
      </c>
      <c r="M1000" t="s">
        <v>78</v>
      </c>
      <c r="N1000" t="s">
        <v>79</v>
      </c>
      <c r="O1000" t="s">
        <v>74</v>
      </c>
      <c r="P1000" t="s">
        <v>74</v>
      </c>
      <c r="Q1000" t="s">
        <v>74</v>
      </c>
      <c r="R1000" t="s">
        <v>74</v>
      </c>
      <c r="S1000" t="s">
        <v>74</v>
      </c>
      <c r="T1000" t="s">
        <v>18609</v>
      </c>
      <c r="U1000" t="s">
        <v>18610</v>
      </c>
      <c r="V1000" t="s">
        <v>18611</v>
      </c>
      <c r="W1000" t="s">
        <v>18612</v>
      </c>
      <c r="X1000" t="s">
        <v>18613</v>
      </c>
      <c r="Y1000" t="s">
        <v>18614</v>
      </c>
      <c r="Z1000" t="s">
        <v>18615</v>
      </c>
      <c r="AA1000" t="s">
        <v>18616</v>
      </c>
      <c r="AB1000" t="s">
        <v>18617</v>
      </c>
      <c r="AC1000" t="s">
        <v>18618</v>
      </c>
      <c r="AD1000" t="s">
        <v>18619</v>
      </c>
      <c r="AE1000" t="s">
        <v>18620</v>
      </c>
      <c r="AF1000" t="s">
        <v>74</v>
      </c>
      <c r="AG1000">
        <v>86</v>
      </c>
      <c r="AH1000">
        <v>25</v>
      </c>
      <c r="AI1000">
        <v>27</v>
      </c>
      <c r="AJ1000">
        <v>2</v>
      </c>
      <c r="AK1000">
        <v>34</v>
      </c>
      <c r="AL1000" t="s">
        <v>656</v>
      </c>
      <c r="AM1000" t="s">
        <v>93</v>
      </c>
      <c r="AN1000" t="s">
        <v>657</v>
      </c>
      <c r="AO1000" t="s">
        <v>1334</v>
      </c>
      <c r="AP1000" t="s">
        <v>4140</v>
      </c>
      <c r="AQ1000" t="s">
        <v>74</v>
      </c>
      <c r="AR1000" t="s">
        <v>1335</v>
      </c>
      <c r="AS1000" t="s">
        <v>1336</v>
      </c>
      <c r="AT1000" t="s">
        <v>16146</v>
      </c>
      <c r="AU1000">
        <v>2017</v>
      </c>
      <c r="AV1000">
        <v>157</v>
      </c>
      <c r="AW1000" t="s">
        <v>74</v>
      </c>
      <c r="AX1000" t="s">
        <v>74</v>
      </c>
      <c r="AY1000" t="s">
        <v>74</v>
      </c>
      <c r="AZ1000" t="s">
        <v>74</v>
      </c>
      <c r="BA1000" t="s">
        <v>74</v>
      </c>
      <c r="BB1000">
        <v>164</v>
      </c>
      <c r="BC1000">
        <v>175</v>
      </c>
      <c r="BD1000" t="s">
        <v>74</v>
      </c>
      <c r="BE1000" t="s">
        <v>18621</v>
      </c>
      <c r="BF1000" t="str">
        <f>HYPERLINK("http://dx.doi.org/10.1016/j.quascirev.2016.12.001","http://dx.doi.org/10.1016/j.quascirev.2016.12.001")</f>
        <v>http://dx.doi.org/10.1016/j.quascirev.2016.12.001</v>
      </c>
      <c r="BG1000" t="s">
        <v>74</v>
      </c>
      <c r="BH1000" t="s">
        <v>74</v>
      </c>
      <c r="BI1000">
        <v>12</v>
      </c>
      <c r="BJ1000" t="s">
        <v>1338</v>
      </c>
      <c r="BK1000" t="s">
        <v>103</v>
      </c>
      <c r="BL1000" t="s">
        <v>1339</v>
      </c>
      <c r="BM1000" t="s">
        <v>17018</v>
      </c>
      <c r="BN1000" t="s">
        <v>74</v>
      </c>
      <c r="BO1000" t="s">
        <v>74</v>
      </c>
      <c r="BP1000" t="s">
        <v>74</v>
      </c>
      <c r="BQ1000" t="s">
        <v>74</v>
      </c>
      <c r="BR1000" t="s">
        <v>106</v>
      </c>
      <c r="BS1000" t="s">
        <v>18622</v>
      </c>
      <c r="BT1000" t="str">
        <f>HYPERLINK("https%3A%2F%2Fwww.webofscience.com%2Fwos%2Fwoscc%2Ffull-record%2FWOS:000393936200012","View Full Record in Web of Science")</f>
        <v>View Full Record in Web of Science</v>
      </c>
    </row>
    <row r="1001" spans="1:72" x14ac:dyDescent="0.15">
      <c r="A1001" t="s">
        <v>72</v>
      </c>
      <c r="B1001" t="s">
        <v>18623</v>
      </c>
      <c r="C1001" t="s">
        <v>74</v>
      </c>
      <c r="D1001" t="s">
        <v>74</v>
      </c>
      <c r="E1001" t="s">
        <v>74</v>
      </c>
      <c r="F1001" t="s">
        <v>18624</v>
      </c>
      <c r="G1001" t="s">
        <v>74</v>
      </c>
      <c r="H1001" t="s">
        <v>74</v>
      </c>
      <c r="I1001" t="s">
        <v>18625</v>
      </c>
      <c r="J1001" t="s">
        <v>8672</v>
      </c>
      <c r="K1001" t="s">
        <v>74</v>
      </c>
      <c r="L1001" t="s">
        <v>74</v>
      </c>
      <c r="M1001" t="s">
        <v>78</v>
      </c>
      <c r="N1001" t="s">
        <v>79</v>
      </c>
      <c r="O1001" t="s">
        <v>74</v>
      </c>
      <c r="P1001" t="s">
        <v>74</v>
      </c>
      <c r="Q1001" t="s">
        <v>74</v>
      </c>
      <c r="R1001" t="s">
        <v>74</v>
      </c>
      <c r="S1001" t="s">
        <v>74</v>
      </c>
      <c r="T1001" t="s">
        <v>74</v>
      </c>
      <c r="U1001" t="s">
        <v>18626</v>
      </c>
      <c r="V1001" t="s">
        <v>18627</v>
      </c>
      <c r="W1001" t="s">
        <v>18628</v>
      </c>
      <c r="X1001" t="s">
        <v>18629</v>
      </c>
      <c r="Y1001" t="s">
        <v>18630</v>
      </c>
      <c r="Z1001" t="s">
        <v>18631</v>
      </c>
      <c r="AA1001" t="s">
        <v>18632</v>
      </c>
      <c r="AB1001" t="s">
        <v>18633</v>
      </c>
      <c r="AC1001" t="s">
        <v>18634</v>
      </c>
      <c r="AD1001" t="s">
        <v>18635</v>
      </c>
      <c r="AE1001" t="s">
        <v>18636</v>
      </c>
      <c r="AF1001" t="s">
        <v>74</v>
      </c>
      <c r="AG1001">
        <v>48</v>
      </c>
      <c r="AH1001">
        <v>8</v>
      </c>
      <c r="AI1001">
        <v>10</v>
      </c>
      <c r="AJ1001">
        <v>0</v>
      </c>
      <c r="AK1001">
        <v>18</v>
      </c>
      <c r="AL1001" t="s">
        <v>222</v>
      </c>
      <c r="AM1001" t="s">
        <v>223</v>
      </c>
      <c r="AN1001" t="s">
        <v>224</v>
      </c>
      <c r="AO1001" t="s">
        <v>8683</v>
      </c>
      <c r="AP1001" t="s">
        <v>8684</v>
      </c>
      <c r="AQ1001" t="s">
        <v>74</v>
      </c>
      <c r="AR1001" t="s">
        <v>8685</v>
      </c>
      <c r="AS1001" t="s">
        <v>8686</v>
      </c>
      <c r="AT1001" t="s">
        <v>16127</v>
      </c>
      <c r="AU1001">
        <v>2017</v>
      </c>
      <c r="AV1001">
        <v>52</v>
      </c>
      <c r="AW1001">
        <v>2</v>
      </c>
      <c r="AX1001" t="s">
        <v>74</v>
      </c>
      <c r="AY1001" t="s">
        <v>74</v>
      </c>
      <c r="AZ1001" t="s">
        <v>74</v>
      </c>
      <c r="BA1001" t="s">
        <v>74</v>
      </c>
      <c r="BB1001" t="s">
        <v>74</v>
      </c>
      <c r="BC1001" t="s">
        <v>74</v>
      </c>
      <c r="BD1001" t="s">
        <v>74</v>
      </c>
      <c r="BE1001" t="s">
        <v>18637</v>
      </c>
      <c r="BF1001" t="str">
        <f>HYPERLINK("http://dx.doi.org/10.1002/2016RS006171","http://dx.doi.org/10.1002/2016RS006171")</f>
        <v>http://dx.doi.org/10.1002/2016RS006171</v>
      </c>
      <c r="BG1001" t="s">
        <v>74</v>
      </c>
      <c r="BH1001" t="s">
        <v>74</v>
      </c>
      <c r="BI1001">
        <v>19</v>
      </c>
      <c r="BJ1001" t="s">
        <v>8688</v>
      </c>
      <c r="BK1001" t="s">
        <v>103</v>
      </c>
      <c r="BL1001" t="s">
        <v>8688</v>
      </c>
      <c r="BM1001" t="s">
        <v>18638</v>
      </c>
      <c r="BN1001" t="s">
        <v>74</v>
      </c>
      <c r="BO1001" t="s">
        <v>74</v>
      </c>
      <c r="BP1001" t="s">
        <v>74</v>
      </c>
      <c r="BQ1001" t="s">
        <v>74</v>
      </c>
      <c r="BR1001" t="s">
        <v>106</v>
      </c>
      <c r="BS1001" t="s">
        <v>18639</v>
      </c>
      <c r="BT1001" t="str">
        <f>HYPERLINK("https%3A%2F%2Fwww.webofscience.com%2Fwos%2Fwoscc%2Ffull-record%2FWOS:000397275500002","View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2024-07-28T15:23:55Z</dcterms:created>
  <dcterms:modified xsi:type="dcterms:W3CDTF">2024-07-28T15:23:55Z</dcterms:modified>
</cp:coreProperties>
</file>